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2023\Censo Escolar 2023--Informe INICIAL\FORMULARIOS\Colegios\"/>
    </mc:Choice>
  </mc:AlternateContent>
  <workbookProtection workbookAlgorithmName="SHA-512" workbookHashValue="EzACu9DMzsCOBm04x0PHplGGQbEz6ssP5re8jBrFpwlC/VuUicXVV2AYClX+mJawL1TT75aiaYKwBio7GIUFog==" workbookSaltValue="SLSi4Yjfv0wiPEGD8sVJJg==" workbookSpinCount="100000" lockStructure="1"/>
  <bookViews>
    <workbookView xWindow="-45" yWindow="120" windowWidth="12105" windowHeight="7860" tabRatio="791" firstSheet="2" activeTab="2"/>
  </bookViews>
  <sheets>
    <sheet name="ubicacion" sheetId="80" state="hidden" r:id="rId1"/>
    <sheet name="Códigos Portada" sheetId="27" state="hidden" r:id="rId2"/>
    <sheet name="Portada" sheetId="12" r:id="rId3"/>
    <sheet name="CUADRO 1" sheetId="96" r:id="rId4"/>
    <sheet name="CUADRO 2" sheetId="61" r:id="rId5"/>
    <sheet name="CUADRO 3" sheetId="95" r:id="rId6"/>
    <sheet name="CUADRO 4" sheetId="99" r:id="rId7"/>
    <sheet name="CUADRO 5" sheetId="100" r:id="rId8"/>
    <sheet name="CUADRO 6" sheetId="86" r:id="rId9"/>
    <sheet name="CUADRO 7" sheetId="87" r:id="rId10"/>
    <sheet name="CUADRO 8" sheetId="67" r:id="rId11"/>
    <sheet name="CUADRO 9" sheetId="90" r:id="rId12"/>
    <sheet name="RenCT" sheetId="91" state="hidden" r:id="rId13"/>
    <sheet name="CUADRO 10" sheetId="92" r:id="rId14"/>
    <sheet name="CUADRO 11" sheetId="76" r:id="rId15"/>
    <sheet name="CUADRO 12" sheetId="77" r:id="rId16"/>
    <sheet name="CUADRO 13" sheetId="78" r:id="rId17"/>
    <sheet name="CUADRO 14" sheetId="102" r:id="rId18"/>
    <sheet name="CUADRO 15" sheetId="103" r:id="rId19"/>
  </sheets>
  <definedNames>
    <definedName name="_xlnm._FilterDatabase" localSheetId="1" hidden="1">'Códigos Portada'!$A$2:$AA$137</definedName>
    <definedName name="_xlnm._FilterDatabase" localSheetId="12" hidden="1">RenCT!$A$2:$AH$2</definedName>
    <definedName name="aplazados">RenCT!$A$3:$AH$137</definedName>
    <definedName name="_xlnm.Print_Area" localSheetId="3">'CUADRO 1'!$B$1:$K$31</definedName>
    <definedName name="_xlnm.Print_Area" localSheetId="13">'CUADRO 10'!$B$1:$W$27</definedName>
    <definedName name="_xlnm.Print_Area" localSheetId="14">'CUADRO 11'!$B$1:$I$16</definedName>
    <definedName name="_xlnm.Print_Area" localSheetId="15">'CUADRO 12'!$B$1:$J$39</definedName>
    <definedName name="_xlnm.Print_Area" localSheetId="16">'CUADRO 13'!$B$1:$L$41</definedName>
    <definedName name="_xlnm.Print_Area" localSheetId="17">'CUADRO 14'!$B$1:$Q$43</definedName>
    <definedName name="_xlnm.Print_Area" localSheetId="18">'CUADRO 15'!$B$1:$M$37</definedName>
    <definedName name="_xlnm.Print_Area" localSheetId="4">'CUADRO 2'!$B$1:$W$31</definedName>
    <definedName name="_xlnm.Print_Area" localSheetId="5">'CUADRO 3'!$B$1:$W$30</definedName>
    <definedName name="_xlnm.Print_Area" localSheetId="6">'CUADRO 4'!$B$1:$Q$18</definedName>
    <definedName name="_xlnm.Print_Area" localSheetId="7">'CUADRO 5'!$B$1:$P$87</definedName>
    <definedName name="_xlnm.Print_Area" localSheetId="8">'CUADRO 6'!$B$1:$H$39</definedName>
    <definedName name="_xlnm.Print_Area" localSheetId="9">'CUADRO 7'!$B$1:$N$41</definedName>
    <definedName name="_xlnm.Print_Area" localSheetId="10">'CUADRO 8'!$B$1:$T$38</definedName>
    <definedName name="_xlnm.Print_Area" localSheetId="11">'CUADRO 9'!$B$1:$G$21</definedName>
    <definedName name="_xlnm.Print_Area" localSheetId="2">Portada!$C$2:$P$45</definedName>
    <definedName name="codigo">'Códigos Portada'!$A$3:$B$137</definedName>
    <definedName name="datos">'Códigos Portada'!$D$3:$AA$137</definedName>
    <definedName name="MARCA">'CUADRO 15'!$L$3</definedName>
    <definedName name="prov">ubicacion!$A$1:$B$489</definedName>
    <definedName name="SINO">Portada!$A$28:$A$29</definedName>
    <definedName name="_xlnm.Print_Titles" localSheetId="7">'CUADRO 5'!$3:$5</definedName>
    <definedName name="_xlnm.Print_Titles" localSheetId="8">'CUADRO 6'!$5:$5</definedName>
    <definedName name="ubic">ubicacion!$D$2:$D$489</definedName>
    <definedName name="ubicac">ubicacion!$D$2:$E$489</definedName>
  </definedNames>
  <calcPr calcId="152511"/>
</workbook>
</file>

<file path=xl/calcChain.xml><?xml version="1.0" encoding="utf-8"?>
<calcChain xmlns="http://schemas.openxmlformats.org/spreadsheetml/2006/main">
  <c r="L43" i="100" l="1"/>
  <c r="I43" i="100"/>
  <c r="F43" i="100"/>
  <c r="E43" i="100"/>
  <c r="D43" i="100"/>
  <c r="C43" i="100" s="1"/>
  <c r="L42" i="100"/>
  <c r="I42" i="100"/>
  <c r="F42" i="100"/>
  <c r="E42" i="100"/>
  <c r="D42" i="100"/>
  <c r="C42" i="100" s="1"/>
  <c r="L41" i="100"/>
  <c r="I41" i="100"/>
  <c r="F41" i="100"/>
  <c r="E41" i="100"/>
  <c r="D41" i="100"/>
  <c r="C41" i="100" s="1"/>
  <c r="L40" i="100"/>
  <c r="I40" i="100"/>
  <c r="F40" i="100"/>
  <c r="E40" i="100"/>
  <c r="D40" i="100"/>
  <c r="C40" i="100" s="1"/>
  <c r="L39" i="100"/>
  <c r="I39" i="100"/>
  <c r="F39" i="100"/>
  <c r="E39" i="100"/>
  <c r="D39" i="100"/>
  <c r="C39" i="100" s="1"/>
  <c r="L38" i="100"/>
  <c r="I38" i="100"/>
  <c r="F38" i="100"/>
  <c r="E38" i="100"/>
  <c r="D38" i="100"/>
  <c r="C38" i="100" s="1"/>
  <c r="L37" i="100"/>
  <c r="I37" i="100"/>
  <c r="F37" i="100"/>
  <c r="E37" i="100"/>
  <c r="D37" i="100"/>
  <c r="C37" i="100" s="1"/>
  <c r="L36" i="100"/>
  <c r="I36" i="100"/>
  <c r="F36" i="100"/>
  <c r="E36" i="100"/>
  <c r="D36" i="100"/>
  <c r="C36" i="100" s="1"/>
  <c r="L35" i="100"/>
  <c r="I35" i="100"/>
  <c r="F35" i="100"/>
  <c r="E35" i="100"/>
  <c r="D35" i="100"/>
  <c r="C35" i="100" s="1"/>
  <c r="L34" i="100"/>
  <c r="I34" i="100"/>
  <c r="F34" i="100"/>
  <c r="E34" i="100"/>
  <c r="D34" i="100"/>
  <c r="C34" i="100" s="1"/>
  <c r="L33" i="100"/>
  <c r="I33" i="100"/>
  <c r="F33" i="100"/>
  <c r="E33" i="100"/>
  <c r="D33" i="100"/>
  <c r="C33" i="100" s="1"/>
  <c r="L32" i="100"/>
  <c r="I32" i="100"/>
  <c r="F32" i="100"/>
  <c r="E32" i="100"/>
  <c r="D32" i="100"/>
  <c r="C32" i="100" s="1"/>
  <c r="L31" i="100"/>
  <c r="I31" i="100"/>
  <c r="F31" i="100"/>
  <c r="E31" i="100"/>
  <c r="D31" i="100"/>
  <c r="C31" i="100" s="1"/>
  <c r="L30" i="100"/>
  <c r="I30" i="100"/>
  <c r="F30" i="100"/>
  <c r="E30" i="100"/>
  <c r="D30" i="100"/>
  <c r="C30" i="100" s="1"/>
  <c r="L29" i="100"/>
  <c r="I29" i="100"/>
  <c r="F29" i="100"/>
  <c r="E29" i="100"/>
  <c r="D29" i="100"/>
  <c r="C29" i="100" s="1"/>
  <c r="L28" i="100"/>
  <c r="I28" i="100"/>
  <c r="F28" i="100"/>
  <c r="E28" i="100"/>
  <c r="D28" i="100"/>
  <c r="C28" i="100" s="1"/>
  <c r="L27" i="100"/>
  <c r="I27" i="100"/>
  <c r="F27" i="100"/>
  <c r="E27" i="100"/>
  <c r="D27" i="100"/>
  <c r="C27" i="100" s="1"/>
  <c r="L26" i="100"/>
  <c r="I26" i="100"/>
  <c r="F26" i="100"/>
  <c r="E26" i="100"/>
  <c r="D26" i="100"/>
  <c r="C26" i="100" s="1"/>
  <c r="L25" i="100"/>
  <c r="I25" i="100"/>
  <c r="F25" i="100"/>
  <c r="E25" i="100"/>
  <c r="D25" i="100"/>
  <c r="C25" i="100" s="1"/>
  <c r="L24" i="100"/>
  <c r="I24" i="100"/>
  <c r="F24" i="100"/>
  <c r="E24" i="100"/>
  <c r="D24" i="100"/>
  <c r="C24" i="100" s="1"/>
  <c r="L23" i="100"/>
  <c r="I23" i="100"/>
  <c r="F23" i="100"/>
  <c r="E23" i="100"/>
  <c r="D23" i="100"/>
  <c r="C23" i="100" s="1"/>
  <c r="L22" i="100"/>
  <c r="I22" i="100"/>
  <c r="F22" i="100"/>
  <c r="E22" i="100"/>
  <c r="D22" i="100"/>
  <c r="C22" i="100" s="1"/>
  <c r="L21" i="100"/>
  <c r="I21" i="100"/>
  <c r="F21" i="100"/>
  <c r="E21" i="100"/>
  <c r="D21" i="100"/>
  <c r="C21" i="100" s="1"/>
  <c r="L20" i="100"/>
  <c r="I20" i="100"/>
  <c r="F20" i="100"/>
  <c r="E20" i="100"/>
  <c r="D20" i="100"/>
  <c r="C20" i="100" s="1"/>
  <c r="L19" i="100"/>
  <c r="I19" i="100"/>
  <c r="F19" i="100"/>
  <c r="E19" i="100"/>
  <c r="D19" i="100"/>
  <c r="C19" i="100" s="1"/>
  <c r="L18" i="100"/>
  <c r="I18" i="100"/>
  <c r="F18" i="100"/>
  <c r="E18" i="100"/>
  <c r="D18" i="100"/>
  <c r="C18" i="100" s="1"/>
  <c r="L17" i="100"/>
  <c r="I17" i="100"/>
  <c r="F17" i="100"/>
  <c r="E17" i="100"/>
  <c r="D17" i="100"/>
  <c r="C17" i="100" s="1"/>
  <c r="L16" i="100"/>
  <c r="I16" i="100"/>
  <c r="F16" i="100"/>
  <c r="E16" i="100"/>
  <c r="D16" i="100"/>
  <c r="C16" i="100" s="1"/>
  <c r="L15" i="100"/>
  <c r="I15" i="100"/>
  <c r="F15" i="100"/>
  <c r="E15" i="100"/>
  <c r="D15" i="100"/>
  <c r="C15" i="100" s="1"/>
  <c r="L14" i="100"/>
  <c r="I14" i="100"/>
  <c r="F14" i="100"/>
  <c r="E14" i="100"/>
  <c r="D14" i="100"/>
  <c r="C14" i="100" s="1"/>
  <c r="L13" i="100"/>
  <c r="I13" i="100"/>
  <c r="F13" i="100"/>
  <c r="E13" i="100"/>
  <c r="D13" i="100"/>
  <c r="C13" i="100" s="1"/>
  <c r="L12" i="100"/>
  <c r="I12" i="100"/>
  <c r="F12" i="100"/>
  <c r="E12" i="100"/>
  <c r="D12" i="100"/>
  <c r="C12" i="100" s="1"/>
  <c r="L11" i="100"/>
  <c r="I11" i="100"/>
  <c r="F11" i="100"/>
  <c r="E11" i="100"/>
  <c r="D11" i="100"/>
  <c r="C11" i="100" s="1"/>
  <c r="L10" i="100"/>
  <c r="I10" i="100"/>
  <c r="F10" i="100"/>
  <c r="E10" i="100"/>
  <c r="C10" i="100" s="1"/>
  <c r="D10" i="100"/>
  <c r="L9" i="100"/>
  <c r="I9" i="100"/>
  <c r="F9" i="100"/>
  <c r="E9" i="100"/>
  <c r="D9" i="100"/>
  <c r="C9" i="100" s="1"/>
  <c r="L72" i="100"/>
  <c r="I72" i="100"/>
  <c r="F72" i="100"/>
  <c r="E72" i="100"/>
  <c r="D72" i="100"/>
  <c r="C72" i="100" s="1"/>
  <c r="L71" i="100"/>
  <c r="I71" i="100"/>
  <c r="F71" i="100"/>
  <c r="E71" i="100"/>
  <c r="D71" i="100"/>
  <c r="C71" i="100" s="1"/>
  <c r="L70" i="100"/>
  <c r="I70" i="100"/>
  <c r="F70" i="100"/>
  <c r="E70" i="100"/>
  <c r="D70" i="100"/>
  <c r="C70" i="100"/>
  <c r="L69" i="100"/>
  <c r="I69" i="100"/>
  <c r="F69" i="100"/>
  <c r="E69" i="100"/>
  <c r="D69" i="100"/>
  <c r="C69" i="100" s="1"/>
  <c r="L68" i="100"/>
  <c r="I68" i="100"/>
  <c r="F68" i="100"/>
  <c r="E68" i="100"/>
  <c r="D68" i="100"/>
  <c r="C68" i="100"/>
  <c r="L67" i="100"/>
  <c r="I67" i="100"/>
  <c r="F67" i="100"/>
  <c r="E67" i="100"/>
  <c r="D67" i="100"/>
  <c r="C67" i="100" s="1"/>
  <c r="L66" i="100"/>
  <c r="I66" i="100"/>
  <c r="F66" i="100"/>
  <c r="E66" i="100"/>
  <c r="D66" i="100"/>
  <c r="C66" i="100"/>
  <c r="L65" i="100"/>
  <c r="I65" i="100"/>
  <c r="F65" i="100"/>
  <c r="E65" i="100"/>
  <c r="C65" i="100" s="1"/>
  <c r="D65" i="100"/>
  <c r="L64" i="100"/>
  <c r="I64" i="100"/>
  <c r="F64" i="100"/>
  <c r="E64" i="100"/>
  <c r="D64" i="100"/>
  <c r="C64" i="100" s="1"/>
  <c r="L63" i="100"/>
  <c r="I63" i="100"/>
  <c r="F63" i="100"/>
  <c r="E63" i="100"/>
  <c r="D63" i="100"/>
  <c r="C63" i="100"/>
  <c r="L62" i="100"/>
  <c r="I62" i="100"/>
  <c r="F62" i="100"/>
  <c r="E62" i="100"/>
  <c r="C62" i="100" s="1"/>
  <c r="D62" i="100"/>
  <c r="L61" i="100"/>
  <c r="I61" i="100"/>
  <c r="F61" i="100"/>
  <c r="E61" i="100"/>
  <c r="D61" i="100"/>
  <c r="C61" i="100"/>
  <c r="L60" i="100"/>
  <c r="I60" i="100"/>
  <c r="F60" i="100"/>
  <c r="E60" i="100"/>
  <c r="C60" i="100" s="1"/>
  <c r="D60" i="100"/>
  <c r="L59" i="100"/>
  <c r="I59" i="100"/>
  <c r="F59" i="100"/>
  <c r="E59" i="100"/>
  <c r="D59" i="100"/>
  <c r="C59" i="100"/>
  <c r="L58" i="100"/>
  <c r="I58" i="100"/>
  <c r="F58" i="100"/>
  <c r="E58" i="100"/>
  <c r="D58" i="100"/>
  <c r="C58" i="100" s="1"/>
  <c r="L57" i="100"/>
  <c r="I57" i="100"/>
  <c r="F57" i="100"/>
  <c r="E57" i="100"/>
  <c r="D57" i="100"/>
  <c r="C57" i="100"/>
  <c r="L56" i="100"/>
  <c r="I56" i="100"/>
  <c r="F56" i="100"/>
  <c r="E56" i="100"/>
  <c r="D56" i="100"/>
  <c r="C56" i="100" s="1"/>
  <c r="L55" i="100"/>
  <c r="I55" i="100"/>
  <c r="F55" i="100"/>
  <c r="E55" i="100"/>
  <c r="D55" i="100"/>
  <c r="C55" i="100" s="1"/>
  <c r="L54" i="100"/>
  <c r="I54" i="100"/>
  <c r="F54" i="100"/>
  <c r="E54" i="100"/>
  <c r="D54" i="100"/>
  <c r="C54" i="100" s="1"/>
  <c r="L53" i="100"/>
  <c r="I53" i="100"/>
  <c r="F53" i="100"/>
  <c r="E53" i="100"/>
  <c r="D53" i="100"/>
  <c r="C53" i="100" s="1"/>
  <c r="L52" i="100"/>
  <c r="I52" i="100"/>
  <c r="F52" i="100"/>
  <c r="E52" i="100"/>
  <c r="D52" i="100"/>
  <c r="C52" i="100"/>
  <c r="L51" i="100"/>
  <c r="I51" i="100"/>
  <c r="F51" i="100"/>
  <c r="E51" i="100"/>
  <c r="D51" i="100"/>
  <c r="C51" i="100" s="1"/>
  <c r="L50" i="100"/>
  <c r="I50" i="100"/>
  <c r="F50" i="100"/>
  <c r="E50" i="100"/>
  <c r="D50" i="100"/>
  <c r="C50" i="100" s="1"/>
  <c r="L49" i="100"/>
  <c r="I49" i="100"/>
  <c r="F49" i="100"/>
  <c r="E49" i="100"/>
  <c r="D49" i="100"/>
  <c r="C49" i="100" s="1"/>
  <c r="L48" i="100"/>
  <c r="I48" i="100"/>
  <c r="F48" i="100"/>
  <c r="E48" i="100"/>
  <c r="D48" i="100"/>
  <c r="C48" i="100" s="1"/>
  <c r="L47" i="100"/>
  <c r="I47" i="100"/>
  <c r="F47" i="100"/>
  <c r="E47" i="100"/>
  <c r="D47" i="100"/>
  <c r="C47" i="100" s="1"/>
  <c r="L46" i="100"/>
  <c r="I46" i="100"/>
  <c r="F46" i="100"/>
  <c r="E46" i="100"/>
  <c r="D46" i="100"/>
  <c r="C46" i="100" s="1"/>
  <c r="L45" i="100"/>
  <c r="I45" i="100"/>
  <c r="F45" i="100"/>
  <c r="E45" i="100"/>
  <c r="D45" i="100"/>
  <c r="C45" i="100" s="1"/>
  <c r="L81" i="100"/>
  <c r="I81" i="100"/>
  <c r="F81" i="100"/>
  <c r="E81" i="100"/>
  <c r="D81" i="100"/>
  <c r="C81" i="100" s="1"/>
  <c r="L80" i="100"/>
  <c r="I80" i="100"/>
  <c r="F80" i="100"/>
  <c r="E80" i="100"/>
  <c r="D80" i="100"/>
  <c r="C80" i="100" s="1"/>
  <c r="L79" i="100"/>
  <c r="I79" i="100"/>
  <c r="F79" i="100"/>
  <c r="E79" i="100"/>
  <c r="D79" i="100"/>
  <c r="C79" i="100"/>
  <c r="L78" i="100"/>
  <c r="I78" i="100"/>
  <c r="F78" i="100"/>
  <c r="E78" i="100"/>
  <c r="C78" i="100" s="1"/>
  <c r="D78" i="100"/>
  <c r="L77" i="100"/>
  <c r="I77" i="100"/>
  <c r="F77" i="100"/>
  <c r="E77" i="100"/>
  <c r="D77" i="100"/>
  <c r="C77" i="100"/>
  <c r="L76" i="100"/>
  <c r="I76" i="100"/>
  <c r="F76" i="100"/>
  <c r="E76" i="100"/>
  <c r="D76" i="100"/>
  <c r="C76" i="100" s="1"/>
  <c r="L75" i="100"/>
  <c r="I75" i="100"/>
  <c r="F75" i="100"/>
  <c r="E75" i="100"/>
  <c r="D75" i="100"/>
  <c r="C75" i="100"/>
  <c r="L74" i="100"/>
  <c r="I74" i="100"/>
  <c r="F74" i="100"/>
  <c r="E74" i="100"/>
  <c r="D74" i="100"/>
  <c r="C74" i="100" s="1"/>
  <c r="G44" i="100" l="1"/>
  <c r="H73" i="100"/>
  <c r="G73" i="100"/>
  <c r="L108" i="27"/>
  <c r="L117" i="27"/>
  <c r="L92" i="27"/>
  <c r="L72" i="27"/>
  <c r="L31" i="27"/>
  <c r="L67" i="27"/>
  <c r="L87" i="27"/>
  <c r="L85" i="27"/>
  <c r="L52" i="27"/>
  <c r="L109" i="27"/>
  <c r="L95" i="27"/>
  <c r="L29" i="27"/>
  <c r="L102" i="27"/>
  <c r="L100" i="27"/>
  <c r="L49" i="27"/>
  <c r="L5" i="27"/>
  <c r="L97" i="27"/>
  <c r="L93" i="27"/>
  <c r="L18" i="27"/>
  <c r="L21" i="27"/>
  <c r="L35" i="27"/>
  <c r="L15" i="27"/>
  <c r="L23" i="27"/>
  <c r="L91" i="27"/>
  <c r="L96" i="27"/>
  <c r="L107" i="27"/>
  <c r="L123" i="27"/>
  <c r="L22" i="27"/>
  <c r="L105" i="27"/>
  <c r="L41" i="27"/>
  <c r="L16" i="27"/>
  <c r="L20" i="27"/>
  <c r="L111" i="27"/>
  <c r="L74" i="27"/>
  <c r="L121" i="27"/>
  <c r="L106" i="27"/>
  <c r="L25" i="27"/>
  <c r="L53" i="27"/>
  <c r="L6" i="27"/>
  <c r="L110" i="27"/>
  <c r="L104" i="27"/>
  <c r="L36" i="27"/>
  <c r="L32" i="27"/>
  <c r="L42" i="27"/>
  <c r="L127" i="27"/>
  <c r="L132" i="27"/>
  <c r="L37" i="27"/>
  <c r="L44" i="27"/>
  <c r="L9" i="27"/>
  <c r="L28" i="27"/>
  <c r="L136" i="27"/>
  <c r="L125" i="27"/>
  <c r="L7" i="27"/>
  <c r="L13" i="27"/>
  <c r="L90" i="27"/>
  <c r="L19" i="27"/>
  <c r="L86" i="27"/>
  <c r="L54" i="27"/>
  <c r="L122" i="27"/>
  <c r="L137" i="27"/>
  <c r="L66" i="27"/>
  <c r="L77" i="27"/>
  <c r="L89" i="27"/>
  <c r="L14" i="27"/>
  <c r="L30" i="27"/>
  <c r="L50" i="27"/>
  <c r="L84" i="27"/>
  <c r="L116" i="27"/>
  <c r="L4" i="27"/>
  <c r="L79" i="27"/>
  <c r="L3" i="27"/>
  <c r="L134" i="27"/>
  <c r="L26" i="27"/>
  <c r="L40" i="27"/>
  <c r="L12" i="27"/>
  <c r="L75" i="27"/>
  <c r="L58" i="27"/>
  <c r="L46" i="27"/>
  <c r="L82" i="27"/>
  <c r="L131" i="27"/>
  <c r="L68" i="27"/>
  <c r="L62" i="27"/>
  <c r="L8" i="27"/>
  <c r="L55" i="27"/>
  <c r="L65" i="27"/>
  <c r="L73" i="27"/>
  <c r="L128" i="27"/>
  <c r="L27" i="27"/>
  <c r="L17" i="27"/>
  <c r="L69" i="27"/>
  <c r="L57" i="27"/>
  <c r="L94" i="27"/>
  <c r="L38" i="27"/>
  <c r="L61" i="27"/>
  <c r="L43" i="27"/>
  <c r="L115" i="27"/>
  <c r="L63" i="27"/>
  <c r="L120" i="27"/>
  <c r="L71" i="27"/>
  <c r="L56" i="27"/>
  <c r="L78" i="27"/>
  <c r="L39" i="27"/>
  <c r="L33" i="27"/>
  <c r="L80" i="27"/>
  <c r="L83" i="27"/>
  <c r="L99" i="27"/>
  <c r="L70" i="27"/>
  <c r="L45" i="27"/>
  <c r="L133" i="27"/>
  <c r="L59" i="27"/>
  <c r="L48" i="27"/>
  <c r="L113" i="27"/>
  <c r="L130" i="27"/>
  <c r="L76" i="27"/>
  <c r="L118" i="27"/>
  <c r="L114" i="27"/>
  <c r="L129" i="27"/>
  <c r="L11" i="27"/>
  <c r="L81" i="27"/>
  <c r="L34" i="27"/>
  <c r="L88" i="27"/>
  <c r="L51" i="27"/>
  <c r="L64" i="27"/>
  <c r="L112" i="27"/>
  <c r="L10" i="27"/>
  <c r="L135" i="27"/>
  <c r="L60" i="27"/>
  <c r="L124" i="27"/>
  <c r="L98" i="27"/>
  <c r="L119" i="27"/>
  <c r="L101" i="27"/>
  <c r="L126" i="27"/>
  <c r="L103" i="27"/>
  <c r="L47" i="27"/>
  <c r="L24" i="27"/>
  <c r="N27" i="102" l="1"/>
  <c r="M30" i="102" l="1"/>
  <c r="N21" i="102"/>
  <c r="M29" i="102" s="1"/>
  <c r="E37" i="102" l="1"/>
  <c r="F41" i="102" l="1"/>
  <c r="F40" i="102"/>
  <c r="D40" i="102"/>
  <c r="F39" i="102"/>
  <c r="D39" i="102"/>
  <c r="F38" i="102"/>
  <c r="D38" i="102"/>
  <c r="C37" i="102"/>
  <c r="C37" i="103" l="1"/>
  <c r="C36" i="103"/>
  <c r="C35" i="103"/>
  <c r="C34" i="103"/>
  <c r="C33" i="103"/>
  <c r="C32" i="103"/>
  <c r="C29" i="103"/>
  <c r="C28" i="103"/>
  <c r="C27" i="103"/>
  <c r="C26" i="103"/>
  <c r="C25" i="103"/>
  <c r="C24" i="103"/>
  <c r="C21" i="103"/>
  <c r="C20" i="103"/>
  <c r="C19" i="103"/>
  <c r="C18" i="103"/>
  <c r="C17" i="103"/>
  <c r="C16" i="103"/>
  <c r="C15" i="103"/>
  <c r="C14" i="103"/>
  <c r="C13" i="103"/>
  <c r="C12" i="103"/>
  <c r="C11" i="103"/>
  <c r="C8" i="103"/>
  <c r="C7" i="103"/>
  <c r="C6" i="103"/>
  <c r="C5" i="103"/>
  <c r="H29" i="12" l="1"/>
  <c r="H28" i="12"/>
  <c r="N73" i="100" l="1"/>
  <c r="M73" i="100"/>
  <c r="K73" i="100"/>
  <c r="J73" i="100"/>
  <c r="N44" i="100"/>
  <c r="M44" i="100"/>
  <c r="K44" i="100"/>
  <c r="J44" i="100"/>
  <c r="H44" i="100"/>
  <c r="F44" i="100" s="1"/>
  <c r="N8" i="100"/>
  <c r="M8" i="100"/>
  <c r="K8" i="100"/>
  <c r="J8" i="100"/>
  <c r="H8" i="100"/>
  <c r="H6" i="100" s="1"/>
  <c r="G8" i="100"/>
  <c r="D8" i="100" s="1"/>
  <c r="I73" i="100" l="1"/>
  <c r="E8" i="100"/>
  <c r="C8" i="100" s="1"/>
  <c r="D44" i="100"/>
  <c r="K6" i="100"/>
  <c r="F73" i="100"/>
  <c r="N6" i="100"/>
  <c r="M6" i="100"/>
  <c r="G6" i="100"/>
  <c r="I8" i="100"/>
  <c r="E44" i="100"/>
  <c r="L44" i="100"/>
  <c r="D73" i="100"/>
  <c r="F8" i="100"/>
  <c r="I44" i="100"/>
  <c r="L73" i="100"/>
  <c r="E73" i="100"/>
  <c r="L8" i="100"/>
  <c r="J6" i="100"/>
  <c r="T29" i="67"/>
  <c r="S29" i="67"/>
  <c r="Q29" i="67"/>
  <c r="P29" i="67"/>
  <c r="N29" i="67"/>
  <c r="M29" i="67"/>
  <c r="H29" i="67"/>
  <c r="G29" i="67"/>
  <c r="C73" i="100" l="1"/>
  <c r="L6" i="100"/>
  <c r="C44" i="100"/>
  <c r="I6" i="100"/>
  <c r="E6" i="100"/>
  <c r="E7" i="100" s="1"/>
  <c r="D6" i="100"/>
  <c r="D7" i="100" s="1"/>
  <c r="F6" i="100"/>
  <c r="Q16" i="102"/>
  <c r="Q9" i="102"/>
  <c r="C6" i="100" l="1"/>
  <c r="Q27" i="102"/>
  <c r="R28" i="67" l="1"/>
  <c r="O28" i="67"/>
  <c r="L28" i="67"/>
  <c r="I28" i="67"/>
  <c r="F28" i="67"/>
  <c r="C28" i="67"/>
  <c r="R27" i="67"/>
  <c r="O27" i="67"/>
  <c r="L27" i="67"/>
  <c r="I27" i="67"/>
  <c r="F27" i="67"/>
  <c r="C27" i="67"/>
  <c r="R26" i="67"/>
  <c r="O26" i="67"/>
  <c r="L26" i="67"/>
  <c r="I26" i="67"/>
  <c r="F26" i="67"/>
  <c r="C26" i="67"/>
  <c r="R25" i="67"/>
  <c r="O25" i="67"/>
  <c r="L25" i="67"/>
  <c r="I25" i="67"/>
  <c r="F25" i="67"/>
  <c r="C25" i="67"/>
  <c r="R24" i="67"/>
  <c r="O24" i="67"/>
  <c r="L24" i="67"/>
  <c r="I24" i="67"/>
  <c r="F24" i="67"/>
  <c r="C24" i="67"/>
  <c r="R23" i="67"/>
  <c r="O23" i="67"/>
  <c r="L23" i="67"/>
  <c r="I23" i="67"/>
  <c r="F23" i="67"/>
  <c r="C23" i="67"/>
  <c r="R22" i="67"/>
  <c r="O22" i="67"/>
  <c r="L22" i="67"/>
  <c r="I22" i="67"/>
  <c r="F22" i="67"/>
  <c r="C22" i="67"/>
  <c r="R21" i="67"/>
  <c r="O21" i="67"/>
  <c r="L21" i="67"/>
  <c r="I21" i="67"/>
  <c r="F21" i="67"/>
  <c r="C21" i="67"/>
  <c r="R20" i="67"/>
  <c r="O20" i="67"/>
  <c r="L20" i="67"/>
  <c r="I20" i="67"/>
  <c r="F20" i="67"/>
  <c r="C20" i="67"/>
  <c r="R19" i="67"/>
  <c r="O19" i="67"/>
  <c r="L19" i="67"/>
  <c r="I19" i="67"/>
  <c r="F19" i="67"/>
  <c r="C19" i="67"/>
  <c r="T18" i="67"/>
  <c r="S18" i="67"/>
  <c r="R18" i="67" s="1"/>
  <c r="Q18" i="67"/>
  <c r="P18" i="67"/>
  <c r="N18" i="67"/>
  <c r="M18" i="67"/>
  <c r="L18" i="67" s="1"/>
  <c r="K18" i="67"/>
  <c r="J18" i="67"/>
  <c r="I18" i="67" s="1"/>
  <c r="H18" i="67"/>
  <c r="G18" i="67"/>
  <c r="F18" i="67" s="1"/>
  <c r="E18" i="67"/>
  <c r="D18" i="67"/>
  <c r="R17" i="67"/>
  <c r="O17" i="67"/>
  <c r="L17" i="67"/>
  <c r="I17" i="67"/>
  <c r="F17" i="67"/>
  <c r="C17" i="67"/>
  <c r="R16" i="67"/>
  <c r="O16" i="67"/>
  <c r="L16" i="67"/>
  <c r="I16" i="67"/>
  <c r="F16" i="67"/>
  <c r="C16" i="67"/>
  <c r="R15" i="67"/>
  <c r="O15" i="67"/>
  <c r="L15" i="67"/>
  <c r="I15" i="67"/>
  <c r="F15" i="67"/>
  <c r="C15" i="67"/>
  <c r="T14" i="67"/>
  <c r="S14" i="67"/>
  <c r="Q14" i="67"/>
  <c r="P14" i="67"/>
  <c r="O14" i="67" s="1"/>
  <c r="N14" i="67"/>
  <c r="M14" i="67"/>
  <c r="K14" i="67"/>
  <c r="J14" i="67"/>
  <c r="H14" i="67"/>
  <c r="G14" i="67"/>
  <c r="E14" i="67"/>
  <c r="D14" i="67"/>
  <c r="R13" i="67"/>
  <c r="O13" i="67"/>
  <c r="L13" i="67"/>
  <c r="I13" i="67"/>
  <c r="F13" i="67"/>
  <c r="C13" i="67"/>
  <c r="R12" i="67"/>
  <c r="O12" i="67"/>
  <c r="L12" i="67"/>
  <c r="I12" i="67"/>
  <c r="F12" i="67"/>
  <c r="C12" i="67"/>
  <c r="R11" i="67"/>
  <c r="O11" i="67"/>
  <c r="L11" i="67"/>
  <c r="I11" i="67"/>
  <c r="F11" i="67"/>
  <c r="C11" i="67"/>
  <c r="R10" i="67"/>
  <c r="O10" i="67"/>
  <c r="L10" i="67"/>
  <c r="I10" i="67"/>
  <c r="F10" i="67"/>
  <c r="C10" i="67"/>
  <c r="R9" i="67"/>
  <c r="O9" i="67"/>
  <c r="L9" i="67"/>
  <c r="I9" i="67"/>
  <c r="F9" i="67"/>
  <c r="C9" i="67"/>
  <c r="R8" i="67"/>
  <c r="O8" i="67"/>
  <c r="L8" i="67"/>
  <c r="I8" i="67"/>
  <c r="F8" i="67"/>
  <c r="C8" i="67"/>
  <c r="F14" i="67" l="1"/>
  <c r="R14" i="67"/>
  <c r="L14" i="67"/>
  <c r="C18" i="67"/>
  <c r="I14" i="67"/>
  <c r="O18" i="67"/>
  <c r="C14" i="67"/>
  <c r="D35" i="87"/>
  <c r="D34" i="87"/>
  <c r="D33" i="87"/>
  <c r="D32" i="87"/>
  <c r="D31" i="87"/>
  <c r="D30" i="87"/>
  <c r="D29" i="87"/>
  <c r="D28" i="87"/>
  <c r="D27" i="87"/>
  <c r="D26" i="87"/>
  <c r="D25" i="87"/>
  <c r="D24" i="87"/>
  <c r="D23" i="87"/>
  <c r="D22" i="87"/>
  <c r="D21" i="87"/>
  <c r="D20" i="87"/>
  <c r="D19" i="87"/>
  <c r="D18" i="87"/>
  <c r="D17" i="87"/>
  <c r="D16" i="87"/>
  <c r="D15" i="87"/>
  <c r="D14" i="87"/>
  <c r="D13" i="87"/>
  <c r="D12" i="87"/>
  <c r="D11" i="87"/>
  <c r="D10" i="87"/>
  <c r="D9" i="87"/>
  <c r="D8" i="87"/>
  <c r="D7" i="87"/>
  <c r="M27" i="103" l="1"/>
  <c r="M26" i="103"/>
  <c r="M25" i="103"/>
  <c r="L24" i="103"/>
  <c r="K24" i="103"/>
  <c r="M23" i="103"/>
  <c r="M22" i="103"/>
  <c r="M21" i="103"/>
  <c r="L20" i="103"/>
  <c r="K20" i="103"/>
  <c r="M19" i="103"/>
  <c r="M18" i="103"/>
  <c r="M17" i="103"/>
  <c r="L16" i="103"/>
  <c r="K16" i="103"/>
  <c r="M15" i="103"/>
  <c r="M14" i="103"/>
  <c r="M13" i="103"/>
  <c r="L12" i="103"/>
  <c r="K12" i="103"/>
  <c r="M11" i="103"/>
  <c r="M10" i="103"/>
  <c r="M9" i="103"/>
  <c r="M8" i="103"/>
  <c r="L7" i="103"/>
  <c r="K7" i="103"/>
  <c r="E30" i="102"/>
  <c r="C30" i="102"/>
  <c r="Q28" i="102"/>
  <c r="J23" i="102"/>
  <c r="I23" i="102"/>
  <c r="H23" i="102"/>
  <c r="G23" i="102"/>
  <c r="C27" i="102" s="1"/>
  <c r="Q26" i="102"/>
  <c r="Q25" i="102"/>
  <c r="Q24" i="102"/>
  <c r="Q23" i="102"/>
  <c r="Q22" i="102"/>
  <c r="Q21" i="102"/>
  <c r="Q20" i="102"/>
  <c r="Q19" i="102"/>
  <c r="C15" i="102"/>
  <c r="Q18" i="102"/>
  <c r="C14" i="102"/>
  <c r="Q17" i="102"/>
  <c r="C13" i="102"/>
  <c r="C12" i="102"/>
  <c r="Q15" i="102"/>
  <c r="Q14" i="102"/>
  <c r="Q13" i="102"/>
  <c r="C9" i="102"/>
  <c r="Q12" i="102"/>
  <c r="Q11" i="102"/>
  <c r="P10" i="102"/>
  <c r="P7" i="102" s="1"/>
  <c r="O10" i="102"/>
  <c r="O7" i="102" s="1"/>
  <c r="Q8" i="102"/>
  <c r="M20" i="103" l="1"/>
  <c r="N7" i="67" l="1"/>
  <c r="G7" i="67"/>
  <c r="T7" i="67"/>
  <c r="S7" i="67"/>
  <c r="P7" i="67"/>
  <c r="K7" i="67"/>
  <c r="K29" i="67" s="1"/>
  <c r="H7" i="67"/>
  <c r="D7" i="67"/>
  <c r="D29" i="67" s="1"/>
  <c r="R7" i="67" l="1"/>
  <c r="F7" i="67"/>
  <c r="J7" i="67"/>
  <c r="J29" i="67" s="1"/>
  <c r="P30" i="67"/>
  <c r="M7" i="67"/>
  <c r="L7" i="67" s="1"/>
  <c r="E7" i="67"/>
  <c r="E29" i="67" s="1"/>
  <c r="Q7" i="67"/>
  <c r="O7" i="67" s="1"/>
  <c r="B3" i="67" l="1"/>
  <c r="I7" i="67"/>
  <c r="F30" i="67"/>
  <c r="C7" i="67"/>
  <c r="F32" i="67"/>
  <c r="G13" i="96" l="1"/>
  <c r="I6" i="96"/>
  <c r="H6" i="96"/>
  <c r="G12" i="96"/>
  <c r="G11" i="96"/>
  <c r="G10" i="96"/>
  <c r="G9" i="96"/>
  <c r="G8" i="96"/>
  <c r="G7" i="96"/>
  <c r="H30" i="12"/>
  <c r="G6" i="96" l="1"/>
  <c r="H26" i="12"/>
  <c r="AC89" i="91" l="1"/>
  <c r="AD89" i="91"/>
  <c r="AE89" i="91"/>
  <c r="AF89" i="91"/>
  <c r="AG89" i="91"/>
  <c r="AH89" i="91"/>
  <c r="AC137" i="91"/>
  <c r="AD137" i="91"/>
  <c r="AE137" i="91"/>
  <c r="AF137" i="91"/>
  <c r="AG137" i="91"/>
  <c r="AH137" i="91"/>
  <c r="D21" i="61" l="1"/>
  <c r="D20" i="61"/>
  <c r="D18" i="61"/>
  <c r="D19" i="61"/>
  <c r="D17" i="61"/>
  <c r="J21" i="95" l="1"/>
  <c r="G21" i="95"/>
  <c r="G22" i="61"/>
  <c r="T22" i="61" l="1"/>
  <c r="S22" i="61"/>
  <c r="Q22" i="61"/>
  <c r="P22" i="61"/>
  <c r="N22" i="61"/>
  <c r="M22" i="61"/>
  <c r="K22" i="61"/>
  <c r="J22" i="61"/>
  <c r="H22" i="61"/>
  <c r="E21" i="61"/>
  <c r="C21" i="61" s="1"/>
  <c r="F21" i="61"/>
  <c r="I21" i="61"/>
  <c r="L21" i="61"/>
  <c r="O21" i="61"/>
  <c r="R21" i="61"/>
  <c r="U21" i="61"/>
  <c r="G23" i="61" l="1"/>
  <c r="D14" i="92"/>
  <c r="E14" i="92"/>
  <c r="F14" i="92"/>
  <c r="I14" i="92"/>
  <c r="L14" i="92"/>
  <c r="O14" i="92"/>
  <c r="R14" i="92"/>
  <c r="U14" i="92"/>
  <c r="C14" i="92" l="1"/>
  <c r="K35" i="87"/>
  <c r="H35" i="87"/>
  <c r="E35" i="87"/>
  <c r="K34" i="87"/>
  <c r="H34" i="87"/>
  <c r="E34" i="87"/>
  <c r="K33" i="87"/>
  <c r="H33" i="87"/>
  <c r="E33" i="87"/>
  <c r="K32" i="87"/>
  <c r="H32" i="87"/>
  <c r="E32" i="87"/>
  <c r="K31" i="87"/>
  <c r="H31" i="87"/>
  <c r="E31" i="87"/>
  <c r="K30" i="87"/>
  <c r="H30" i="87"/>
  <c r="E30" i="87"/>
  <c r="K29" i="87"/>
  <c r="H29" i="87"/>
  <c r="E29" i="87"/>
  <c r="K28" i="87"/>
  <c r="H28" i="87"/>
  <c r="E28" i="87"/>
  <c r="K27" i="87"/>
  <c r="H27" i="87"/>
  <c r="E27" i="87"/>
  <c r="K26" i="87"/>
  <c r="H26" i="87"/>
  <c r="E26" i="87"/>
  <c r="K25" i="87"/>
  <c r="H25" i="87"/>
  <c r="E25" i="87"/>
  <c r="K24" i="87"/>
  <c r="H24" i="87"/>
  <c r="E24" i="87"/>
  <c r="K23" i="87"/>
  <c r="H23" i="87"/>
  <c r="E23" i="87"/>
  <c r="K22" i="87"/>
  <c r="H22" i="87"/>
  <c r="E22" i="87"/>
  <c r="K21" i="87"/>
  <c r="H21" i="87"/>
  <c r="E21" i="87"/>
  <c r="K20" i="87"/>
  <c r="H20" i="87"/>
  <c r="E20" i="87"/>
  <c r="K19" i="87"/>
  <c r="H19" i="87"/>
  <c r="E19" i="87"/>
  <c r="K18" i="87"/>
  <c r="H18" i="87"/>
  <c r="E18" i="87"/>
  <c r="K17" i="87"/>
  <c r="H17" i="87"/>
  <c r="E17" i="87"/>
  <c r="K16" i="87"/>
  <c r="H16" i="87"/>
  <c r="E16" i="87"/>
  <c r="K15" i="87"/>
  <c r="H15" i="87"/>
  <c r="E15" i="87"/>
  <c r="K14" i="87"/>
  <c r="N15" i="87" s="1"/>
  <c r="H14" i="87"/>
  <c r="E14" i="87"/>
  <c r="K13" i="87"/>
  <c r="H13" i="87"/>
  <c r="E13" i="87"/>
  <c r="K12" i="87"/>
  <c r="H12" i="87"/>
  <c r="E12" i="87"/>
  <c r="K11" i="87"/>
  <c r="H11" i="87"/>
  <c r="E11" i="87"/>
  <c r="K10" i="87"/>
  <c r="H10" i="87"/>
  <c r="E10" i="87"/>
  <c r="K9" i="87"/>
  <c r="H9" i="87"/>
  <c r="E9" i="87"/>
  <c r="K8" i="87"/>
  <c r="H8" i="87"/>
  <c r="E8" i="87"/>
  <c r="K7" i="87"/>
  <c r="H7" i="87"/>
  <c r="E7" i="87"/>
  <c r="M6" i="87"/>
  <c r="L6" i="87"/>
  <c r="J6" i="87"/>
  <c r="I6" i="87"/>
  <c r="H6" i="87" s="1"/>
  <c r="G6" i="87"/>
  <c r="F6" i="87"/>
  <c r="E6" i="87" s="1"/>
  <c r="K6" i="87" l="1"/>
  <c r="J6" i="96"/>
  <c r="J5" i="96" s="1"/>
  <c r="E16" i="77" l="1"/>
  <c r="D16" i="77"/>
  <c r="W21" i="95"/>
  <c r="V21" i="95"/>
  <c r="T21" i="95"/>
  <c r="S21" i="95"/>
  <c r="Q21" i="95"/>
  <c r="P21" i="95"/>
  <c r="N21" i="95"/>
  <c r="M21" i="95"/>
  <c r="K21" i="95"/>
  <c r="H21" i="95"/>
  <c r="F18" i="95" l="1"/>
  <c r="I18" i="95"/>
  <c r="L18" i="95"/>
  <c r="U19" i="61"/>
  <c r="R19" i="61"/>
  <c r="O19" i="61"/>
  <c r="E19" i="61"/>
  <c r="F6" i="96"/>
  <c r="E6" i="96"/>
  <c r="D6" i="87" s="1"/>
  <c r="N6" i="87" s="1"/>
  <c r="C19" i="61" l="1"/>
  <c r="F22" i="95"/>
  <c r="AC31" i="91" l="1"/>
  <c r="AD31" i="91"/>
  <c r="AE31" i="91"/>
  <c r="AF31" i="91"/>
  <c r="AG31" i="91"/>
  <c r="AH31" i="91"/>
  <c r="AC33" i="91"/>
  <c r="AD33" i="91"/>
  <c r="AE33" i="91"/>
  <c r="AF33" i="91"/>
  <c r="AG33" i="91"/>
  <c r="AH33" i="91"/>
  <c r="AC79" i="91"/>
  <c r="AD79" i="91"/>
  <c r="AE79" i="91"/>
  <c r="AF79" i="91"/>
  <c r="AG79" i="91"/>
  <c r="AH79" i="91"/>
  <c r="AC104" i="91"/>
  <c r="AD104" i="91"/>
  <c r="AE104" i="91"/>
  <c r="AF104" i="91"/>
  <c r="AG104" i="91"/>
  <c r="AH104" i="91"/>
  <c r="AC90" i="91"/>
  <c r="AD90" i="91"/>
  <c r="AE90" i="91"/>
  <c r="AF90" i="91"/>
  <c r="AG90" i="91"/>
  <c r="AH90" i="91"/>
  <c r="AC125" i="91"/>
  <c r="AD125" i="91"/>
  <c r="AE125" i="91"/>
  <c r="AF125" i="91"/>
  <c r="AG125" i="91"/>
  <c r="AH125" i="91"/>
  <c r="AC114" i="91"/>
  <c r="AD114" i="91"/>
  <c r="AE114" i="91"/>
  <c r="AF114" i="91"/>
  <c r="AG114" i="91"/>
  <c r="AH114" i="91"/>
  <c r="AC124" i="91"/>
  <c r="AD124" i="91"/>
  <c r="AE124" i="91"/>
  <c r="AF124" i="91"/>
  <c r="AG124" i="91"/>
  <c r="AH124" i="91"/>
  <c r="AC7" i="91"/>
  <c r="AD7" i="91"/>
  <c r="AE7" i="91"/>
  <c r="AF7" i="91"/>
  <c r="AG7" i="91"/>
  <c r="AH7" i="91"/>
  <c r="AC35" i="91"/>
  <c r="AD35" i="91"/>
  <c r="AE35" i="91"/>
  <c r="AF35" i="91"/>
  <c r="AG35" i="91"/>
  <c r="AH35" i="91"/>
  <c r="AC11" i="91"/>
  <c r="AD11" i="91"/>
  <c r="AE11" i="91"/>
  <c r="AF11" i="91"/>
  <c r="AG11" i="91"/>
  <c r="AH11" i="91"/>
  <c r="AC6" i="91"/>
  <c r="AD6" i="91"/>
  <c r="AE6" i="91"/>
  <c r="AF6" i="91"/>
  <c r="AG6" i="91"/>
  <c r="AH6" i="91"/>
  <c r="AC123" i="91"/>
  <c r="AD123" i="91"/>
  <c r="AE123" i="91"/>
  <c r="AF123" i="91"/>
  <c r="AG123" i="91"/>
  <c r="AH123" i="91"/>
  <c r="AC13" i="91"/>
  <c r="AD13" i="91"/>
  <c r="AE13" i="91"/>
  <c r="AF13" i="91"/>
  <c r="AG13" i="91"/>
  <c r="AH13" i="91"/>
  <c r="AC18" i="91"/>
  <c r="AD18" i="91"/>
  <c r="AE18" i="91"/>
  <c r="AF18" i="91"/>
  <c r="AG18" i="91"/>
  <c r="AH18" i="91"/>
  <c r="AC19" i="91"/>
  <c r="AD19" i="91"/>
  <c r="AE19" i="91"/>
  <c r="AF19" i="91"/>
  <c r="AG19" i="91"/>
  <c r="AH19" i="91"/>
  <c r="AC88" i="91"/>
  <c r="AD88" i="91"/>
  <c r="AE88" i="91"/>
  <c r="AF88" i="91"/>
  <c r="AG88" i="91"/>
  <c r="AH88" i="91"/>
  <c r="AC86" i="91"/>
  <c r="AD86" i="91"/>
  <c r="AE86" i="91"/>
  <c r="AF86" i="91"/>
  <c r="AG86" i="91"/>
  <c r="AH86" i="91"/>
  <c r="AC96" i="91"/>
  <c r="AD96" i="91"/>
  <c r="AE96" i="91"/>
  <c r="AF96" i="91"/>
  <c r="AG96" i="91"/>
  <c r="AH96" i="91"/>
  <c r="AC131" i="91"/>
  <c r="AD131" i="91"/>
  <c r="AE131" i="91"/>
  <c r="AF131" i="91"/>
  <c r="AG131" i="91"/>
  <c r="AH131" i="91"/>
  <c r="AC98" i="91"/>
  <c r="AD98" i="91"/>
  <c r="AE98" i="91"/>
  <c r="AF98" i="91"/>
  <c r="AG98" i="91"/>
  <c r="AH98" i="91"/>
  <c r="AC97" i="91"/>
  <c r="AD97" i="91"/>
  <c r="AE97" i="91"/>
  <c r="AF97" i="91"/>
  <c r="AG97" i="91"/>
  <c r="AH97" i="91"/>
  <c r="AC100" i="91"/>
  <c r="AD100" i="91"/>
  <c r="AE100" i="91"/>
  <c r="AF100" i="91"/>
  <c r="AG100" i="91"/>
  <c r="AH100" i="91"/>
  <c r="AC118" i="91"/>
  <c r="AD118" i="91"/>
  <c r="AE118" i="91"/>
  <c r="AF118" i="91"/>
  <c r="AG118" i="91"/>
  <c r="AH118" i="91"/>
  <c r="AC21" i="91"/>
  <c r="AD21" i="91"/>
  <c r="AE21" i="91"/>
  <c r="AF21" i="91"/>
  <c r="AG21" i="91"/>
  <c r="AH21" i="91"/>
  <c r="AC73" i="91"/>
  <c r="AD73" i="91"/>
  <c r="AE73" i="91"/>
  <c r="AF73" i="91"/>
  <c r="AG73" i="91"/>
  <c r="AH73" i="91"/>
  <c r="AC77" i="91"/>
  <c r="AD77" i="91"/>
  <c r="AE77" i="91"/>
  <c r="AF77" i="91"/>
  <c r="AG77" i="91"/>
  <c r="AH77" i="91"/>
  <c r="AC127" i="91"/>
  <c r="AD127" i="91"/>
  <c r="AE127" i="91"/>
  <c r="AF127" i="91"/>
  <c r="AG127" i="91"/>
  <c r="AH127" i="91"/>
  <c r="AC126" i="91"/>
  <c r="AD126" i="91"/>
  <c r="AE126" i="91"/>
  <c r="AF126" i="91"/>
  <c r="AG126" i="91"/>
  <c r="AH126" i="91"/>
  <c r="AC57" i="91"/>
  <c r="AD57" i="91"/>
  <c r="AE57" i="91"/>
  <c r="AF57" i="91"/>
  <c r="AG57" i="91"/>
  <c r="AH57" i="91"/>
  <c r="AC59" i="91"/>
  <c r="AD59" i="91"/>
  <c r="AE59" i="91"/>
  <c r="AF59" i="91"/>
  <c r="AG59" i="91"/>
  <c r="AH59" i="91"/>
  <c r="AC56" i="91"/>
  <c r="AD56" i="91"/>
  <c r="AE56" i="91"/>
  <c r="AF56" i="91"/>
  <c r="AG56" i="91"/>
  <c r="AH56" i="91"/>
  <c r="AC55" i="91"/>
  <c r="AD55" i="91"/>
  <c r="AE55" i="91"/>
  <c r="AF55" i="91"/>
  <c r="AG55" i="91"/>
  <c r="AH55" i="91"/>
  <c r="AC58" i="91"/>
  <c r="AD58" i="91"/>
  <c r="AE58" i="91"/>
  <c r="AF58" i="91"/>
  <c r="AG58" i="91"/>
  <c r="AH58" i="91"/>
  <c r="AC122" i="91"/>
  <c r="AD122" i="91"/>
  <c r="AE122" i="91"/>
  <c r="AF122" i="91"/>
  <c r="AG122" i="91"/>
  <c r="AH122" i="91"/>
  <c r="AC116" i="91"/>
  <c r="AD116" i="91"/>
  <c r="AE116" i="91"/>
  <c r="AF116" i="91"/>
  <c r="AG116" i="91"/>
  <c r="AH116" i="91"/>
  <c r="AC70" i="91"/>
  <c r="AD70" i="91"/>
  <c r="AE70" i="91"/>
  <c r="AF70" i="91"/>
  <c r="AG70" i="91"/>
  <c r="AH70" i="91"/>
  <c r="AC68" i="91"/>
  <c r="AD68" i="91"/>
  <c r="AE68" i="91"/>
  <c r="AF68" i="91"/>
  <c r="AG68" i="91"/>
  <c r="AH68" i="91"/>
  <c r="AC8" i="91"/>
  <c r="AD8" i="91"/>
  <c r="AE8" i="91"/>
  <c r="AF8" i="91"/>
  <c r="AG8" i="91"/>
  <c r="AH8" i="91"/>
  <c r="AC9" i="91"/>
  <c r="AD9" i="91"/>
  <c r="AE9" i="91"/>
  <c r="AF9" i="91"/>
  <c r="AG9" i="91"/>
  <c r="AH9" i="91"/>
  <c r="AC94" i="91"/>
  <c r="AD94" i="91"/>
  <c r="AE94" i="91"/>
  <c r="AF94" i="91"/>
  <c r="AG94" i="91"/>
  <c r="AH94" i="91"/>
  <c r="AC115" i="91"/>
  <c r="AD115" i="91"/>
  <c r="AE115" i="91"/>
  <c r="AF115" i="91"/>
  <c r="AG115" i="91"/>
  <c r="AH115" i="91"/>
  <c r="AC12" i="91"/>
  <c r="AD12" i="91"/>
  <c r="AE12" i="91"/>
  <c r="AF12" i="91"/>
  <c r="AG12" i="91"/>
  <c r="AH12" i="91"/>
  <c r="AC67" i="91"/>
  <c r="AD67" i="91"/>
  <c r="AE67" i="91"/>
  <c r="AF67" i="91"/>
  <c r="AG67" i="91"/>
  <c r="AH67" i="91"/>
  <c r="AC66" i="91"/>
  <c r="AD66" i="91"/>
  <c r="AE66" i="91"/>
  <c r="AF66" i="91"/>
  <c r="AG66" i="91"/>
  <c r="AH66" i="91"/>
  <c r="AC65" i="91"/>
  <c r="AD65" i="91"/>
  <c r="AE65" i="91"/>
  <c r="AF65" i="91"/>
  <c r="AG65" i="91"/>
  <c r="AH65" i="91"/>
  <c r="AC64" i="91"/>
  <c r="AD64" i="91"/>
  <c r="AE64" i="91"/>
  <c r="AF64" i="91"/>
  <c r="AG64" i="91"/>
  <c r="AH64" i="91"/>
  <c r="AC76" i="91"/>
  <c r="AD76" i="91"/>
  <c r="AE76" i="91"/>
  <c r="AF76" i="91"/>
  <c r="AG76" i="91"/>
  <c r="AH76" i="91"/>
  <c r="AC120" i="91"/>
  <c r="AD120" i="91"/>
  <c r="AE120" i="91"/>
  <c r="AF120" i="91"/>
  <c r="AG120" i="91"/>
  <c r="AH120" i="91"/>
  <c r="AC74" i="91"/>
  <c r="AD74" i="91"/>
  <c r="AE74" i="91"/>
  <c r="AF74" i="91"/>
  <c r="AG74" i="91"/>
  <c r="AH74" i="91"/>
  <c r="AC72" i="91"/>
  <c r="AD72" i="91"/>
  <c r="AE72" i="91"/>
  <c r="AF72" i="91"/>
  <c r="AG72" i="91"/>
  <c r="AH72" i="91"/>
  <c r="AC10" i="91"/>
  <c r="AD10" i="91"/>
  <c r="AE10" i="91"/>
  <c r="AF10" i="91"/>
  <c r="AG10" i="91"/>
  <c r="AH10" i="91"/>
  <c r="AC105" i="91"/>
  <c r="AD105" i="91"/>
  <c r="AE105" i="91"/>
  <c r="AF105" i="91"/>
  <c r="AG105" i="91"/>
  <c r="AH105" i="91"/>
  <c r="AC71" i="91"/>
  <c r="AD71" i="91"/>
  <c r="AE71" i="91"/>
  <c r="AF71" i="91"/>
  <c r="AG71" i="91"/>
  <c r="AH71" i="91"/>
  <c r="AC103" i="91"/>
  <c r="AD103" i="91"/>
  <c r="AE103" i="91"/>
  <c r="AF103" i="91"/>
  <c r="AG103" i="91"/>
  <c r="AH103" i="91"/>
  <c r="AC92" i="91"/>
  <c r="AD92" i="91"/>
  <c r="AE92" i="91"/>
  <c r="AF92" i="91"/>
  <c r="AG92" i="91"/>
  <c r="AH92" i="91"/>
  <c r="AC111" i="91"/>
  <c r="AD111" i="91"/>
  <c r="AE111" i="91"/>
  <c r="AF111" i="91"/>
  <c r="AG111" i="91"/>
  <c r="AH111" i="91"/>
  <c r="AC4" i="91"/>
  <c r="AD4" i="91"/>
  <c r="AE4" i="91"/>
  <c r="AF4" i="91"/>
  <c r="AG4" i="91"/>
  <c r="AH4" i="91"/>
  <c r="AC136" i="91"/>
  <c r="AD136" i="91"/>
  <c r="AE136" i="91"/>
  <c r="AF136" i="91"/>
  <c r="AG136" i="91"/>
  <c r="AH136" i="91"/>
  <c r="AC82" i="91"/>
  <c r="AD82" i="91"/>
  <c r="AE82" i="91"/>
  <c r="AF82" i="91"/>
  <c r="AG82" i="91"/>
  <c r="AH82" i="91"/>
  <c r="AC83" i="91"/>
  <c r="AD83" i="91"/>
  <c r="AE83" i="91"/>
  <c r="AF83" i="91"/>
  <c r="AG83" i="91"/>
  <c r="AH83" i="91"/>
  <c r="AC61" i="91"/>
  <c r="AD61" i="91"/>
  <c r="AE61" i="91"/>
  <c r="AF61" i="91"/>
  <c r="AG61" i="91"/>
  <c r="AH61" i="91"/>
  <c r="AC60" i="91"/>
  <c r="AD60" i="91"/>
  <c r="AE60" i="91"/>
  <c r="AF60" i="91"/>
  <c r="AG60" i="91"/>
  <c r="AH60" i="91"/>
  <c r="AC46" i="91"/>
  <c r="AD46" i="91"/>
  <c r="AE46" i="91"/>
  <c r="AF46" i="91"/>
  <c r="AG46" i="91"/>
  <c r="AH46" i="91"/>
  <c r="AC47" i="91"/>
  <c r="AD47" i="91"/>
  <c r="AE47" i="91"/>
  <c r="AF47" i="91"/>
  <c r="AG47" i="91"/>
  <c r="AH47" i="91"/>
  <c r="AC48" i="91"/>
  <c r="AD48" i="91"/>
  <c r="AE48" i="91"/>
  <c r="AF48" i="91"/>
  <c r="AG48" i="91"/>
  <c r="AH48" i="91"/>
  <c r="AC49" i="91"/>
  <c r="AD49" i="91"/>
  <c r="AE49" i="91"/>
  <c r="AF49" i="91"/>
  <c r="AG49" i="91"/>
  <c r="AH49" i="91"/>
  <c r="AC51" i="91"/>
  <c r="AD51" i="91"/>
  <c r="AE51" i="91"/>
  <c r="AF51" i="91"/>
  <c r="AG51" i="91"/>
  <c r="AH51" i="91"/>
  <c r="AC119" i="91"/>
  <c r="AD119" i="91"/>
  <c r="AE119" i="91"/>
  <c r="AF119" i="91"/>
  <c r="AG119" i="91"/>
  <c r="AH119" i="91"/>
  <c r="AC42" i="91"/>
  <c r="AD42" i="91"/>
  <c r="AE42" i="91"/>
  <c r="AF42" i="91"/>
  <c r="AG42" i="91"/>
  <c r="AH42" i="91"/>
  <c r="AC50" i="91"/>
  <c r="AD50" i="91"/>
  <c r="AE50" i="91"/>
  <c r="AF50" i="91"/>
  <c r="AG50" i="91"/>
  <c r="AH50" i="91"/>
  <c r="AC113" i="91"/>
  <c r="AD113" i="91"/>
  <c r="AE113" i="91"/>
  <c r="AF113" i="91"/>
  <c r="AG113" i="91"/>
  <c r="AH113" i="91"/>
  <c r="AC81" i="91"/>
  <c r="AD81" i="91"/>
  <c r="AE81" i="91"/>
  <c r="AF81" i="91"/>
  <c r="AG81" i="91"/>
  <c r="AH81" i="91"/>
  <c r="AC85" i="91"/>
  <c r="AD85" i="91"/>
  <c r="AE85" i="91"/>
  <c r="AF85" i="91"/>
  <c r="AG85" i="91"/>
  <c r="AH85" i="91"/>
  <c r="AC39" i="91"/>
  <c r="AD39" i="91"/>
  <c r="AE39" i="91"/>
  <c r="AF39" i="91"/>
  <c r="AG39" i="91"/>
  <c r="AH39" i="91"/>
  <c r="AC110" i="91"/>
  <c r="AD110" i="91"/>
  <c r="AE110" i="91"/>
  <c r="AF110" i="91"/>
  <c r="AG110" i="91"/>
  <c r="AH110" i="91"/>
  <c r="AC93" i="91"/>
  <c r="AD93" i="91"/>
  <c r="AE93" i="91"/>
  <c r="AF93" i="91"/>
  <c r="AG93" i="91"/>
  <c r="AH93" i="91"/>
  <c r="AC109" i="91"/>
  <c r="AD109" i="91"/>
  <c r="AE109" i="91"/>
  <c r="AF109" i="91"/>
  <c r="AG109" i="91"/>
  <c r="AH109" i="91"/>
  <c r="AC134" i="91"/>
  <c r="AD134" i="91"/>
  <c r="AE134" i="91"/>
  <c r="AF134" i="91"/>
  <c r="AG134" i="91"/>
  <c r="AH134" i="91"/>
  <c r="AC108" i="91"/>
  <c r="AD108" i="91"/>
  <c r="AE108" i="91"/>
  <c r="AF108" i="91"/>
  <c r="AG108" i="91"/>
  <c r="AH108" i="91"/>
  <c r="AC40" i="91"/>
  <c r="AD40" i="91"/>
  <c r="AE40" i="91"/>
  <c r="AF40" i="91"/>
  <c r="AG40" i="91"/>
  <c r="AH40" i="91"/>
  <c r="AC80" i="91"/>
  <c r="AD80" i="91"/>
  <c r="AE80" i="91"/>
  <c r="AF80" i="91"/>
  <c r="AG80" i="91"/>
  <c r="AH80" i="91"/>
  <c r="AC135" i="91"/>
  <c r="AD135" i="91"/>
  <c r="AE135" i="91"/>
  <c r="AF135" i="91"/>
  <c r="AG135" i="91"/>
  <c r="AH135" i="91"/>
  <c r="AC20" i="91"/>
  <c r="AD20" i="91"/>
  <c r="AE20" i="91"/>
  <c r="AF20" i="91"/>
  <c r="AG20" i="91"/>
  <c r="AH20" i="91"/>
  <c r="AC130" i="91"/>
  <c r="AD130" i="91"/>
  <c r="AE130" i="91"/>
  <c r="AF130" i="91"/>
  <c r="AG130" i="91"/>
  <c r="AH130" i="91"/>
  <c r="AC95" i="91"/>
  <c r="AD95" i="91"/>
  <c r="AE95" i="91"/>
  <c r="AF95" i="91"/>
  <c r="AG95" i="91"/>
  <c r="AH95" i="91"/>
  <c r="AC107" i="91"/>
  <c r="AD107" i="91"/>
  <c r="AE107" i="91"/>
  <c r="AF107" i="91"/>
  <c r="AG107" i="91"/>
  <c r="AH107" i="91"/>
  <c r="AC112" i="91"/>
  <c r="AD112" i="91"/>
  <c r="AE112" i="91"/>
  <c r="AF112" i="91"/>
  <c r="AG112" i="91"/>
  <c r="AH112" i="91"/>
  <c r="AC117" i="91"/>
  <c r="AD117" i="91"/>
  <c r="AE117" i="91"/>
  <c r="AF117" i="91"/>
  <c r="AG117" i="91"/>
  <c r="AH117" i="91"/>
  <c r="AC30" i="91"/>
  <c r="AD30" i="91"/>
  <c r="AE30" i="91"/>
  <c r="AF30" i="91"/>
  <c r="AG30" i="91"/>
  <c r="AH30" i="91"/>
  <c r="AC23" i="91"/>
  <c r="AD23" i="91"/>
  <c r="AE23" i="91"/>
  <c r="AF23" i="91"/>
  <c r="AG23" i="91"/>
  <c r="AH23" i="91"/>
  <c r="AC24" i="91"/>
  <c r="AD24" i="91"/>
  <c r="AE24" i="91"/>
  <c r="AF24" i="91"/>
  <c r="AG24" i="91"/>
  <c r="AH24" i="91"/>
  <c r="AC25" i="91"/>
  <c r="AD25" i="91"/>
  <c r="AE25" i="91"/>
  <c r="AF25" i="91"/>
  <c r="AG25" i="91"/>
  <c r="AH25" i="91"/>
  <c r="AC26" i="91"/>
  <c r="AD26" i="91"/>
  <c r="AE26" i="91"/>
  <c r="AF26" i="91"/>
  <c r="AG26" i="91"/>
  <c r="AH26" i="91"/>
  <c r="AC27" i="91"/>
  <c r="AD27" i="91"/>
  <c r="AE27" i="91"/>
  <c r="AF27" i="91"/>
  <c r="AG27" i="91"/>
  <c r="AH27" i="91"/>
  <c r="AC28" i="91"/>
  <c r="AD28" i="91"/>
  <c r="AE28" i="91"/>
  <c r="AF28" i="91"/>
  <c r="AG28" i="91"/>
  <c r="AH28" i="91"/>
  <c r="AC29" i="91"/>
  <c r="AD29" i="91"/>
  <c r="AE29" i="91"/>
  <c r="AF29" i="91"/>
  <c r="AG29" i="91"/>
  <c r="AH29" i="91"/>
  <c r="AC41" i="91"/>
  <c r="AD41" i="91"/>
  <c r="AE41" i="91"/>
  <c r="AF41" i="91"/>
  <c r="AG41" i="91"/>
  <c r="AH41" i="91"/>
  <c r="AC32" i="91"/>
  <c r="AD32" i="91"/>
  <c r="AE32" i="91"/>
  <c r="AF32" i="91"/>
  <c r="AG32" i="91"/>
  <c r="AH32" i="91"/>
  <c r="AC132" i="91"/>
  <c r="AD132" i="91"/>
  <c r="AE132" i="91"/>
  <c r="AF132" i="91"/>
  <c r="AG132" i="91"/>
  <c r="AH132" i="91"/>
  <c r="AC128" i="91"/>
  <c r="AD128" i="91"/>
  <c r="AE128" i="91"/>
  <c r="AF128" i="91"/>
  <c r="AG128" i="91"/>
  <c r="AH128" i="91"/>
  <c r="AC34" i="91"/>
  <c r="AD34" i="91"/>
  <c r="AE34" i="91"/>
  <c r="AF34" i="91"/>
  <c r="AG34" i="91"/>
  <c r="AH34" i="91"/>
  <c r="AC99" i="91"/>
  <c r="AD99" i="91"/>
  <c r="AE99" i="91"/>
  <c r="AF99" i="91"/>
  <c r="AG99" i="91"/>
  <c r="AH99" i="91"/>
  <c r="AC106" i="91"/>
  <c r="AD106" i="91"/>
  <c r="AE106" i="91"/>
  <c r="AF106" i="91"/>
  <c r="AG106" i="91"/>
  <c r="AH106" i="91"/>
  <c r="AC38" i="91"/>
  <c r="AD38" i="91"/>
  <c r="AE38" i="91"/>
  <c r="AF38" i="91"/>
  <c r="AG38" i="91"/>
  <c r="AH38" i="91"/>
  <c r="AC102" i="91"/>
  <c r="AD102" i="91"/>
  <c r="AE102" i="91"/>
  <c r="AF102" i="91"/>
  <c r="AG102" i="91"/>
  <c r="AH102" i="91"/>
  <c r="AC36" i="91"/>
  <c r="AD36" i="91"/>
  <c r="AE36" i="91"/>
  <c r="AF36" i="91"/>
  <c r="AG36" i="91"/>
  <c r="AH36" i="91"/>
  <c r="AC84" i="91"/>
  <c r="AD84" i="91"/>
  <c r="AE84" i="91"/>
  <c r="AF84" i="91"/>
  <c r="AG84" i="91"/>
  <c r="AH84" i="91"/>
  <c r="AC91" i="91"/>
  <c r="AD91" i="91"/>
  <c r="AE91" i="91"/>
  <c r="AF91" i="91"/>
  <c r="AG91" i="91"/>
  <c r="AH91" i="91"/>
  <c r="AC121" i="91"/>
  <c r="AD121" i="91"/>
  <c r="AE121" i="91"/>
  <c r="AF121" i="91"/>
  <c r="AG121" i="91"/>
  <c r="AH121" i="91"/>
  <c r="AC37" i="91"/>
  <c r="AD37" i="91"/>
  <c r="AE37" i="91"/>
  <c r="AF37" i="91"/>
  <c r="AG37" i="91"/>
  <c r="AH37" i="91"/>
  <c r="AC43" i="91"/>
  <c r="AD43" i="91"/>
  <c r="AE43" i="91"/>
  <c r="AF43" i="91"/>
  <c r="AG43" i="91"/>
  <c r="AH43" i="91"/>
  <c r="AC45" i="91"/>
  <c r="AD45" i="91"/>
  <c r="AE45" i="91"/>
  <c r="AF45" i="91"/>
  <c r="AG45" i="91"/>
  <c r="AH45" i="91"/>
  <c r="AC53" i="91"/>
  <c r="AD53" i="91"/>
  <c r="AE53" i="91"/>
  <c r="AF53" i="91"/>
  <c r="AG53" i="91"/>
  <c r="AH53" i="91"/>
  <c r="AC54" i="91"/>
  <c r="AD54" i="91"/>
  <c r="AE54" i="91"/>
  <c r="AF54" i="91"/>
  <c r="AG54" i="91"/>
  <c r="AH54" i="91"/>
  <c r="AC133" i="91"/>
  <c r="AD133" i="91"/>
  <c r="AE133" i="91"/>
  <c r="AF133" i="91"/>
  <c r="AG133" i="91"/>
  <c r="AH133" i="91"/>
  <c r="AC101" i="91"/>
  <c r="AD101" i="91"/>
  <c r="AE101" i="91"/>
  <c r="AF101" i="91"/>
  <c r="AG101" i="91"/>
  <c r="AH101" i="91"/>
  <c r="AC15" i="91"/>
  <c r="AD15" i="91"/>
  <c r="AE15" i="91"/>
  <c r="AF15" i="91"/>
  <c r="AG15" i="91"/>
  <c r="AH15" i="91"/>
  <c r="AC14" i="91"/>
  <c r="AD14" i="91"/>
  <c r="AE14" i="91"/>
  <c r="AF14" i="91"/>
  <c r="AG14" i="91"/>
  <c r="AH14" i="91"/>
  <c r="AC16" i="91"/>
  <c r="AD16" i="91"/>
  <c r="AE16" i="91"/>
  <c r="AF16" i="91"/>
  <c r="AG16" i="91"/>
  <c r="AH16" i="91"/>
  <c r="AC5" i="91"/>
  <c r="AD5" i="91"/>
  <c r="AE5" i="91"/>
  <c r="AF5" i="91"/>
  <c r="AG5" i="91"/>
  <c r="AH5" i="91"/>
  <c r="AC17" i="91"/>
  <c r="AD17" i="91"/>
  <c r="AE17" i="91"/>
  <c r="AF17" i="91"/>
  <c r="AG17" i="91"/>
  <c r="AH17" i="91"/>
  <c r="AC87" i="91"/>
  <c r="AD87" i="91"/>
  <c r="AE87" i="91"/>
  <c r="AF87" i="91"/>
  <c r="AG87" i="91"/>
  <c r="AH87" i="91"/>
  <c r="AC3" i="91"/>
  <c r="AD3" i="91"/>
  <c r="AE3" i="91"/>
  <c r="AF3" i="91"/>
  <c r="AG3" i="91"/>
  <c r="AH3" i="91"/>
  <c r="AC129" i="91"/>
  <c r="AD129" i="91"/>
  <c r="AE129" i="91"/>
  <c r="AF129" i="91"/>
  <c r="AG129" i="91"/>
  <c r="AH129" i="91"/>
  <c r="AC62" i="91"/>
  <c r="AD62" i="91"/>
  <c r="AE62" i="91"/>
  <c r="AF62" i="91"/>
  <c r="AG62" i="91"/>
  <c r="AH62" i="91"/>
  <c r="AC63" i="91"/>
  <c r="AD63" i="91"/>
  <c r="AE63" i="91"/>
  <c r="AF63" i="91"/>
  <c r="AG63" i="91"/>
  <c r="AH63" i="91"/>
  <c r="AC69" i="91"/>
  <c r="AD69" i="91"/>
  <c r="AE69" i="91"/>
  <c r="AF69" i="91"/>
  <c r="AG69" i="91"/>
  <c r="AH69" i="91"/>
  <c r="AC78" i="91"/>
  <c r="AD78" i="91"/>
  <c r="AE78" i="91"/>
  <c r="AF78" i="91"/>
  <c r="AG78" i="91"/>
  <c r="AH78" i="91"/>
  <c r="AC52" i="91"/>
  <c r="AD52" i="91"/>
  <c r="AE52" i="91"/>
  <c r="AF52" i="91"/>
  <c r="AG52" i="91"/>
  <c r="AH52" i="91"/>
  <c r="AC44" i="91"/>
  <c r="AD44" i="91"/>
  <c r="AE44" i="91"/>
  <c r="AF44" i="91"/>
  <c r="AG44" i="91"/>
  <c r="AH44" i="91"/>
  <c r="AC22" i="91"/>
  <c r="AD22" i="91"/>
  <c r="AE22" i="91"/>
  <c r="AF22" i="91"/>
  <c r="AG22" i="91"/>
  <c r="AH22" i="91"/>
  <c r="AH75" i="91"/>
  <c r="AG75" i="91"/>
  <c r="AF75" i="91"/>
  <c r="AE75" i="91"/>
  <c r="AD75" i="91"/>
  <c r="AC75" i="91"/>
  <c r="D21" i="78" l="1"/>
  <c r="U20" i="95" l="1"/>
  <c r="R20" i="95"/>
  <c r="O20" i="95"/>
  <c r="L20" i="95"/>
  <c r="I20" i="95"/>
  <c r="F20" i="95"/>
  <c r="E20" i="95"/>
  <c r="D20" i="95"/>
  <c r="C20" i="95" l="1"/>
  <c r="U20" i="61"/>
  <c r="R20" i="61"/>
  <c r="O20" i="61"/>
  <c r="L20" i="61"/>
  <c r="I20" i="61"/>
  <c r="F20" i="61"/>
  <c r="E20" i="61"/>
  <c r="C20" i="61" l="1"/>
  <c r="D20" i="96"/>
  <c r="D19" i="96"/>
  <c r="D18" i="96"/>
  <c r="D17" i="96"/>
  <c r="D16" i="96"/>
  <c r="F15" i="96"/>
  <c r="F5" i="96" s="1"/>
  <c r="E15" i="96"/>
  <c r="D14" i="96"/>
  <c r="D13" i="96"/>
  <c r="B23" i="96" s="1"/>
  <c r="D12" i="96"/>
  <c r="K12" i="96" s="1"/>
  <c r="D11" i="96"/>
  <c r="K11" i="96" s="1"/>
  <c r="D10" i="96"/>
  <c r="D9" i="96"/>
  <c r="D8" i="96"/>
  <c r="K8" i="96" s="1"/>
  <c r="D7" i="96"/>
  <c r="K9" i="96" l="1"/>
  <c r="C7" i="100"/>
  <c r="O6" i="100" s="1"/>
  <c r="K14" i="96"/>
  <c r="B24" i="96"/>
  <c r="K13" i="96"/>
  <c r="K7" i="96"/>
  <c r="D15" i="96"/>
  <c r="E5" i="96"/>
  <c r="D5" i="96" s="1"/>
  <c r="K10" i="96"/>
  <c r="D6" i="96"/>
  <c r="B25" i="96" l="1"/>
  <c r="O9" i="99"/>
  <c r="L9" i="99"/>
  <c r="O10" i="99"/>
  <c r="L10" i="99"/>
  <c r="I9" i="99"/>
  <c r="O8" i="99"/>
  <c r="L8" i="99"/>
  <c r="I8" i="99"/>
  <c r="F8" i="99"/>
  <c r="O7" i="99"/>
  <c r="L7" i="99"/>
  <c r="I7" i="99"/>
  <c r="F7" i="99"/>
  <c r="C7" i="99"/>
  <c r="O6" i="99"/>
  <c r="L6" i="99"/>
  <c r="I6" i="99"/>
  <c r="F6" i="99"/>
  <c r="C6" i="99"/>
  <c r="C31" i="86"/>
  <c r="D31" i="86" s="1"/>
  <c r="C9" i="86" l="1"/>
  <c r="D9" i="86" s="1"/>
  <c r="C10" i="86"/>
  <c r="D10" i="86" s="1"/>
  <c r="C11" i="86"/>
  <c r="D11" i="86" s="1"/>
  <c r="C12" i="86"/>
  <c r="D12" i="86" s="1"/>
  <c r="C13" i="86"/>
  <c r="D13" i="86" s="1"/>
  <c r="C14" i="86"/>
  <c r="D14" i="86" s="1"/>
  <c r="C15" i="86"/>
  <c r="D15" i="86" s="1"/>
  <c r="C16" i="86"/>
  <c r="D16" i="86" s="1"/>
  <c r="C17" i="86"/>
  <c r="D17" i="86" s="1"/>
  <c r="C18" i="86"/>
  <c r="D18" i="86" s="1"/>
  <c r="C19" i="86"/>
  <c r="D19" i="86" s="1"/>
  <c r="C20" i="86"/>
  <c r="D20" i="86" s="1"/>
  <c r="C21" i="86"/>
  <c r="D21" i="86" s="1"/>
  <c r="C22" i="86"/>
  <c r="D22" i="86" s="1"/>
  <c r="C23" i="86"/>
  <c r="D23" i="86" s="1"/>
  <c r="C24" i="86"/>
  <c r="D24" i="86" s="1"/>
  <c r="C25" i="86"/>
  <c r="D25" i="86" s="1"/>
  <c r="C26" i="86"/>
  <c r="D26" i="86" s="1"/>
  <c r="C27" i="86"/>
  <c r="D27" i="86" s="1"/>
  <c r="C28" i="86"/>
  <c r="D28" i="86" s="1"/>
  <c r="C29" i="86"/>
  <c r="D29" i="86" s="1"/>
  <c r="C30" i="86"/>
  <c r="D30" i="86" s="1"/>
  <c r="H30" i="77" l="1"/>
  <c r="G32" i="77" s="1"/>
  <c r="D34" i="78" l="1"/>
  <c r="D33" i="78"/>
  <c r="D32" i="78"/>
  <c r="D31" i="78"/>
  <c r="D30" i="78"/>
  <c r="D29" i="78"/>
  <c r="D28" i="78"/>
  <c r="D27" i="78"/>
  <c r="D26" i="78"/>
  <c r="D25" i="78"/>
  <c r="D23" i="78"/>
  <c r="D22" i="78"/>
  <c r="D20" i="78"/>
  <c r="D19" i="78"/>
  <c r="D18" i="78"/>
  <c r="D17" i="78"/>
  <c r="D16" i="78"/>
  <c r="D15" i="78"/>
  <c r="D14" i="78"/>
  <c r="D13" i="78"/>
  <c r="D12" i="78"/>
  <c r="D11" i="78"/>
  <c r="D10" i="78"/>
  <c r="D9" i="78"/>
  <c r="D8" i="78"/>
  <c r="D7" i="78"/>
  <c r="C17" i="77" l="1"/>
  <c r="D35" i="78" s="1"/>
  <c r="D36" i="78" s="1"/>
  <c r="C18" i="77"/>
  <c r="C8" i="78" s="1"/>
  <c r="C19" i="77"/>
  <c r="C9" i="78" s="1"/>
  <c r="C20" i="77"/>
  <c r="C10" i="78" s="1"/>
  <c r="C21" i="77"/>
  <c r="C11" i="78" s="1"/>
  <c r="C22" i="77"/>
  <c r="C12" i="78" s="1"/>
  <c r="C23" i="77"/>
  <c r="C13" i="78" s="1"/>
  <c r="C24" i="77"/>
  <c r="C14" i="78" s="1"/>
  <c r="H29" i="77"/>
  <c r="H28" i="77"/>
  <c r="H27" i="77"/>
  <c r="H26" i="77"/>
  <c r="H25" i="77"/>
  <c r="H24" i="77"/>
  <c r="H23" i="77"/>
  <c r="H22" i="77"/>
  <c r="H21" i="77"/>
  <c r="H20" i="77"/>
  <c r="H19" i="77"/>
  <c r="H18" i="77"/>
  <c r="H17" i="77"/>
  <c r="H15" i="77"/>
  <c r="C34" i="78" s="1"/>
  <c r="H14" i="77"/>
  <c r="C33" i="78" s="1"/>
  <c r="H13" i="77"/>
  <c r="C32" i="78" s="1"/>
  <c r="H12" i="77"/>
  <c r="C31" i="78" s="1"/>
  <c r="H11" i="77"/>
  <c r="C30" i="78" s="1"/>
  <c r="H10" i="77"/>
  <c r="C29" i="78" s="1"/>
  <c r="H9" i="77"/>
  <c r="C28" i="78" s="1"/>
  <c r="H8" i="77"/>
  <c r="C27" i="78" s="1"/>
  <c r="H7" i="77"/>
  <c r="C26" i="78" s="1"/>
  <c r="H6" i="77"/>
  <c r="C25" i="78" s="1"/>
  <c r="C33" i="77"/>
  <c r="C23" i="78" s="1"/>
  <c r="C32" i="77"/>
  <c r="C22" i="78" s="1"/>
  <c r="C31" i="77"/>
  <c r="C21" i="78" s="1"/>
  <c r="C30" i="77"/>
  <c r="C20" i="78" s="1"/>
  <c r="C29" i="77"/>
  <c r="C19" i="78" s="1"/>
  <c r="C28" i="77"/>
  <c r="C18" i="78" s="1"/>
  <c r="C27" i="77"/>
  <c r="C17" i="78" s="1"/>
  <c r="C26" i="77"/>
  <c r="C16" i="78" s="1"/>
  <c r="C25" i="77"/>
  <c r="C15" i="78" s="1"/>
  <c r="C15" i="77"/>
  <c r="C14" i="77"/>
  <c r="C13" i="77"/>
  <c r="C12" i="77"/>
  <c r="C10" i="77"/>
  <c r="C9" i="77"/>
  <c r="C8" i="77"/>
  <c r="C7" i="77"/>
  <c r="C7" i="78" l="1"/>
  <c r="E32" i="86"/>
  <c r="C32" i="86"/>
  <c r="D32" i="86" s="1"/>
  <c r="E31" i="86"/>
  <c r="E30" i="86"/>
  <c r="E29" i="86"/>
  <c r="E28" i="86"/>
  <c r="E27" i="86"/>
  <c r="E26" i="86"/>
  <c r="E25" i="86"/>
  <c r="E24" i="86"/>
  <c r="E23" i="86"/>
  <c r="E22" i="86"/>
  <c r="E21" i="86"/>
  <c r="E20" i="86"/>
  <c r="E19" i="86"/>
  <c r="E18" i="86"/>
  <c r="E17" i="86"/>
  <c r="E16" i="86"/>
  <c r="E15" i="86"/>
  <c r="E14" i="86"/>
  <c r="E13" i="86"/>
  <c r="E12" i="86"/>
  <c r="E11" i="86"/>
  <c r="E10" i="86"/>
  <c r="E9" i="86"/>
  <c r="E8" i="86"/>
  <c r="C8" i="86"/>
  <c r="D8" i="86" s="1"/>
  <c r="E7" i="86"/>
  <c r="C7" i="86"/>
  <c r="F6" i="86"/>
  <c r="G6" i="86" s="1"/>
  <c r="G17" i="86" l="1"/>
  <c r="G14" i="86"/>
  <c r="G10" i="86"/>
  <c r="D5" i="77" l="1"/>
  <c r="C14" i="96" l="1"/>
  <c r="B22" i="96" s="1"/>
  <c r="C13" i="96"/>
  <c r="B21" i="96" s="1"/>
  <c r="U13" i="92" l="1"/>
  <c r="R13" i="92"/>
  <c r="O13" i="92"/>
  <c r="L13" i="92"/>
  <c r="I13" i="92"/>
  <c r="F13" i="92"/>
  <c r="E13" i="92"/>
  <c r="D13" i="92"/>
  <c r="U12" i="92"/>
  <c r="R12" i="92"/>
  <c r="O12" i="92"/>
  <c r="L12" i="92"/>
  <c r="I12" i="92"/>
  <c r="F12" i="92"/>
  <c r="E12" i="92"/>
  <c r="D12" i="92"/>
  <c r="U11" i="92"/>
  <c r="R11" i="92"/>
  <c r="O11" i="92"/>
  <c r="L11" i="92"/>
  <c r="I11" i="92"/>
  <c r="F11" i="92"/>
  <c r="E11" i="92"/>
  <c r="D11" i="92"/>
  <c r="U10" i="92"/>
  <c r="R10" i="92"/>
  <c r="O10" i="92"/>
  <c r="L10" i="92"/>
  <c r="I10" i="92"/>
  <c r="F10" i="92"/>
  <c r="E10" i="92"/>
  <c r="D10" i="92"/>
  <c r="C10" i="92" s="1"/>
  <c r="C11" i="92" l="1"/>
  <c r="C12" i="92"/>
  <c r="C13" i="92"/>
  <c r="F6" i="78" l="1"/>
  <c r="C16" i="77"/>
  <c r="U19" i="95" l="1"/>
  <c r="R19" i="95"/>
  <c r="O19" i="95"/>
  <c r="E19" i="95"/>
  <c r="D19" i="95"/>
  <c r="U18" i="95"/>
  <c r="R18" i="95"/>
  <c r="O18" i="95"/>
  <c r="E18" i="95"/>
  <c r="D18" i="95"/>
  <c r="U17" i="95"/>
  <c r="R17" i="95"/>
  <c r="O17" i="95"/>
  <c r="L17" i="95"/>
  <c r="I17" i="95"/>
  <c r="F17" i="95"/>
  <c r="E17" i="95"/>
  <c r="D17" i="95"/>
  <c r="U16" i="95"/>
  <c r="R16" i="95"/>
  <c r="O16" i="95"/>
  <c r="L16" i="95"/>
  <c r="I16" i="95"/>
  <c r="F16" i="95"/>
  <c r="E16" i="95"/>
  <c r="D16" i="95"/>
  <c r="U15" i="95"/>
  <c r="R15" i="95"/>
  <c r="O15" i="95"/>
  <c r="L15" i="95"/>
  <c r="I15" i="95"/>
  <c r="F15" i="95"/>
  <c r="E15" i="95"/>
  <c r="D15" i="95"/>
  <c r="U14" i="95"/>
  <c r="R14" i="95"/>
  <c r="O14" i="95"/>
  <c r="L14" i="95"/>
  <c r="I14" i="95"/>
  <c r="F14" i="95"/>
  <c r="E14" i="95"/>
  <c r="D14" i="95"/>
  <c r="U13" i="95"/>
  <c r="R13" i="95"/>
  <c r="O13" i="95"/>
  <c r="L13" i="95"/>
  <c r="I13" i="95"/>
  <c r="F13" i="95"/>
  <c r="E13" i="95"/>
  <c r="D13" i="95"/>
  <c r="U12" i="95"/>
  <c r="R12" i="95"/>
  <c r="O12" i="95"/>
  <c r="L12" i="95"/>
  <c r="I12" i="95"/>
  <c r="F12" i="95"/>
  <c r="E12" i="95"/>
  <c r="D12" i="95"/>
  <c r="U11" i="95"/>
  <c r="R11" i="95"/>
  <c r="O11" i="95"/>
  <c r="L11" i="95"/>
  <c r="I11" i="95"/>
  <c r="F11" i="95"/>
  <c r="E11" i="95"/>
  <c r="D11" i="95"/>
  <c r="U10" i="95"/>
  <c r="R10" i="95"/>
  <c r="O10" i="95"/>
  <c r="L10" i="95"/>
  <c r="I10" i="95"/>
  <c r="F10" i="95"/>
  <c r="E10" i="95"/>
  <c r="D10" i="95"/>
  <c r="L9" i="95"/>
  <c r="I9" i="95"/>
  <c r="F9" i="95"/>
  <c r="E9" i="95"/>
  <c r="D9" i="95"/>
  <c r="U8" i="95"/>
  <c r="R8" i="95"/>
  <c r="O8" i="95"/>
  <c r="L8" i="95"/>
  <c r="I8" i="95"/>
  <c r="F8" i="95"/>
  <c r="E8" i="95"/>
  <c r="D8" i="95"/>
  <c r="U7" i="95"/>
  <c r="R7" i="95"/>
  <c r="O7" i="95"/>
  <c r="L7" i="95"/>
  <c r="I7" i="95"/>
  <c r="F7" i="95"/>
  <c r="E7" i="95"/>
  <c r="D7" i="95"/>
  <c r="U6" i="95"/>
  <c r="R6" i="95"/>
  <c r="O6" i="95"/>
  <c r="L6" i="95"/>
  <c r="I6" i="95"/>
  <c r="F6" i="95"/>
  <c r="E6" i="95"/>
  <c r="D6" i="95"/>
  <c r="C7" i="95" l="1"/>
  <c r="C14" i="95"/>
  <c r="C19" i="95"/>
  <c r="C16" i="95"/>
  <c r="C18" i="95"/>
  <c r="C17" i="95"/>
  <c r="C12" i="95"/>
  <c r="C11" i="95"/>
  <c r="C10" i="95"/>
  <c r="C8" i="95"/>
  <c r="C13" i="95"/>
  <c r="C9" i="95"/>
  <c r="C15" i="95"/>
  <c r="C6" i="95"/>
  <c r="C21" i="95" l="1"/>
  <c r="F24" i="95" s="1"/>
  <c r="U14" i="61"/>
  <c r="R14" i="61"/>
  <c r="O14" i="61"/>
  <c r="L14" i="61"/>
  <c r="I14" i="61"/>
  <c r="F14" i="61"/>
  <c r="E14" i="61"/>
  <c r="D14" i="61"/>
  <c r="U13" i="61"/>
  <c r="R13" i="61"/>
  <c r="O13" i="61"/>
  <c r="L13" i="61"/>
  <c r="I13" i="61"/>
  <c r="F13" i="61"/>
  <c r="E13" i="61"/>
  <c r="D13" i="61"/>
  <c r="U12" i="61"/>
  <c r="R12" i="61"/>
  <c r="O12" i="61"/>
  <c r="L12" i="61"/>
  <c r="I12" i="61"/>
  <c r="F12" i="61"/>
  <c r="E12" i="61"/>
  <c r="D12" i="61"/>
  <c r="U11" i="61"/>
  <c r="R11" i="61"/>
  <c r="O11" i="61"/>
  <c r="L11" i="61"/>
  <c r="I11" i="61"/>
  <c r="F11" i="61"/>
  <c r="E11" i="61"/>
  <c r="D11" i="61"/>
  <c r="U10" i="61"/>
  <c r="R10" i="61"/>
  <c r="O10" i="61"/>
  <c r="L10" i="61"/>
  <c r="I10" i="61"/>
  <c r="F10" i="61"/>
  <c r="E10" i="61"/>
  <c r="D10" i="61"/>
  <c r="L9" i="61"/>
  <c r="I9" i="61"/>
  <c r="F9" i="61"/>
  <c r="E9" i="61"/>
  <c r="D9" i="61"/>
  <c r="U8" i="61"/>
  <c r="R8" i="61"/>
  <c r="O8" i="61"/>
  <c r="L8" i="61"/>
  <c r="I8" i="61"/>
  <c r="F8" i="61"/>
  <c r="E8" i="61"/>
  <c r="D8" i="61"/>
  <c r="U7" i="61"/>
  <c r="R7" i="61"/>
  <c r="O7" i="61"/>
  <c r="L7" i="61"/>
  <c r="I7" i="61"/>
  <c r="F7" i="61"/>
  <c r="E7" i="61"/>
  <c r="D7" i="61"/>
  <c r="H16" i="96" l="1"/>
  <c r="C12" i="61"/>
  <c r="C14" i="61"/>
  <c r="C10" i="61"/>
  <c r="C13" i="61"/>
  <c r="C7" i="61"/>
  <c r="C11" i="61"/>
  <c r="C9" i="61"/>
  <c r="C8" i="61"/>
  <c r="C12" i="90" l="1"/>
  <c r="C11" i="90"/>
  <c r="C10" i="90"/>
  <c r="C9" i="90"/>
  <c r="C8" i="90"/>
  <c r="C7" i="90"/>
  <c r="U20" i="92" l="1"/>
  <c r="R20" i="92"/>
  <c r="O20" i="92"/>
  <c r="L20" i="92"/>
  <c r="I20" i="92"/>
  <c r="F20" i="92"/>
  <c r="E20" i="92"/>
  <c r="D20" i="92"/>
  <c r="U19" i="92"/>
  <c r="R19" i="92"/>
  <c r="O19" i="92"/>
  <c r="L19" i="92"/>
  <c r="I19" i="92"/>
  <c r="F19" i="92"/>
  <c r="E19" i="92"/>
  <c r="D19" i="92"/>
  <c r="U18" i="92"/>
  <c r="R18" i="92"/>
  <c r="O18" i="92"/>
  <c r="L18" i="92"/>
  <c r="I18" i="92"/>
  <c r="F18" i="92"/>
  <c r="E18" i="92"/>
  <c r="D18" i="92"/>
  <c r="U17" i="92"/>
  <c r="R17" i="92"/>
  <c r="O17" i="92"/>
  <c r="L17" i="92"/>
  <c r="I17" i="92"/>
  <c r="F17" i="92"/>
  <c r="E17" i="92"/>
  <c r="D17" i="92"/>
  <c r="U16" i="92"/>
  <c r="R16" i="92"/>
  <c r="O16" i="92"/>
  <c r="L16" i="92"/>
  <c r="I16" i="92"/>
  <c r="F16" i="92"/>
  <c r="E16" i="92"/>
  <c r="D16" i="92"/>
  <c r="U15" i="92"/>
  <c r="R15" i="92"/>
  <c r="O15" i="92"/>
  <c r="L15" i="92"/>
  <c r="I15" i="92"/>
  <c r="F15" i="92"/>
  <c r="E15" i="92"/>
  <c r="D15" i="92"/>
  <c r="U9" i="92"/>
  <c r="R9" i="92"/>
  <c r="O9" i="92"/>
  <c r="L9" i="92"/>
  <c r="I9" i="92"/>
  <c r="F9" i="92"/>
  <c r="E9" i="92"/>
  <c r="D9" i="92"/>
  <c r="U8" i="92"/>
  <c r="R8" i="92"/>
  <c r="O8" i="92"/>
  <c r="L8" i="92"/>
  <c r="I8" i="92"/>
  <c r="F8" i="92"/>
  <c r="E8" i="92"/>
  <c r="D8" i="92"/>
  <c r="U7" i="92"/>
  <c r="R7" i="92"/>
  <c r="O7" i="92"/>
  <c r="L7" i="92"/>
  <c r="I7" i="92"/>
  <c r="F7" i="92"/>
  <c r="E7" i="92"/>
  <c r="D7" i="92"/>
  <c r="U6" i="92"/>
  <c r="R6" i="92"/>
  <c r="O6" i="92"/>
  <c r="L6" i="92"/>
  <c r="I6" i="92"/>
  <c r="F6" i="92"/>
  <c r="E6" i="92"/>
  <c r="D6" i="92"/>
  <c r="U5" i="92"/>
  <c r="R5" i="92"/>
  <c r="O5" i="92"/>
  <c r="L5" i="92"/>
  <c r="I5" i="92"/>
  <c r="F5" i="92"/>
  <c r="E5" i="92"/>
  <c r="D5" i="92"/>
  <c r="C16" i="92" l="1"/>
  <c r="C19" i="92"/>
  <c r="C17" i="92"/>
  <c r="C5" i="92"/>
  <c r="C6" i="92"/>
  <c r="C18" i="92"/>
  <c r="C8" i="92"/>
  <c r="C9" i="92"/>
  <c r="C15" i="92"/>
  <c r="C20" i="92"/>
  <c r="C7" i="92"/>
  <c r="F6" i="90"/>
  <c r="D6" i="90"/>
  <c r="M2" i="12" l="1"/>
  <c r="C28" i="12" l="1"/>
  <c r="K1" i="103"/>
  <c r="E1" i="76"/>
  <c r="L1" i="87"/>
  <c r="V1" i="95"/>
  <c r="O1" i="102"/>
  <c r="V1" i="92"/>
  <c r="E1" i="86"/>
  <c r="V1" i="61"/>
  <c r="K1" i="78"/>
  <c r="F1" i="90"/>
  <c r="M1" i="100"/>
  <c r="I1" i="96"/>
  <c r="I1" i="77"/>
  <c r="S1" i="67"/>
  <c r="P1" i="99"/>
  <c r="C30" i="12"/>
  <c r="C29" i="12"/>
  <c r="K17" i="12"/>
  <c r="D17" i="12" s="1"/>
  <c r="I17" i="12" s="1"/>
  <c r="D22" i="12"/>
  <c r="O5" i="12"/>
  <c r="H19" i="12"/>
  <c r="G13" i="12"/>
  <c r="D19" i="12"/>
  <c r="D13" i="12"/>
  <c r="I22" i="12"/>
  <c r="M15" i="12"/>
  <c r="G11" i="12"/>
  <c r="D15" i="12"/>
  <c r="D34" i="12"/>
  <c r="G9" i="90" l="1"/>
  <c r="G12" i="90"/>
  <c r="G11" i="90"/>
  <c r="G7" i="90"/>
  <c r="G8" i="90"/>
  <c r="G10" i="90"/>
  <c r="E10" i="90"/>
  <c r="E9" i="90"/>
  <c r="E8" i="90"/>
  <c r="E7" i="90"/>
  <c r="E12" i="90"/>
  <c r="E11" i="90"/>
  <c r="U18" i="61"/>
  <c r="U17" i="61"/>
  <c r="U16" i="61"/>
  <c r="U15" i="61"/>
  <c r="U6" i="61"/>
  <c r="R18" i="61"/>
  <c r="R17" i="61"/>
  <c r="R16" i="61"/>
  <c r="R15" i="61"/>
  <c r="R6" i="61"/>
  <c r="O18" i="61"/>
  <c r="O17" i="61"/>
  <c r="O16" i="61"/>
  <c r="O15" i="61"/>
  <c r="O6" i="61"/>
  <c r="L18" i="61"/>
  <c r="L17" i="61"/>
  <c r="L16" i="61"/>
  <c r="L15" i="61"/>
  <c r="L6" i="61"/>
  <c r="I18" i="61"/>
  <c r="I17" i="61"/>
  <c r="I16" i="61"/>
  <c r="I15" i="61"/>
  <c r="I6" i="61"/>
  <c r="F15" i="61"/>
  <c r="F16" i="61"/>
  <c r="F17" i="61"/>
  <c r="F18" i="61"/>
  <c r="D13" i="90" l="1"/>
  <c r="F13" i="90"/>
  <c r="C6" i="90"/>
  <c r="L24" i="78"/>
  <c r="K24" i="78"/>
  <c r="J24" i="78"/>
  <c r="I24" i="78"/>
  <c r="H24" i="78"/>
  <c r="G24" i="78"/>
  <c r="F24" i="78"/>
  <c r="F5" i="78" s="1"/>
  <c r="E24" i="78"/>
  <c r="L6" i="78"/>
  <c r="K6" i="78"/>
  <c r="K5" i="78" s="1"/>
  <c r="J6" i="78"/>
  <c r="I6" i="78"/>
  <c r="H6" i="78"/>
  <c r="G6" i="78"/>
  <c r="E6" i="78"/>
  <c r="J16" i="77"/>
  <c r="I16" i="77"/>
  <c r="E11" i="77"/>
  <c r="D11" i="77"/>
  <c r="C6" i="77"/>
  <c r="E5" i="77"/>
  <c r="J5" i="77"/>
  <c r="I5" i="77"/>
  <c r="D9" i="76"/>
  <c r="D8" i="76"/>
  <c r="G8" i="76" s="1"/>
  <c r="D7" i="76"/>
  <c r="D6" i="76"/>
  <c r="D5" i="76"/>
  <c r="F4" i="76"/>
  <c r="E4" i="76"/>
  <c r="B14" i="90" l="1"/>
  <c r="J5" i="78"/>
  <c r="G5" i="78"/>
  <c r="H16" i="77"/>
  <c r="H5" i="77"/>
  <c r="H5" i="78"/>
  <c r="C11" i="77"/>
  <c r="D24" i="78"/>
  <c r="D6" i="78"/>
  <c r="L5" i="78"/>
  <c r="E5" i="78"/>
  <c r="I5" i="78"/>
  <c r="D4" i="76"/>
  <c r="D4" i="77"/>
  <c r="E4" i="77"/>
  <c r="C5" i="77"/>
  <c r="D5" i="78" l="1"/>
  <c r="C4" i="77"/>
  <c r="E18" i="61" l="1"/>
  <c r="C18" i="61" s="1"/>
  <c r="E17" i="61"/>
  <c r="E16" i="61"/>
  <c r="D16" i="61"/>
  <c r="E15" i="61"/>
  <c r="D15" i="61"/>
  <c r="C16" i="61" l="1"/>
  <c r="C15" i="61"/>
  <c r="C17" i="61"/>
  <c r="F6" i="61" l="1"/>
  <c r="E6" i="61"/>
  <c r="E22" i="61" s="1"/>
  <c r="D6" i="61"/>
  <c r="D22" i="61" s="1"/>
  <c r="C23" i="61" l="1"/>
  <c r="C6" i="61"/>
</calcChain>
</file>

<file path=xl/sharedStrings.xml><?xml version="1.0" encoding="utf-8"?>
<sst xmlns="http://schemas.openxmlformats.org/spreadsheetml/2006/main" count="6696" uniqueCount="2616">
  <si>
    <t>Total</t>
  </si>
  <si>
    <t>Código Secuencial:</t>
  </si>
  <si>
    <t>(Para uso de Oficina)</t>
  </si>
  <si>
    <t>01</t>
  </si>
  <si>
    <t>02</t>
  </si>
  <si>
    <t>03</t>
  </si>
  <si>
    <t>04</t>
  </si>
  <si>
    <t>05</t>
  </si>
  <si>
    <t>06</t>
  </si>
  <si>
    <t>07</t>
  </si>
  <si>
    <t>Dependencia:</t>
  </si>
  <si>
    <t>08</t>
  </si>
  <si>
    <t>09</t>
  </si>
  <si>
    <t>10</t>
  </si>
  <si>
    <t>Circuito Escolar:</t>
  </si>
  <si>
    <t>Institución:</t>
  </si>
  <si>
    <t>11</t>
  </si>
  <si>
    <t>12</t>
  </si>
  <si>
    <t>13</t>
  </si>
  <si>
    <t>Francés</t>
  </si>
  <si>
    <t>Mu-
jeres</t>
  </si>
  <si>
    <t>Hom-
bres</t>
  </si>
  <si>
    <t>CODINS</t>
  </si>
  <si>
    <t>CODIGO</t>
  </si>
  <si>
    <t>NOMBRE</t>
  </si>
  <si>
    <t>REGION</t>
  </si>
  <si>
    <t>CIRES</t>
  </si>
  <si>
    <t>PR</t>
  </si>
  <si>
    <t>CAN</t>
  </si>
  <si>
    <t>DIS</t>
  </si>
  <si>
    <t>PROVINCIA</t>
  </si>
  <si>
    <t>CANTON</t>
  </si>
  <si>
    <t>DISTRITO</t>
  </si>
  <si>
    <t>POBLADO</t>
  </si>
  <si>
    <t>SECTOR</t>
  </si>
  <si>
    <t>DIRECTOR</t>
  </si>
  <si>
    <t>TELEFONO</t>
  </si>
  <si>
    <t>FAX</t>
  </si>
  <si>
    <t>CORREO</t>
  </si>
  <si>
    <t>EXACTA</t>
  </si>
  <si>
    <t>CREACION</t>
  </si>
  <si>
    <t>1</t>
  </si>
  <si>
    <t>2</t>
  </si>
  <si>
    <t>DESAMPARADOS</t>
  </si>
  <si>
    <t>SAN MIGUEL</t>
  </si>
  <si>
    <t>3</t>
  </si>
  <si>
    <t>CRISTO REY</t>
  </si>
  <si>
    <t>LOS ANGELES</t>
  </si>
  <si>
    <t>OCCIDENTE</t>
  </si>
  <si>
    <t>ALAJUELA</t>
  </si>
  <si>
    <t>7</t>
  </si>
  <si>
    <t>18</t>
  </si>
  <si>
    <t>SAN JOSECITO</t>
  </si>
  <si>
    <t>COTO</t>
  </si>
  <si>
    <t>6</t>
  </si>
  <si>
    <t>PUNTARENAS</t>
  </si>
  <si>
    <t>PUERTO JIMENEZ</t>
  </si>
  <si>
    <t>CORAZON DE JESUS</t>
  </si>
  <si>
    <t>SAN RAFAEL</t>
  </si>
  <si>
    <t>SABANA SUR</t>
  </si>
  <si>
    <t>UPALA</t>
  </si>
  <si>
    <t>15</t>
  </si>
  <si>
    <t>SARAPIQUI</t>
  </si>
  <si>
    <t>4</t>
  </si>
  <si>
    <t>HEREDIA</t>
  </si>
  <si>
    <t>SAN CARLOS</t>
  </si>
  <si>
    <t>14</t>
  </si>
  <si>
    <t>LOS CHILES</t>
  </si>
  <si>
    <t>SANTA CRUZ</t>
  </si>
  <si>
    <t>5</t>
  </si>
  <si>
    <t>CARTAGO</t>
  </si>
  <si>
    <t>EL LLANO</t>
  </si>
  <si>
    <t>HATILLO CENTRO</t>
  </si>
  <si>
    <t>SAN RAFAEL ABAJO</t>
  </si>
  <si>
    <t>MONTERREY</t>
  </si>
  <si>
    <t>PURISCAL</t>
  </si>
  <si>
    <t>EL CARMEN</t>
  </si>
  <si>
    <t>SAN JERONIMO</t>
  </si>
  <si>
    <t>LA LUCHA</t>
  </si>
  <si>
    <t>00147</t>
  </si>
  <si>
    <t>CORRALILLO</t>
  </si>
  <si>
    <t>SANTA ELENA</t>
  </si>
  <si>
    <t>00182</t>
  </si>
  <si>
    <t>SALITRILLOS</t>
  </si>
  <si>
    <t>LOS SANTOS</t>
  </si>
  <si>
    <t>GUADALUPE</t>
  </si>
  <si>
    <t>00216</t>
  </si>
  <si>
    <t>DULCE NOMBRE</t>
  </si>
  <si>
    <t>SAN PEDRO</t>
  </si>
  <si>
    <t>PALMICHAL</t>
  </si>
  <si>
    <t>SAN IGNACIO</t>
  </si>
  <si>
    <t>00272</t>
  </si>
  <si>
    <t>00282</t>
  </si>
  <si>
    <t>00283</t>
  </si>
  <si>
    <t>00285</t>
  </si>
  <si>
    <t>SABANILLA</t>
  </si>
  <si>
    <t>00291</t>
  </si>
  <si>
    <t>BELLA VISTA</t>
  </si>
  <si>
    <t>MERCEDES NORTE</t>
  </si>
  <si>
    <t>LIBERIA</t>
  </si>
  <si>
    <t>16</t>
  </si>
  <si>
    <t>SAN MARTIN</t>
  </si>
  <si>
    <t>COLON</t>
  </si>
  <si>
    <t>SAN PABLO</t>
  </si>
  <si>
    <t>PEREZ ZELEDON</t>
  </si>
  <si>
    <t>19</t>
  </si>
  <si>
    <t>00414</t>
  </si>
  <si>
    <t>SANTA ROSA</t>
  </si>
  <si>
    <t>00433</t>
  </si>
  <si>
    <t>CONTIGUO AL SALON COMUNAL</t>
  </si>
  <si>
    <t>LA RIBERA</t>
  </si>
  <si>
    <t>AGUIRRE</t>
  </si>
  <si>
    <t>SAN LORENZO</t>
  </si>
  <si>
    <t>LA SUIZA</t>
  </si>
  <si>
    <t>00628</t>
  </si>
  <si>
    <t>CAÑAS</t>
  </si>
  <si>
    <t>PALMIRA</t>
  </si>
  <si>
    <t>CANOAS</t>
  </si>
  <si>
    <t>00741</t>
  </si>
  <si>
    <t>00742</t>
  </si>
  <si>
    <t>00818</t>
  </si>
  <si>
    <t>00837</t>
  </si>
  <si>
    <t>SAN MATEO</t>
  </si>
  <si>
    <t>00826</t>
  </si>
  <si>
    <t>JACO</t>
  </si>
  <si>
    <t>00843</t>
  </si>
  <si>
    <t>ATENAS</t>
  </si>
  <si>
    <t>SANTA EULALIA</t>
  </si>
  <si>
    <t>00896</t>
  </si>
  <si>
    <t>PIEDADES SUR</t>
  </si>
  <si>
    <t>SANTA CLARA</t>
  </si>
  <si>
    <t>AGUAS ZARCAS</t>
  </si>
  <si>
    <t>PITAL</t>
  </si>
  <si>
    <t>FORTUNA</t>
  </si>
  <si>
    <t>SAN DIEGO</t>
  </si>
  <si>
    <t>SANTA MARIA</t>
  </si>
  <si>
    <t>SAN VITO</t>
  </si>
  <si>
    <t>SANTA LUCIA</t>
  </si>
  <si>
    <t>COBANO</t>
  </si>
  <si>
    <t>GUAPILES</t>
  </si>
  <si>
    <t>PUERTO VIEJO</t>
  </si>
  <si>
    <t>20</t>
  </si>
  <si>
    <t>17</t>
  </si>
  <si>
    <t>LA CUESTA</t>
  </si>
  <si>
    <t>QUEBRADILLA</t>
  </si>
  <si>
    <t>AGUA CALIENTE</t>
  </si>
  <si>
    <t>PACAYAS</t>
  </si>
  <si>
    <t>BARRIO EL CARMEN</t>
  </si>
  <si>
    <t>TURRIALBA</t>
  </si>
  <si>
    <t>ULLOA</t>
  </si>
  <si>
    <t>NICOYA</t>
  </si>
  <si>
    <t>CARMONA</t>
  </si>
  <si>
    <t>CARTAGENA</t>
  </si>
  <si>
    <t>PENINSULAR</t>
  </si>
  <si>
    <t>SARDINAL</t>
  </si>
  <si>
    <t>TRONADORA</t>
  </si>
  <si>
    <t>PAQUERA</t>
  </si>
  <si>
    <t>BATAN</t>
  </si>
  <si>
    <t>Barrio o Poblado:</t>
  </si>
  <si>
    <t>Dirección Exacta:</t>
  </si>
  <si>
    <t>Dirección Regional:</t>
  </si>
  <si>
    <t>Código Presupuestario:</t>
  </si>
  <si>
    <t>Educación Física</t>
  </si>
  <si>
    <t>Educación Musical</t>
  </si>
  <si>
    <t>Educación Religiosa</t>
  </si>
  <si>
    <t>Hombres</t>
  </si>
  <si>
    <t>Mujeres</t>
  </si>
  <si>
    <t>Tipo de Cargo</t>
  </si>
  <si>
    <t>Director</t>
  </si>
  <si>
    <t>Asistente de Dirección</t>
  </si>
  <si>
    <t>Otros</t>
  </si>
  <si>
    <t>Docentes</t>
  </si>
  <si>
    <t>Inglés</t>
  </si>
  <si>
    <t>Administrativos y de Servicios</t>
  </si>
  <si>
    <t>00570</t>
  </si>
  <si>
    <t>21</t>
  </si>
  <si>
    <t>22</t>
  </si>
  <si>
    <t>23</t>
  </si>
  <si>
    <t>24</t>
  </si>
  <si>
    <t>25</t>
  </si>
  <si>
    <t>26</t>
  </si>
  <si>
    <t>27</t>
  </si>
  <si>
    <t>TOTAL</t>
  </si>
  <si>
    <t>Discapacidad Múltiple</t>
  </si>
  <si>
    <t>Discapacidad Visual</t>
  </si>
  <si>
    <t>Problemas Emocionales y de Conducta</t>
  </si>
  <si>
    <t>Sordera</t>
  </si>
  <si>
    <t>Sordo Ceguera</t>
  </si>
  <si>
    <t>Problemas de Aprendizaje</t>
  </si>
  <si>
    <t>Terapia del Lenguaje</t>
  </si>
  <si>
    <t>Audición y Lenguaje</t>
  </si>
  <si>
    <t>Trabajo Social</t>
  </si>
  <si>
    <t>Generalista en Educación Especial</t>
  </si>
  <si>
    <t>Antártida</t>
  </si>
  <si>
    <t>Oceanía</t>
  </si>
  <si>
    <t>África</t>
  </si>
  <si>
    <t>Europa</t>
  </si>
  <si>
    <t>Asia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</si>
  <si>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</si>
  <si>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</si>
  <si>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</si>
  <si>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</si>
  <si>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</si>
  <si>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</si>
  <si>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</si>
  <si>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</si>
  <si>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</si>
  <si>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</si>
  <si>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</si>
  <si>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</si>
  <si>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</si>
  <si>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</si>
  <si>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</si>
  <si>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</si>
  <si>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</si>
  <si>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</si>
  <si>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</si>
  <si>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</si>
  <si>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</si>
  <si>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</si>
  <si>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</si>
  <si>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</si>
  <si>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</si>
  <si>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</si>
  <si>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</si>
  <si>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</si>
  <si>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</si>
  <si>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Canadá</t>
  </si>
  <si>
    <t>Estados Unidos</t>
  </si>
  <si>
    <t>México</t>
  </si>
  <si>
    <t>Belice</t>
  </si>
  <si>
    <t>Guatemala</t>
  </si>
  <si>
    <t>Honduras</t>
  </si>
  <si>
    <t>El Salvador</t>
  </si>
  <si>
    <t>Nicaragua</t>
  </si>
  <si>
    <t>Panamá</t>
  </si>
  <si>
    <t>Cuba</t>
  </si>
  <si>
    <t>República Dominicana</t>
  </si>
  <si>
    <t>Haití</t>
  </si>
  <si>
    <t>Colombia</t>
  </si>
  <si>
    <t>Ecuador</t>
  </si>
  <si>
    <t>Perú</t>
  </si>
  <si>
    <t>Bolivia</t>
  </si>
  <si>
    <t>Chile</t>
  </si>
  <si>
    <t>Argentina</t>
  </si>
  <si>
    <t>Paraguay</t>
  </si>
  <si>
    <t>Uruguay</t>
  </si>
  <si>
    <t>Brasil</t>
  </si>
  <si>
    <t>Venezuela</t>
  </si>
  <si>
    <t>Guyana</t>
  </si>
  <si>
    <t>Otros Países y Dependencias de América</t>
  </si>
  <si>
    <t>Laboratorio de Informática</t>
  </si>
  <si>
    <t>Sala de Profesores</t>
  </si>
  <si>
    <t>Lavatorios</t>
  </si>
  <si>
    <t>Servicio Sanitario Accesible (Ley 7600)</t>
  </si>
  <si>
    <t>No tiene</t>
  </si>
  <si>
    <t>Acueducto Rural o Comunal (ASADAS o CAAR).</t>
  </si>
  <si>
    <t>Acueducto Municipal.</t>
  </si>
  <si>
    <t>Acueducto A y A.</t>
  </si>
  <si>
    <t>Acueducto de una Empresa o Cooperativa.</t>
  </si>
  <si>
    <t>No tiene.</t>
  </si>
  <si>
    <t>Tanque Séptico.</t>
  </si>
  <si>
    <t>Tiene salida directa a acequia, zanja, río o estero.</t>
  </si>
  <si>
    <t>Es de hueco, pozo negro o letrina.</t>
  </si>
  <si>
    <t>El o los Servicios Sanitarios están conectados a:</t>
  </si>
  <si>
    <t>ICE o CNFL.</t>
  </si>
  <si>
    <t>ESPH o JASEC.</t>
  </si>
  <si>
    <t>Cooperativa.</t>
  </si>
  <si>
    <t>Panel Solar.</t>
  </si>
  <si>
    <t>Servicio de Biblioteca.</t>
  </si>
  <si>
    <t>Servicio de Internet.</t>
  </si>
  <si>
    <t>Correo Electrónico de la Institución:</t>
  </si>
  <si>
    <t>PRIVADA</t>
  </si>
  <si>
    <t>Sicólogo</t>
  </si>
  <si>
    <t>Sociólogo</t>
  </si>
  <si>
    <t>En buen estado</t>
  </si>
  <si>
    <t>Sin Conexión a Internet</t>
  </si>
  <si>
    <t>Computadoras en Buen Estado</t>
  </si>
  <si>
    <t>De uso estrictamente pedagógico</t>
  </si>
  <si>
    <t>De uso pedagógico y administrativo</t>
  </si>
  <si>
    <t>De uso estrictamente administrativo</t>
  </si>
  <si>
    <t>Computadora de Escritorio</t>
  </si>
  <si>
    <t>Uso</t>
  </si>
  <si>
    <t>Conecta-
das a Internet</t>
  </si>
  <si>
    <t>00572</t>
  </si>
  <si>
    <t>00058</t>
  </si>
  <si>
    <t>00084</t>
  </si>
  <si>
    <t>00841</t>
  </si>
  <si>
    <t>Comedor</t>
  </si>
  <si>
    <t>Año Cursado</t>
  </si>
  <si>
    <t>OBSERVACIONES/COMENTARIOS:</t>
  </si>
  <si>
    <t>Asignatura</t>
  </si>
  <si>
    <t>Hom-bres</t>
  </si>
  <si>
    <t>Mu-jeres</t>
  </si>
  <si>
    <t>Español</t>
  </si>
  <si>
    <t>Estudios Sociales</t>
  </si>
  <si>
    <t>Ciencias</t>
  </si>
  <si>
    <t>Matemática</t>
  </si>
  <si>
    <t>Alfabetización</t>
  </si>
  <si>
    <t>Educación Diversificada a Distancia</t>
  </si>
  <si>
    <t>Biblioteca</t>
  </si>
  <si>
    <t>Taller de Artes Industriales</t>
  </si>
  <si>
    <t>Otros Talleres</t>
  </si>
  <si>
    <t>Total-Centro Educativo</t>
  </si>
  <si>
    <t>Gimnasio</t>
  </si>
  <si>
    <t>Indique si en la Institución se ofrece lo siguiente:</t>
  </si>
  <si>
    <t>Discapacidad Motora</t>
  </si>
  <si>
    <t>Ceguera</t>
  </si>
  <si>
    <t>Baja Visión</t>
  </si>
  <si>
    <t>Docentes Educación Especial</t>
  </si>
  <si>
    <t>Auxiliar Administrativo</t>
  </si>
  <si>
    <t>Orientador</t>
  </si>
  <si>
    <t>Orientador Asistente</t>
  </si>
  <si>
    <t>Bibliotecólogo</t>
  </si>
  <si>
    <t>Otros Docentes Educación Especial</t>
  </si>
  <si>
    <t>Otros Docentes</t>
  </si>
  <si>
    <t>Aspi-rantes</t>
  </si>
  <si>
    <t>Docentes que atienden los Proyectos de Educación Abierta</t>
  </si>
  <si>
    <t>Cantidad
Total</t>
  </si>
  <si>
    <t>Aulas (que no se utilizan para impartir lecciones)</t>
  </si>
  <si>
    <t>Sí</t>
  </si>
  <si>
    <t>No</t>
  </si>
  <si>
    <t>Computadora
Portátil</t>
  </si>
  <si>
    <t>Personal</t>
  </si>
  <si>
    <t>Plan Nacional (o equivalente)</t>
  </si>
  <si>
    <t>¿Proyectos de Educación Abierta?</t>
  </si>
  <si>
    <t>DEPARTAMENTO DE ANÁLISIS ESTADÍSTICO</t>
  </si>
  <si>
    <t>Dirección de Planificación Institucional</t>
  </si>
  <si>
    <t>Ministerio de Educación Pública</t>
  </si>
  <si>
    <t>Ubicación (PR/CA/DI):</t>
  </si>
  <si>
    <t>Sello Institución</t>
  </si>
  <si>
    <t>pcd</t>
  </si>
  <si>
    <t>1-01-01</t>
  </si>
  <si>
    <t>1-01-02</t>
  </si>
  <si>
    <t>1-01-03</t>
  </si>
  <si>
    <t>1-01-04</t>
  </si>
  <si>
    <t>1-01-05</t>
  </si>
  <si>
    <t>1-01-06</t>
  </si>
  <si>
    <t>1-01-07</t>
  </si>
  <si>
    <t>1-01-08</t>
  </si>
  <si>
    <t>1-01-09</t>
  </si>
  <si>
    <t>1-01-10</t>
  </si>
  <si>
    <t>1-01-11</t>
  </si>
  <si>
    <t>1-02-01</t>
  </si>
  <si>
    <t>1-02-02</t>
  </si>
  <si>
    <t>1-02-03</t>
  </si>
  <si>
    <t>1-03-01</t>
  </si>
  <si>
    <t>1-03-02</t>
  </si>
  <si>
    <t>1-03-03</t>
  </si>
  <si>
    <t>1-03-04</t>
  </si>
  <si>
    <t>1-03-05</t>
  </si>
  <si>
    <t>1-03-06</t>
  </si>
  <si>
    <t>1-03-07</t>
  </si>
  <si>
    <t>1-03-08</t>
  </si>
  <si>
    <t>1-03-09</t>
  </si>
  <si>
    <t>1-03-10</t>
  </si>
  <si>
    <t>1-03-11</t>
  </si>
  <si>
    <t>1-03-12</t>
  </si>
  <si>
    <t>1-03-13</t>
  </si>
  <si>
    <t>1-04-01</t>
  </si>
  <si>
    <t>1-04-02</t>
  </si>
  <si>
    <t>1-04-03</t>
  </si>
  <si>
    <t>1-04-04</t>
  </si>
  <si>
    <t>1-04-05</t>
  </si>
  <si>
    <t>1-04-06</t>
  </si>
  <si>
    <t>1-04-07</t>
  </si>
  <si>
    <t>1-04-08</t>
  </si>
  <si>
    <t>1-04-09</t>
  </si>
  <si>
    <t>1-05-01</t>
  </si>
  <si>
    <t>1-05-02</t>
  </si>
  <si>
    <t>1-05-03</t>
  </si>
  <si>
    <t>1-06-01</t>
  </si>
  <si>
    <t>1-06-02</t>
  </si>
  <si>
    <t>1-06-03</t>
  </si>
  <si>
    <t>1-06-04</t>
  </si>
  <si>
    <t>1-06-05</t>
  </si>
  <si>
    <t>1-06-06</t>
  </si>
  <si>
    <t>1-06-07</t>
  </si>
  <si>
    <t>1-07-01</t>
  </si>
  <si>
    <t>1-07-02</t>
  </si>
  <si>
    <t>1-07-03</t>
  </si>
  <si>
    <t>1-07-04</t>
  </si>
  <si>
    <t>1-07-05</t>
  </si>
  <si>
    <t>1-07-06</t>
  </si>
  <si>
    <t>1-08-01</t>
  </si>
  <si>
    <t>1-08-02</t>
  </si>
  <si>
    <t>1-08-03</t>
  </si>
  <si>
    <t>1-08-04</t>
  </si>
  <si>
    <t>1-08-05</t>
  </si>
  <si>
    <t>1-08-06</t>
  </si>
  <si>
    <t>1-08-07</t>
  </si>
  <si>
    <t>1-09-01</t>
  </si>
  <si>
    <t>1-09-02</t>
  </si>
  <si>
    <t>1-09-03</t>
  </si>
  <si>
    <t>1-09-04</t>
  </si>
  <si>
    <t>1-09-05</t>
  </si>
  <si>
    <t>1-09-06</t>
  </si>
  <si>
    <t>1-10-01</t>
  </si>
  <si>
    <t>1-10-02</t>
  </si>
  <si>
    <t>1-10-03</t>
  </si>
  <si>
    <t>1-10-04</t>
  </si>
  <si>
    <t>1-10-05</t>
  </si>
  <si>
    <t>1-11-01</t>
  </si>
  <si>
    <t>1-11-02</t>
  </si>
  <si>
    <t>1-11-03</t>
  </si>
  <si>
    <t>1-11-04</t>
  </si>
  <si>
    <t>1-11-05</t>
  </si>
  <si>
    <t>1-12-01</t>
  </si>
  <si>
    <t>1-12-02</t>
  </si>
  <si>
    <t>1-12-03</t>
  </si>
  <si>
    <t>1-12-04</t>
  </si>
  <si>
    <t>1-12-05</t>
  </si>
  <si>
    <t>1-13-01</t>
  </si>
  <si>
    <t>1-13-02</t>
  </si>
  <si>
    <t>1-13-03</t>
  </si>
  <si>
    <t>1-13-04</t>
  </si>
  <si>
    <t>1-13-05</t>
  </si>
  <si>
    <t>1-14-01</t>
  </si>
  <si>
    <t>1-14-02</t>
  </si>
  <si>
    <t>1-14-03</t>
  </si>
  <si>
    <t>1-15-01</t>
  </si>
  <si>
    <t>1-15-02</t>
  </si>
  <si>
    <t>1-15-03</t>
  </si>
  <si>
    <t>1-15-04</t>
  </si>
  <si>
    <t>1-16-01</t>
  </si>
  <si>
    <t>1-16-02</t>
  </si>
  <si>
    <t>1-16-03</t>
  </si>
  <si>
    <t>1-16-04</t>
  </si>
  <si>
    <t>1-16-05</t>
  </si>
  <si>
    <t>1-17-01</t>
  </si>
  <si>
    <t>1-17-02</t>
  </si>
  <si>
    <t>1-17-03</t>
  </si>
  <si>
    <t>1-18-01</t>
  </si>
  <si>
    <t>1-18-02</t>
  </si>
  <si>
    <t>1-18-03</t>
  </si>
  <si>
    <t>1-18-04</t>
  </si>
  <si>
    <t>1-19-01</t>
  </si>
  <si>
    <t>1-19-02</t>
  </si>
  <si>
    <t>1-19-03</t>
  </si>
  <si>
    <t>1-19-04</t>
  </si>
  <si>
    <t>1-19-05</t>
  </si>
  <si>
    <t>1-19-06</t>
  </si>
  <si>
    <t>1-19-07</t>
  </si>
  <si>
    <t>1-19-08</t>
  </si>
  <si>
    <t>1-19-09</t>
  </si>
  <si>
    <t>1-19-10</t>
  </si>
  <si>
    <t>1-19-11</t>
  </si>
  <si>
    <t>1-20-01</t>
  </si>
  <si>
    <t>1-20-02</t>
  </si>
  <si>
    <t>1-20-03</t>
  </si>
  <si>
    <t>1-20-04</t>
  </si>
  <si>
    <t>1-20-05</t>
  </si>
  <si>
    <t>1-20-06</t>
  </si>
  <si>
    <t>2-01-01</t>
  </si>
  <si>
    <t>2-01-02</t>
  </si>
  <si>
    <t>2-01-03</t>
  </si>
  <si>
    <t>2-01-04</t>
  </si>
  <si>
    <t>2-01-05</t>
  </si>
  <si>
    <t>2-01-06</t>
  </si>
  <si>
    <t>2-01-07</t>
  </si>
  <si>
    <t>2-01-08</t>
  </si>
  <si>
    <t>2-01-09</t>
  </si>
  <si>
    <t>2-01-10</t>
  </si>
  <si>
    <t>2-01-11</t>
  </si>
  <si>
    <t>2-01-12</t>
  </si>
  <si>
    <t>2-01-13</t>
  </si>
  <si>
    <t>2-01-14</t>
  </si>
  <si>
    <t>2-02-01</t>
  </si>
  <si>
    <t>2-02-02</t>
  </si>
  <si>
    <t>2-02-03</t>
  </si>
  <si>
    <t>2-02-04</t>
  </si>
  <si>
    <t>2-02-05</t>
  </si>
  <si>
    <t>2-02-06</t>
  </si>
  <si>
    <t>2-02-07</t>
  </si>
  <si>
    <t>2-02-08</t>
  </si>
  <si>
    <t>2-02-09</t>
  </si>
  <si>
    <t>2-02-10</t>
  </si>
  <si>
    <t>2-02-11</t>
  </si>
  <si>
    <t>2-02-12</t>
  </si>
  <si>
    <t>2-02-13</t>
  </si>
  <si>
    <t>2-03-01</t>
  </si>
  <si>
    <t>2-03-02</t>
  </si>
  <si>
    <t>2-03-03</t>
  </si>
  <si>
    <t>2-03-04</t>
  </si>
  <si>
    <t>2-03-05</t>
  </si>
  <si>
    <t>2-03-07</t>
  </si>
  <si>
    <t>2-03-08</t>
  </si>
  <si>
    <t>2-04-01</t>
  </si>
  <si>
    <t>2-04-02</t>
  </si>
  <si>
    <t>2-04-03</t>
  </si>
  <si>
    <t>2-04-04</t>
  </si>
  <si>
    <t>2-05-01</t>
  </si>
  <si>
    <t>2-05-02</t>
  </si>
  <si>
    <t>2-05-03</t>
  </si>
  <si>
    <t>2-05-04</t>
  </si>
  <si>
    <t>2-05-05</t>
  </si>
  <si>
    <t>2-05-06</t>
  </si>
  <si>
    <t>2-05-07</t>
  </si>
  <si>
    <t>2-05-08</t>
  </si>
  <si>
    <t>2-06-01</t>
  </si>
  <si>
    <t>2-06-02</t>
  </si>
  <si>
    <t>2-06-03</t>
  </si>
  <si>
    <t>2-06-04</t>
  </si>
  <si>
    <t>2-06-05</t>
  </si>
  <si>
    <t>2-06-06</t>
  </si>
  <si>
    <t>2-06-07</t>
  </si>
  <si>
    <t>2-06-08</t>
  </si>
  <si>
    <t>2-07-01</t>
  </si>
  <si>
    <t>2-07-02</t>
  </si>
  <si>
    <t>2-07-03</t>
  </si>
  <si>
    <t>2-07-04</t>
  </si>
  <si>
    <t>2-07-05</t>
  </si>
  <si>
    <t>2-07-06</t>
  </si>
  <si>
    <t>2-07-07</t>
  </si>
  <si>
    <t>2-08-01</t>
  </si>
  <si>
    <t>2-08-02</t>
  </si>
  <si>
    <t>2-08-03</t>
  </si>
  <si>
    <t>2-08-04</t>
  </si>
  <si>
    <t>2-08-05</t>
  </si>
  <si>
    <t>2-09-01</t>
  </si>
  <si>
    <t>2-09-02</t>
  </si>
  <si>
    <t>2-09-03</t>
  </si>
  <si>
    <t>2-09-04</t>
  </si>
  <si>
    <t>2-09-05</t>
  </si>
  <si>
    <t>2-10-01</t>
  </si>
  <si>
    <t>2-10-02</t>
  </si>
  <si>
    <t>2-10-03</t>
  </si>
  <si>
    <t>2-10-04</t>
  </si>
  <si>
    <t>2-10-05</t>
  </si>
  <si>
    <t>2-10-06</t>
  </si>
  <si>
    <t>2-10-07</t>
  </si>
  <si>
    <t>2-10-08</t>
  </si>
  <si>
    <t>2-10-09</t>
  </si>
  <si>
    <t>2-10-10</t>
  </si>
  <si>
    <t>2-10-11</t>
  </si>
  <si>
    <t>2-10-12</t>
  </si>
  <si>
    <t>2-10-13</t>
  </si>
  <si>
    <t>2-11-01</t>
  </si>
  <si>
    <t>2-11-02</t>
  </si>
  <si>
    <t>2-11-03</t>
  </si>
  <si>
    <t>2-11-04</t>
  </si>
  <si>
    <t>2-11-05</t>
  </si>
  <si>
    <t>2-11-06</t>
  </si>
  <si>
    <t>2-11-07</t>
  </si>
  <si>
    <t>2-12-01</t>
  </si>
  <si>
    <t>2-12-02</t>
  </si>
  <si>
    <t>2-12-03</t>
  </si>
  <si>
    <t>2-12-04</t>
  </si>
  <si>
    <t>2-12-05</t>
  </si>
  <si>
    <t>2-13-01</t>
  </si>
  <si>
    <t>2-13-02</t>
  </si>
  <si>
    <t>2-13-03</t>
  </si>
  <si>
    <t>2-13-04</t>
  </si>
  <si>
    <t>2-13-05</t>
  </si>
  <si>
    <t>2-13-06</t>
  </si>
  <si>
    <t>2-13-07</t>
  </si>
  <si>
    <t>2-13-08</t>
  </si>
  <si>
    <t>2-14-01</t>
  </si>
  <si>
    <t>2-14-02</t>
  </si>
  <si>
    <t>2-14-03</t>
  </si>
  <si>
    <t>2-14-04</t>
  </si>
  <si>
    <t>2-15-01</t>
  </si>
  <si>
    <t>2-15-02</t>
  </si>
  <si>
    <t>2-15-03</t>
  </si>
  <si>
    <t>2-15-04</t>
  </si>
  <si>
    <t>3-01-01</t>
  </si>
  <si>
    <t>3-01-02</t>
  </si>
  <si>
    <t>3-01-03</t>
  </si>
  <si>
    <t>3-01-04</t>
  </si>
  <si>
    <t>3-01-05</t>
  </si>
  <si>
    <t>3-01-06</t>
  </si>
  <si>
    <t>3-01-07</t>
  </si>
  <si>
    <t>3-01-08</t>
  </si>
  <si>
    <t>3-01-09</t>
  </si>
  <si>
    <t>3-01-10</t>
  </si>
  <si>
    <t>3-01-11</t>
  </si>
  <si>
    <t>3-02-01</t>
  </si>
  <si>
    <t>3-02-02</t>
  </si>
  <si>
    <t>3-02-03</t>
  </si>
  <si>
    <t>3-02-04</t>
  </si>
  <si>
    <t>3-02-05</t>
  </si>
  <si>
    <t>3-03-01</t>
  </si>
  <si>
    <t>3-03-02</t>
  </si>
  <si>
    <t>3-03-03</t>
  </si>
  <si>
    <t>3-03-04</t>
  </si>
  <si>
    <t>3-03-05</t>
  </si>
  <si>
    <t>3-03-06</t>
  </si>
  <si>
    <t>3-03-07</t>
  </si>
  <si>
    <t>3-03-08</t>
  </si>
  <si>
    <t>3-04-01</t>
  </si>
  <si>
    <t>3-04-02</t>
  </si>
  <si>
    <t>3-04-03</t>
  </si>
  <si>
    <t>3-05-01</t>
  </si>
  <si>
    <t>3-05-02</t>
  </si>
  <si>
    <t>3-05-03</t>
  </si>
  <si>
    <t>3-05-04</t>
  </si>
  <si>
    <t>3-05-05</t>
  </si>
  <si>
    <t>3-05-06</t>
  </si>
  <si>
    <t>3-05-07</t>
  </si>
  <si>
    <t>3-05-08</t>
  </si>
  <si>
    <t>3-05-09</t>
  </si>
  <si>
    <t>3-05-10</t>
  </si>
  <si>
    <t>3-05-11</t>
  </si>
  <si>
    <t>3-05-12</t>
  </si>
  <si>
    <t>3-06-01</t>
  </si>
  <si>
    <t>3-06-02</t>
  </si>
  <si>
    <t>3-06-03</t>
  </si>
  <si>
    <t>3-07-01</t>
  </si>
  <si>
    <t>3-07-02</t>
  </si>
  <si>
    <t>3-07-03</t>
  </si>
  <si>
    <t>3-07-04</t>
  </si>
  <si>
    <t>3-07-05</t>
  </si>
  <si>
    <t>3-08-01</t>
  </si>
  <si>
    <t>3-08-02</t>
  </si>
  <si>
    <t>3-08-03</t>
  </si>
  <si>
    <t>3-08-04</t>
  </si>
  <si>
    <t>4-01-01</t>
  </si>
  <si>
    <t>4-01-02</t>
  </si>
  <si>
    <t>4-01-03</t>
  </si>
  <si>
    <t>4-01-04</t>
  </si>
  <si>
    <t>4-01-05</t>
  </si>
  <si>
    <t>4-02-01</t>
  </si>
  <si>
    <t>4-02-02</t>
  </si>
  <si>
    <t>4-02-03</t>
  </si>
  <si>
    <t>4-02-04</t>
  </si>
  <si>
    <t>4-02-05</t>
  </si>
  <si>
    <t>4-02-06</t>
  </si>
  <si>
    <t>4-03-01</t>
  </si>
  <si>
    <t>4-03-02</t>
  </si>
  <si>
    <t>4-03-03</t>
  </si>
  <si>
    <t>4-03-04</t>
  </si>
  <si>
    <t>4-03-05</t>
  </si>
  <si>
    <t>4-03-06</t>
  </si>
  <si>
    <t>4-03-07</t>
  </si>
  <si>
    <t>4-03-08</t>
  </si>
  <si>
    <t>4-04-01</t>
  </si>
  <si>
    <t>4-04-02</t>
  </si>
  <si>
    <t>4-04-03</t>
  </si>
  <si>
    <t>4-04-04</t>
  </si>
  <si>
    <t>4-04-05</t>
  </si>
  <si>
    <t>4-04-06</t>
  </si>
  <si>
    <t>4-05-01</t>
  </si>
  <si>
    <t>4-05-02</t>
  </si>
  <si>
    <t>4-05-03</t>
  </si>
  <si>
    <t>4-05-04</t>
  </si>
  <si>
    <t>4-05-05</t>
  </si>
  <si>
    <t>4-06-01</t>
  </si>
  <si>
    <t>4-06-02</t>
  </si>
  <si>
    <t>4-06-03</t>
  </si>
  <si>
    <t>4-06-04</t>
  </si>
  <si>
    <t>4-07-01</t>
  </si>
  <si>
    <t>4-07-02</t>
  </si>
  <si>
    <t>4-07-03</t>
  </si>
  <si>
    <t>4-08-01</t>
  </si>
  <si>
    <t>4-08-02</t>
  </si>
  <si>
    <t>4-08-03</t>
  </si>
  <si>
    <t>4-09-01</t>
  </si>
  <si>
    <t>4-09-02</t>
  </si>
  <si>
    <t>4-10-01</t>
  </si>
  <si>
    <t>4-10-02</t>
  </si>
  <si>
    <t>4-10-03</t>
  </si>
  <si>
    <t>4-10-04</t>
  </si>
  <si>
    <t>4-10-05</t>
  </si>
  <si>
    <t>5-01-01</t>
  </si>
  <si>
    <t>5-01-02</t>
  </si>
  <si>
    <t>5-01-03</t>
  </si>
  <si>
    <t>5-01-04</t>
  </si>
  <si>
    <t>5-01-05</t>
  </si>
  <si>
    <t>5-02-01</t>
  </si>
  <si>
    <t>5-02-02</t>
  </si>
  <si>
    <t>5-02-03</t>
  </si>
  <si>
    <t>5-02-04</t>
  </si>
  <si>
    <t>5-02-05</t>
  </si>
  <si>
    <t>5-02-06</t>
  </si>
  <si>
    <t>5-02-07</t>
  </si>
  <si>
    <t>5-03-01</t>
  </si>
  <si>
    <t>5-03-02</t>
  </si>
  <si>
    <t>5-03-03</t>
  </si>
  <si>
    <t>5-03-04</t>
  </si>
  <si>
    <t>5-03-05</t>
  </si>
  <si>
    <t>5-03-06</t>
  </si>
  <si>
    <t>5-03-07</t>
  </si>
  <si>
    <t>5-03-08</t>
  </si>
  <si>
    <t>5-03-09</t>
  </si>
  <si>
    <t>5-04-01</t>
  </si>
  <si>
    <t>5-04-02</t>
  </si>
  <si>
    <t>5-04-03</t>
  </si>
  <si>
    <t>5-04-04</t>
  </si>
  <si>
    <t>5-05-01</t>
  </si>
  <si>
    <t>5-05-02</t>
  </si>
  <si>
    <t>5-05-03</t>
  </si>
  <si>
    <t>5-05-04</t>
  </si>
  <si>
    <t>5-06-01</t>
  </si>
  <si>
    <t>5-06-02</t>
  </si>
  <si>
    <t>5-06-03</t>
  </si>
  <si>
    <t>5-06-04</t>
  </si>
  <si>
    <t>5-06-05</t>
  </si>
  <si>
    <t>5-07-01</t>
  </si>
  <si>
    <t>5-07-02</t>
  </si>
  <si>
    <t>5-07-03</t>
  </si>
  <si>
    <t>5-07-04</t>
  </si>
  <si>
    <t>5-08-01</t>
  </si>
  <si>
    <t>5-08-02</t>
  </si>
  <si>
    <t>5-08-03</t>
  </si>
  <si>
    <t>5-08-04</t>
  </si>
  <si>
    <t>5-08-05</t>
  </si>
  <si>
    <t>5-08-06</t>
  </si>
  <si>
    <t>5-08-07</t>
  </si>
  <si>
    <t>5-09-01</t>
  </si>
  <si>
    <t>5-09-02</t>
  </si>
  <si>
    <t>5-09-03</t>
  </si>
  <si>
    <t>5-09-04</t>
  </si>
  <si>
    <t>5-09-05</t>
  </si>
  <si>
    <t>5-09-06</t>
  </si>
  <si>
    <t>5-10-01</t>
  </si>
  <si>
    <t>5-10-02</t>
  </si>
  <si>
    <t>5-10-03</t>
  </si>
  <si>
    <t>5-10-04</t>
  </si>
  <si>
    <t>5-11-01</t>
  </si>
  <si>
    <t>5-11-02</t>
  </si>
  <si>
    <t>5-11-03</t>
  </si>
  <si>
    <t>5-11-04</t>
  </si>
  <si>
    <t>6-01-01</t>
  </si>
  <si>
    <t>6-01-02</t>
  </si>
  <si>
    <t>6-01-03</t>
  </si>
  <si>
    <t>6-01-04</t>
  </si>
  <si>
    <t>6-01-05</t>
  </si>
  <si>
    <t>6-01-06</t>
  </si>
  <si>
    <t>6-01-07</t>
  </si>
  <si>
    <t>6-01-08</t>
  </si>
  <si>
    <t>6-01-09</t>
  </si>
  <si>
    <t>6-01-11</t>
  </si>
  <si>
    <t>6-01-12</t>
  </si>
  <si>
    <t>6-01-13</t>
  </si>
  <si>
    <t>6-01-14</t>
  </si>
  <si>
    <t>6-01-15</t>
  </si>
  <si>
    <t>6-01-16</t>
  </si>
  <si>
    <t>6-02-01</t>
  </si>
  <si>
    <t>6-02-02</t>
  </si>
  <si>
    <t>6-02-03</t>
  </si>
  <si>
    <t>6-02-04</t>
  </si>
  <si>
    <t>6-02-05</t>
  </si>
  <si>
    <t>6-03-01</t>
  </si>
  <si>
    <t>6-03-02</t>
  </si>
  <si>
    <t>6-03-03</t>
  </si>
  <si>
    <t>6-03-04</t>
  </si>
  <si>
    <t>6-03-05</t>
  </si>
  <si>
    <t>6-03-06</t>
  </si>
  <si>
    <t>6-03-07</t>
  </si>
  <si>
    <t>6-03-08</t>
  </si>
  <si>
    <t>6-03-09</t>
  </si>
  <si>
    <t>6-04-01</t>
  </si>
  <si>
    <t>6-04-02</t>
  </si>
  <si>
    <t>6-04-03</t>
  </si>
  <si>
    <t>6-05-01</t>
  </si>
  <si>
    <t>6-05-02</t>
  </si>
  <si>
    <t>6-05-03</t>
  </si>
  <si>
    <t>6-05-04</t>
  </si>
  <si>
    <t>6-05-05</t>
  </si>
  <si>
    <t>6-05-06</t>
  </si>
  <si>
    <t>6-06-01</t>
  </si>
  <si>
    <t>6-06-02</t>
  </si>
  <si>
    <t>6-06-03</t>
  </si>
  <si>
    <t>6-07-01</t>
  </si>
  <si>
    <t>6-07-02</t>
  </si>
  <si>
    <t>6-07-03</t>
  </si>
  <si>
    <t>6-07-04</t>
  </si>
  <si>
    <t>6-08-01</t>
  </si>
  <si>
    <t>6-08-02</t>
  </si>
  <si>
    <t>6-08-03</t>
  </si>
  <si>
    <t>6-08-04</t>
  </si>
  <si>
    <t>6-08-05</t>
  </si>
  <si>
    <t>6-09-01</t>
  </si>
  <si>
    <t>6-10-01</t>
  </si>
  <si>
    <t>6-10-02</t>
  </si>
  <si>
    <t>6-10-03</t>
  </si>
  <si>
    <t>6-10-04</t>
  </si>
  <si>
    <t>6-11-01</t>
  </si>
  <si>
    <t>6-11-02</t>
  </si>
  <si>
    <t>7-01-01</t>
  </si>
  <si>
    <t>7-01-02</t>
  </si>
  <si>
    <t>7-01-03</t>
  </si>
  <si>
    <t>7-01-04</t>
  </si>
  <si>
    <t>7-02-01</t>
  </si>
  <si>
    <t>7-02-02</t>
  </si>
  <si>
    <t>7-02-03</t>
  </si>
  <si>
    <t>7-02-04</t>
  </si>
  <si>
    <t>7-02-05</t>
  </si>
  <si>
    <t>7-02-06</t>
  </si>
  <si>
    <t>7-02-07</t>
  </si>
  <si>
    <t>7-03-01</t>
  </si>
  <si>
    <t>7-03-02</t>
  </si>
  <si>
    <t>7-03-03</t>
  </si>
  <si>
    <t>7-03-04</t>
  </si>
  <si>
    <t>7-03-05</t>
  </si>
  <si>
    <t>7-03-06</t>
  </si>
  <si>
    <t>7-04-01</t>
  </si>
  <si>
    <t>7-04-02</t>
  </si>
  <si>
    <t>7-04-03</t>
  </si>
  <si>
    <t>7-04-04</t>
  </si>
  <si>
    <t>7-05-01</t>
  </si>
  <si>
    <t>7-05-02</t>
  </si>
  <si>
    <t>7-05-03</t>
  </si>
  <si>
    <t>7-06-01</t>
  </si>
  <si>
    <t>7-06-02</t>
  </si>
  <si>
    <t>7-06-03</t>
  </si>
  <si>
    <t>7-06-04</t>
  </si>
  <si>
    <t>7-06-05</t>
  </si>
  <si>
    <t>pr/ca/di</t>
  </si>
  <si>
    <t>COLONIA KENNEDY</t>
  </si>
  <si>
    <t>00232</t>
  </si>
  <si>
    <t>LOS COLEGIOS</t>
  </si>
  <si>
    <t>KILOMETRO</t>
  </si>
  <si>
    <t>CUADRO 1</t>
  </si>
  <si>
    <t>Proyectos de Educación Abierta</t>
  </si>
  <si>
    <t>Matrícula Inicial</t>
  </si>
  <si>
    <t>CUADRO 4</t>
  </si>
  <si>
    <t>Provincia / Cantón / Distrito</t>
  </si>
  <si>
    <t>CUADRO 5</t>
  </si>
  <si>
    <t>CUADRO 7</t>
  </si>
  <si>
    <t>CUADRO 11</t>
  </si>
  <si>
    <t>**</t>
  </si>
  <si>
    <t>CUADRO 12</t>
  </si>
  <si>
    <t>Administrativos **</t>
  </si>
  <si>
    <t>Técnicos-Docentes **</t>
  </si>
  <si>
    <t>Oficinista **</t>
  </si>
  <si>
    <t>Trabajador Calificado **</t>
  </si>
  <si>
    <t>Oficial de Seguridad **</t>
  </si>
  <si>
    <t>Auxiliar de Vigilancia **</t>
  </si>
  <si>
    <t>Conserje **</t>
  </si>
  <si>
    <t>Cocinera **</t>
  </si>
  <si>
    <t>Otros **</t>
  </si>
  <si>
    <t>Administ. y de Servicios Reubicados / Readecuados **</t>
  </si>
  <si>
    <t>Otro lugar (indicar debajo de esta línea)</t>
  </si>
  <si>
    <t>X</t>
  </si>
  <si>
    <t>Otros Laboratorios</t>
  </si>
  <si>
    <t>Soda</t>
  </si>
  <si>
    <t>DIREG</t>
  </si>
  <si>
    <t>ZONA</t>
  </si>
  <si>
    <t>TIPODIR</t>
  </si>
  <si>
    <t>NIVEL</t>
  </si>
  <si>
    <t>AZT</t>
  </si>
  <si>
    <t>AZH</t>
  </si>
  <si>
    <t>AZM</t>
  </si>
  <si>
    <t>AZ1T</t>
  </si>
  <si>
    <t>AZ1H</t>
  </si>
  <si>
    <t>AZ2T</t>
  </si>
  <si>
    <t>AZ2H</t>
  </si>
  <si>
    <t>AZ3T</t>
  </si>
  <si>
    <t>AZ3H</t>
  </si>
  <si>
    <t>AZ4T</t>
  </si>
  <si>
    <t>AZ4H</t>
  </si>
  <si>
    <t>AZ5T</t>
  </si>
  <si>
    <t>AZ5H</t>
  </si>
  <si>
    <t>AZ6T</t>
  </si>
  <si>
    <t>AZ6H</t>
  </si>
  <si>
    <t>0000</t>
  </si>
  <si>
    <t>AZ1M</t>
  </si>
  <si>
    <t>AZ2M</t>
  </si>
  <si>
    <t>AZ3M</t>
  </si>
  <si>
    <t>AZ4M</t>
  </si>
  <si>
    <t>AZ5M</t>
  </si>
  <si>
    <t>AZ6M</t>
  </si>
  <si>
    <t>Conducta</t>
  </si>
  <si>
    <t>¿Plan Nacional (o equivalente)?</t>
  </si>
  <si>
    <t>CODTALLER</t>
  </si>
  <si>
    <t>ESPE</t>
  </si>
  <si>
    <t>Biología</t>
  </si>
  <si>
    <t>Química</t>
  </si>
  <si>
    <t>Física</t>
  </si>
  <si>
    <t>Educación Cívica</t>
  </si>
  <si>
    <t>Laboratorio de Química</t>
  </si>
  <si>
    <t>** Considere al personal que atiende el Plan Nacional.</t>
  </si>
  <si>
    <t>CUADRO 13</t>
  </si>
  <si>
    <t>CUADRO 10</t>
  </si>
  <si>
    <t>10º</t>
  </si>
  <si>
    <t xml:space="preserve">Docentes </t>
  </si>
  <si>
    <t>III Ciclo</t>
  </si>
  <si>
    <t>Educación Diversificada</t>
  </si>
  <si>
    <t>Subdirector</t>
  </si>
  <si>
    <t>CUADRO 6</t>
  </si>
  <si>
    <t>Administrativos Reubicados</t>
  </si>
  <si>
    <t>Técnicos-Docentes Reubicados</t>
  </si>
  <si>
    <t>Docentes Reubicados</t>
  </si>
  <si>
    <t>Docentes Reubicados de Educación Especial</t>
  </si>
  <si>
    <t>7º</t>
  </si>
  <si>
    <t>8º</t>
  </si>
  <si>
    <t>9º</t>
  </si>
  <si>
    <t>11º</t>
  </si>
  <si>
    <t>12º</t>
  </si>
  <si>
    <t>Adelantan una o más asignaturas de:</t>
  </si>
  <si>
    <t>Discapacidad/Condición</t>
  </si>
  <si>
    <t>Cubículos</t>
  </si>
  <si>
    <t>SUBVENCIONADA</t>
  </si>
  <si>
    <t>Si requiere más filas, insértelas.</t>
  </si>
  <si>
    <t>Datos del director(a):</t>
  </si>
  <si>
    <t xml:space="preserve">Nombre: </t>
  </si>
  <si>
    <t xml:space="preserve">Firma: </t>
  </si>
  <si>
    <t>Datos del supervisor(a):</t>
  </si>
  <si>
    <t>1-07-07</t>
  </si>
  <si>
    <t>1-19-12</t>
  </si>
  <si>
    <t>2-02-14</t>
  </si>
  <si>
    <t>6-02-06</t>
  </si>
  <si>
    <t>6-08-06</t>
  </si>
  <si>
    <t>00114</t>
  </si>
  <si>
    <t>COLEGIO AGROPECUARIO DE SAN CARLOS</t>
  </si>
  <si>
    <t>GRANADILLA SUR</t>
  </si>
  <si>
    <t>Primaria por Suficiencia</t>
  </si>
  <si>
    <t>III Ciclo por Suficiencia</t>
  </si>
  <si>
    <t>Bachillerato por Madurez</t>
  </si>
  <si>
    <t>Cantidad de 
Secciones</t>
  </si>
  <si>
    <t>Lengua Indígena</t>
  </si>
  <si>
    <t>CUADRO 2</t>
  </si>
  <si>
    <t>CUADRO 3</t>
  </si>
  <si>
    <t>CUADRO 8</t>
  </si>
  <si>
    <t>CUADRO 9</t>
  </si>
  <si>
    <t>Página WEB.</t>
  </si>
  <si>
    <t>Técnica Diurna</t>
  </si>
  <si>
    <t>DISCAPACIDAD O CONDICIÓN DE LOS ESTUDIANTES DE TÉCNICA DIURNA</t>
  </si>
  <si>
    <t>PERSONAL TOTAL QUE LABORA EN TÉCNICA DIURNA</t>
  </si>
  <si>
    <t>00007</t>
  </si>
  <si>
    <t>00022</t>
  </si>
  <si>
    <t>00030</t>
  </si>
  <si>
    <t>00039</t>
  </si>
  <si>
    <t>00042</t>
  </si>
  <si>
    <t>00045</t>
  </si>
  <si>
    <t>00046</t>
  </si>
  <si>
    <t>00053</t>
  </si>
  <si>
    <t>00060</t>
  </si>
  <si>
    <t>00076</t>
  </si>
  <si>
    <t>00077</t>
  </si>
  <si>
    <t>00081</t>
  </si>
  <si>
    <t>00082</t>
  </si>
  <si>
    <t>00083</t>
  </si>
  <si>
    <t>00085</t>
  </si>
  <si>
    <t>00091</t>
  </si>
  <si>
    <t>00102</t>
  </si>
  <si>
    <t>00105</t>
  </si>
  <si>
    <t>00110</t>
  </si>
  <si>
    <t>00112</t>
  </si>
  <si>
    <t>00115</t>
  </si>
  <si>
    <t>00116</t>
  </si>
  <si>
    <t>00117</t>
  </si>
  <si>
    <t>00118</t>
  </si>
  <si>
    <t>00119</t>
  </si>
  <si>
    <t>00121</t>
  </si>
  <si>
    <t>00122</t>
  </si>
  <si>
    <t>00123</t>
  </si>
  <si>
    <t>00124</t>
  </si>
  <si>
    <t>00130</t>
  </si>
  <si>
    <t>00132</t>
  </si>
  <si>
    <t>00134</t>
  </si>
  <si>
    <t>00137</t>
  </si>
  <si>
    <t>00138</t>
  </si>
  <si>
    <t>00144</t>
  </si>
  <si>
    <t>00148</t>
  </si>
  <si>
    <t>00159</t>
  </si>
  <si>
    <t>00162</t>
  </si>
  <si>
    <t>00165</t>
  </si>
  <si>
    <t>00167</t>
  </si>
  <si>
    <t>00168</t>
  </si>
  <si>
    <t>00170</t>
  </si>
  <si>
    <t>00171</t>
  </si>
  <si>
    <t>00172</t>
  </si>
  <si>
    <t>00173</t>
  </si>
  <si>
    <t>00175</t>
  </si>
  <si>
    <t>00176</t>
  </si>
  <si>
    <t>00177</t>
  </si>
  <si>
    <t>00181</t>
  </si>
  <si>
    <t>00183</t>
  </si>
  <si>
    <t>00187</t>
  </si>
  <si>
    <t>00188</t>
  </si>
  <si>
    <t>00189</t>
  </si>
  <si>
    <t>00190</t>
  </si>
  <si>
    <t>00191</t>
  </si>
  <si>
    <t>00193</t>
  </si>
  <si>
    <t>00196</t>
  </si>
  <si>
    <t>00197</t>
  </si>
  <si>
    <t>00198</t>
  </si>
  <si>
    <t>00199</t>
  </si>
  <si>
    <t>00200</t>
  </si>
  <si>
    <t>00201</t>
  </si>
  <si>
    <t>00202</t>
  </si>
  <si>
    <t>00203</t>
  </si>
  <si>
    <t>00204</t>
  </si>
  <si>
    <t>00206</t>
  </si>
  <si>
    <t>00208</t>
  </si>
  <si>
    <t>00209</t>
  </si>
  <si>
    <t>00212</t>
  </si>
  <si>
    <t>00213</t>
  </si>
  <si>
    <t>00214</t>
  </si>
  <si>
    <t>00215</t>
  </si>
  <si>
    <t>00238</t>
  </si>
  <si>
    <t>00269</t>
  </si>
  <si>
    <t>00526</t>
  </si>
  <si>
    <t>00592</t>
  </si>
  <si>
    <t>00678</t>
  </si>
  <si>
    <t>00730</t>
  </si>
  <si>
    <t>00755</t>
  </si>
  <si>
    <t>00771</t>
  </si>
  <si>
    <t>00784</t>
  </si>
  <si>
    <t>00791</t>
  </si>
  <si>
    <t>00801</t>
  </si>
  <si>
    <t>00807</t>
  </si>
  <si>
    <t>00817</t>
  </si>
  <si>
    <t>00867</t>
  </si>
  <si>
    <t>00903</t>
  </si>
  <si>
    <t>00918</t>
  </si>
  <si>
    <t>00919</t>
  </si>
  <si>
    <t>00920</t>
  </si>
  <si>
    <t>00921</t>
  </si>
  <si>
    <t>00922</t>
  </si>
  <si>
    <t>00923</t>
  </si>
  <si>
    <t>00931</t>
  </si>
  <si>
    <t>00932</t>
  </si>
  <si>
    <t>00934</t>
  </si>
  <si>
    <t>00935</t>
  </si>
  <si>
    <t>00936</t>
  </si>
  <si>
    <t>00937</t>
  </si>
  <si>
    <t>00939</t>
  </si>
  <si>
    <t>00940</t>
  </si>
  <si>
    <t>00946</t>
  </si>
  <si>
    <t>00947</t>
  </si>
  <si>
    <t>00948</t>
  </si>
  <si>
    <t>00949</t>
  </si>
  <si>
    <t>00950</t>
  </si>
  <si>
    <t>00967</t>
  </si>
  <si>
    <t>00968</t>
  </si>
  <si>
    <t>00983</t>
  </si>
  <si>
    <t>00984</t>
  </si>
  <si>
    <t>00985</t>
  </si>
  <si>
    <t>00986</t>
  </si>
  <si>
    <t>01011</t>
  </si>
  <si>
    <t>01012</t>
  </si>
  <si>
    <t>01013</t>
  </si>
  <si>
    <t>01014</t>
  </si>
  <si>
    <t>01016</t>
  </si>
  <si>
    <t>01017</t>
  </si>
  <si>
    <t>01018</t>
  </si>
  <si>
    <t>01019</t>
  </si>
  <si>
    <t>01020</t>
  </si>
  <si>
    <t>01021</t>
  </si>
  <si>
    <t>01029</t>
  </si>
  <si>
    <t>01030</t>
  </si>
  <si>
    <t>01031</t>
  </si>
  <si>
    <t>01052</t>
  </si>
  <si>
    <t>01053</t>
  </si>
  <si>
    <t>01054</t>
  </si>
  <si>
    <t>01056</t>
  </si>
  <si>
    <t>01079</t>
  </si>
  <si>
    <t>01082</t>
  </si>
  <si>
    <t>4154</t>
  </si>
  <si>
    <t>4156</t>
  </si>
  <si>
    <t>4157</t>
  </si>
  <si>
    <t>4159</t>
  </si>
  <si>
    <t>4160</t>
  </si>
  <si>
    <t>4163</t>
  </si>
  <si>
    <t>4165</t>
  </si>
  <si>
    <t>4155</t>
  </si>
  <si>
    <t>4162</t>
  </si>
  <si>
    <t>4164</t>
  </si>
  <si>
    <t>4186</t>
  </si>
  <si>
    <t>4169</t>
  </si>
  <si>
    <t>4166</t>
  </si>
  <si>
    <t>4167</t>
  </si>
  <si>
    <t>4168</t>
  </si>
  <si>
    <t>4188</t>
  </si>
  <si>
    <t>4171</t>
  </si>
  <si>
    <t>4174</t>
  </si>
  <si>
    <t>4173</t>
  </si>
  <si>
    <t>4172</t>
  </si>
  <si>
    <t>4183</t>
  </si>
  <si>
    <t>4176</t>
  </si>
  <si>
    <t>4178</t>
  </si>
  <si>
    <t>4180</t>
  </si>
  <si>
    <t>4179</t>
  </si>
  <si>
    <t>4182</t>
  </si>
  <si>
    <t>4175</t>
  </si>
  <si>
    <t>4232</t>
  </si>
  <si>
    <t>4177</t>
  </si>
  <si>
    <t>4181</t>
  </si>
  <si>
    <t>4184</t>
  </si>
  <si>
    <t>4161</t>
  </si>
  <si>
    <t>5082</t>
  </si>
  <si>
    <t>4189</t>
  </si>
  <si>
    <t>4185</t>
  </si>
  <si>
    <t>4191</t>
  </si>
  <si>
    <t>4192</t>
  </si>
  <si>
    <t>4193</t>
  </si>
  <si>
    <t>4194</t>
  </si>
  <si>
    <t>4198</t>
  </si>
  <si>
    <t>4199</t>
  </si>
  <si>
    <t>4200</t>
  </si>
  <si>
    <t>4203</t>
  </si>
  <si>
    <t>4202</t>
  </si>
  <si>
    <t>4205</t>
  </si>
  <si>
    <t>4204</t>
  </si>
  <si>
    <t>4195</t>
  </si>
  <si>
    <t>4201</t>
  </si>
  <si>
    <t>4206</t>
  </si>
  <si>
    <t>4196</t>
  </si>
  <si>
    <t>4197</t>
  </si>
  <si>
    <t>4209</t>
  </si>
  <si>
    <t>4208</t>
  </si>
  <si>
    <t>4210</t>
  </si>
  <si>
    <t>4212</t>
  </si>
  <si>
    <t>4211</t>
  </si>
  <si>
    <t>4170</t>
  </si>
  <si>
    <t>4213</t>
  </si>
  <si>
    <t>5748</t>
  </si>
  <si>
    <t>4231</t>
  </si>
  <si>
    <t>4214</t>
  </si>
  <si>
    <t>4220</t>
  </si>
  <si>
    <t>4217</t>
  </si>
  <si>
    <t>4215</t>
  </si>
  <si>
    <t>4216</t>
  </si>
  <si>
    <t>4230</t>
  </si>
  <si>
    <t>4218</t>
  </si>
  <si>
    <t>4221</t>
  </si>
  <si>
    <t>4224</t>
  </si>
  <si>
    <t>4227</t>
  </si>
  <si>
    <t>4226</t>
  </si>
  <si>
    <t>4223</t>
  </si>
  <si>
    <t>4222</t>
  </si>
  <si>
    <t>4228</t>
  </si>
  <si>
    <t>4229</t>
  </si>
  <si>
    <t>4158</t>
  </si>
  <si>
    <t>4190</t>
  </si>
  <si>
    <t>4207</t>
  </si>
  <si>
    <t>5680</t>
  </si>
  <si>
    <t>5818</t>
  </si>
  <si>
    <t>6032</t>
  </si>
  <si>
    <t>6034</t>
  </si>
  <si>
    <t>6033</t>
  </si>
  <si>
    <t>6016</t>
  </si>
  <si>
    <t>6105</t>
  </si>
  <si>
    <t>6130</t>
  </si>
  <si>
    <t>6104</t>
  </si>
  <si>
    <t>6358</t>
  </si>
  <si>
    <t>6504</t>
  </si>
  <si>
    <t>6505</t>
  </si>
  <si>
    <t>6502</t>
  </si>
  <si>
    <t>6507</t>
  </si>
  <si>
    <t>6508</t>
  </si>
  <si>
    <t>6506</t>
  </si>
  <si>
    <t>6503</t>
  </si>
  <si>
    <t>6537</t>
  </si>
  <si>
    <t>6532</t>
  </si>
  <si>
    <t>6534</t>
  </si>
  <si>
    <t>6529</t>
  </si>
  <si>
    <t>6527</t>
  </si>
  <si>
    <t>6528</t>
  </si>
  <si>
    <t>6533</t>
  </si>
  <si>
    <t>6536</t>
  </si>
  <si>
    <t>6524</t>
  </si>
  <si>
    <t>6525</t>
  </si>
  <si>
    <t>6526</t>
  </si>
  <si>
    <t>6530</t>
  </si>
  <si>
    <t>6535</t>
  </si>
  <si>
    <t>6538</t>
  </si>
  <si>
    <t>6531</t>
  </si>
  <si>
    <t>6548</t>
  </si>
  <si>
    <t>6550</t>
  </si>
  <si>
    <t>6549</t>
  </si>
  <si>
    <t>6547</t>
  </si>
  <si>
    <t>6578</t>
  </si>
  <si>
    <t>6579</t>
  </si>
  <si>
    <t>6581</t>
  </si>
  <si>
    <t>6576</t>
  </si>
  <si>
    <t>6582</t>
  </si>
  <si>
    <t>6583</t>
  </si>
  <si>
    <t>6574</t>
  </si>
  <si>
    <t>6580</t>
  </si>
  <si>
    <t>6584</t>
  </si>
  <si>
    <t>6577</t>
  </si>
  <si>
    <t>6634</t>
  </si>
  <si>
    <t>6633</t>
  </si>
  <si>
    <t>6635</t>
  </si>
  <si>
    <t>6641</t>
  </si>
  <si>
    <t>6640</t>
  </si>
  <si>
    <t>6639</t>
  </si>
  <si>
    <t>6718</t>
  </si>
  <si>
    <t>6719</t>
  </si>
  <si>
    <t>C.T.P. DON BOSCO</t>
  </si>
  <si>
    <t>C.T.P. SAN SEBASTIAN</t>
  </si>
  <si>
    <t>C.T.P. MONSEÑOR SANABRIA</t>
  </si>
  <si>
    <t>C.T.P. JOSE FIGUERES FERRER</t>
  </si>
  <si>
    <t>C.T.P. DE PURISCAL</t>
  </si>
  <si>
    <t>C.T.P. LA GLORIA</t>
  </si>
  <si>
    <t>C.T.P. CALLE BLANCOS</t>
  </si>
  <si>
    <t>C.T.P. DE ACOSTA</t>
  </si>
  <si>
    <t>C.T.P. DE TURRUBARES</t>
  </si>
  <si>
    <t>C.T.P. JOSE DANIEL FLORES</t>
  </si>
  <si>
    <t>C.T.P. GENERAL VIEJO</t>
  </si>
  <si>
    <t>C.T.P. SAN ISIDRO</t>
  </si>
  <si>
    <t>C.T.P. PLATANARES</t>
  </si>
  <si>
    <t>C.T.P. SAN PABLO</t>
  </si>
  <si>
    <t>C.T.P. JESUS OCAÑA ROJAS</t>
  </si>
  <si>
    <t>C.T.P. PIEDADES SUR</t>
  </si>
  <si>
    <t>C.T.P. SAN MATEO</t>
  </si>
  <si>
    <t>C.T.P. RICARDO CASTRO BEER</t>
  </si>
  <si>
    <t>C.T.P. SAN CARLOS</t>
  </si>
  <si>
    <t>C.T.P. NATANIEL ARIAS MURILLO</t>
  </si>
  <si>
    <t>C.T.P. DE VENECIA</t>
  </si>
  <si>
    <t>C.T.P. DE PITAL</t>
  </si>
  <si>
    <t>C.T.P. LA FORTUNA</t>
  </si>
  <si>
    <t>C.T.P. SANTA ROSA</t>
  </si>
  <si>
    <t>C.T.P. FRANCISCO JOSE ORLICH BOLMARCICH</t>
  </si>
  <si>
    <t>C.T.P. UPALA</t>
  </si>
  <si>
    <t>C.T.P. LOS CHILES</t>
  </si>
  <si>
    <t>C.T.P. DE GUATUSO</t>
  </si>
  <si>
    <t>C.T.P. COVAO DIURNO</t>
  </si>
  <si>
    <t>C.T.P. SAN JUAN SUR</t>
  </si>
  <si>
    <t>C.T.P. MARIO QUIROS SASSO</t>
  </si>
  <si>
    <t>C.T.P. LA SUIZA</t>
  </si>
  <si>
    <t>C.T.P. DE PACAYAS</t>
  </si>
  <si>
    <t>C.T.P. DE HEREDIA</t>
  </si>
  <si>
    <t>C.T.P. DE ULLOA</t>
  </si>
  <si>
    <t>C.T.P. PUERTO VIEJO</t>
  </si>
  <si>
    <t>C.T.P. LIBERIA</t>
  </si>
  <si>
    <t>C.T.P. DE NICOYA</t>
  </si>
  <si>
    <t>C.T.P. LA MANSION</t>
  </si>
  <si>
    <t>C.T.P. DE CORRALILLO</t>
  </si>
  <si>
    <t>C.T.P. DE SANTA CRUZ</t>
  </si>
  <si>
    <t>C.T.P. 27 DE ABRIL</t>
  </si>
  <si>
    <t>C.T.P. DE CARTAGENA</t>
  </si>
  <si>
    <t>C.T.P. SANTA BARBARA</t>
  </si>
  <si>
    <t>C.T.P. FORTUNA DE BAGACES</t>
  </si>
  <si>
    <t>C.T.P. CARRILLO</t>
  </si>
  <si>
    <t>C.T.P. SARDINAL</t>
  </si>
  <si>
    <t>C.T.P. NANDAYURE</t>
  </si>
  <si>
    <t>C.T.P. HOJANCHA</t>
  </si>
  <si>
    <t>C.T.P. DE PUNTARENAS</t>
  </si>
  <si>
    <t>C.T.P. DE JICARAL</t>
  </si>
  <si>
    <t>C.T.P. DE PAQUERA</t>
  </si>
  <si>
    <t>C.T.P. DE SANTA ELENA</t>
  </si>
  <si>
    <t>C.T.P. DE OSA</t>
  </si>
  <si>
    <t>C.T.P. DE QUEPOS</t>
  </si>
  <si>
    <t>C.T.P. DE MATAPALO</t>
  </si>
  <si>
    <t>C.T.P. CARLOS MANUEL VICENTE CASTRO</t>
  </si>
  <si>
    <t>C.T.P. GUAYCARA</t>
  </si>
  <si>
    <t>C.T.P. UMBERTO MELLONI CAMPANINI</t>
  </si>
  <si>
    <t>C.T.P. DE SABALITO</t>
  </si>
  <si>
    <t>C.T.P. DE PARRITA</t>
  </si>
  <si>
    <t>C.T.P. DE CORREDORES</t>
  </si>
  <si>
    <t>C.T.P. DE LIMON</t>
  </si>
  <si>
    <t>C.T.P. DE TALAMANCA</t>
  </si>
  <si>
    <t>C.T.P. DE BATAAN</t>
  </si>
  <si>
    <t>C.T.P. DE JACO</t>
  </si>
  <si>
    <t>C.T.P. DOS CERCAS</t>
  </si>
  <si>
    <t>C.T.P. DE FLORES</t>
  </si>
  <si>
    <t>C.T.P. DE ABANGARES</t>
  </si>
  <si>
    <t>C.T.P. FERNANDO VOLIO JIMENEZ</t>
  </si>
  <si>
    <t>C.T.P. TRONADORA</t>
  </si>
  <si>
    <t>C.T.P. INVU LAS CAÑAS</t>
  </si>
  <si>
    <t>C.T.P. ULADISLAO GAMEZ SOLANO</t>
  </si>
  <si>
    <t>C.T.P. CARRIZAL</t>
  </si>
  <si>
    <t>C.T.P. GRANADILLA</t>
  </si>
  <si>
    <t>C.T.P. JOSE ALBERTAZZI</t>
  </si>
  <si>
    <t>C.T.P. VASQUEZ DE CORONADO</t>
  </si>
  <si>
    <t>C.T.P. SAN PEDRO DE BARVA</t>
  </si>
  <si>
    <t>C.T.P. DE PALMICHAL</t>
  </si>
  <si>
    <t>C.T.P. SANTO CRISTO DE ESQUIPULAS</t>
  </si>
  <si>
    <t>C.T.P. SABANILLA</t>
  </si>
  <si>
    <t>C.T.P. SAN RAFAEL DE POAS</t>
  </si>
  <si>
    <t>C.T.P. BOLIVAR</t>
  </si>
  <si>
    <t>C.T.P. DE DULCE NOMBRE</t>
  </si>
  <si>
    <t>C.T.P. SANTA EULALIA</t>
  </si>
  <si>
    <t>C.T.P. AMBIENTALISTA ISAIAS RETANA</t>
  </si>
  <si>
    <t>C.T.P. SANTA LUCIA</t>
  </si>
  <si>
    <t>C.T.P. ABELARDO BONILLA BALDARES</t>
  </si>
  <si>
    <t>C.T.P. PURRAL</t>
  </si>
  <si>
    <t>C.T.P. OREAMUNO</t>
  </si>
  <si>
    <t>C.T.P. ROSARIO DE NARANJO</t>
  </si>
  <si>
    <t>C.T.P. SANTO DOMINGO</t>
  </si>
  <si>
    <t>C.T.P. MERCEDES NORTE</t>
  </si>
  <si>
    <t>C.T.P. PAVAS</t>
  </si>
  <si>
    <t>C.T.P. CALLE ZAMORA</t>
  </si>
  <si>
    <t>C.T.P. DE CAÑAS</t>
  </si>
  <si>
    <t>C.T.P. DE ASERRI</t>
  </si>
  <si>
    <t>C.T.P. DE MORA</t>
  </si>
  <si>
    <t>C.T.P. ESPARZA</t>
  </si>
  <si>
    <t>C.T.P. ZARCERO</t>
  </si>
  <si>
    <t>C.T.P. DE ATENAS</t>
  </si>
  <si>
    <t>C.T.P. BARRIO IRVIN</t>
  </si>
  <si>
    <t>C.T.P. DE LIVERPOOL</t>
  </si>
  <si>
    <t>C.T.P. OROSI</t>
  </si>
  <si>
    <t>C.T.P. ROBERTO GAMBOA VALVERDE</t>
  </si>
  <si>
    <t>C.T.P. BRAULIO ODIO HERRERA</t>
  </si>
  <si>
    <t>C.T.P. JOSE MARIA ZELEDON BRENES</t>
  </si>
  <si>
    <t>C.T.P. AGROPORTICA</t>
  </si>
  <si>
    <t>C.T.P. LAS PALMITAS</t>
  </si>
  <si>
    <t>C.T.P. DE PLATANAR</t>
  </si>
  <si>
    <t>C.T.P. DE ALAJUELITA</t>
  </si>
  <si>
    <t>C.T.P. DE BELEN</t>
  </si>
  <si>
    <t>C.T.P. DE SAN RAFAEL DE ALAJUELA</t>
  </si>
  <si>
    <t>C.T.P. LA TIGRA</t>
  </si>
  <si>
    <t>C.T.P. DE COPAL</t>
  </si>
  <si>
    <t>C.T.P. DEL ESTE</t>
  </si>
  <si>
    <t>C.T.P. C.I.T.</t>
  </si>
  <si>
    <t>C.T.P. LA CARPIO</t>
  </si>
  <si>
    <t>C.T.P. HATILLO</t>
  </si>
  <si>
    <t>CONCEPCION ARRIBA</t>
  </si>
  <si>
    <t>BARRIO CORAZON DE MARIA</t>
  </si>
  <si>
    <t>MONTELIMAR</t>
  </si>
  <si>
    <t>GENERAL VIEJO</t>
  </si>
  <si>
    <t>VILLA LIGIA</t>
  </si>
  <si>
    <t>PEJIBAYE CENTRO</t>
  </si>
  <si>
    <t>LA FORTUNA</t>
  </si>
  <si>
    <t>CALLE COLEGIO</t>
  </si>
  <si>
    <t>LA POLVORA</t>
  </si>
  <si>
    <t>SAN JUAN SUR</t>
  </si>
  <si>
    <t>EL INVU</t>
  </si>
  <si>
    <t>LA MANSION</t>
  </si>
  <si>
    <t>BARRIO EL GUAYABAL</t>
  </si>
  <si>
    <t>LOS JOBOS</t>
  </si>
  <si>
    <t>LOS JOCOTES</t>
  </si>
  <si>
    <t>LA LIBERTAD</t>
  </si>
  <si>
    <t>BARRANCA PROGRESO</t>
  </si>
  <si>
    <t>JICARAL</t>
  </si>
  <si>
    <t>LAS LOMAS</t>
  </si>
  <si>
    <t>PALMAR NORTE</t>
  </si>
  <si>
    <t>JUNTA NARANJO</t>
  </si>
  <si>
    <t>MATAPALO</t>
  </si>
  <si>
    <t>LA JULIETA</t>
  </si>
  <si>
    <t>CORALES 2</t>
  </si>
  <si>
    <t>B° LA CABAÑA</t>
  </si>
  <si>
    <t>CENTRO</t>
  </si>
  <si>
    <t>BARRIO LA SOLEDAD</t>
  </si>
  <si>
    <t>LAS JUNTAS</t>
  </si>
  <si>
    <t>LINDORA</t>
  </si>
  <si>
    <t>EL ERIZO INVU CAÑAS</t>
  </si>
  <si>
    <t>QUIZARRASES</t>
  </si>
  <si>
    <t>SECTOR 6</t>
  </si>
  <si>
    <t>ROMILIOS</t>
  </si>
  <si>
    <t>LA ERMITA</t>
  </si>
  <si>
    <t>PEDREGOSO</t>
  </si>
  <si>
    <t>SECTOR VARGAS</t>
  </si>
  <si>
    <t>PAVAS CENTRO</t>
  </si>
  <si>
    <t>CALLE ZAMORA</t>
  </si>
  <si>
    <t>VARON</t>
  </si>
  <si>
    <t>BARRIO IRVIN</t>
  </si>
  <si>
    <t>LIVERPOOL</t>
  </si>
  <si>
    <t>LA ANITA</t>
  </si>
  <si>
    <t>ASENTAMIENTO AGROPORTICA</t>
  </si>
  <si>
    <t>LAS PALMITAS</t>
  </si>
  <si>
    <t>PLATANAR</t>
  </si>
  <si>
    <t>BARRIO SAN PABLO</t>
  </si>
  <si>
    <t>LA TIGRA</t>
  </si>
  <si>
    <t>COPAL</t>
  </si>
  <si>
    <t>LA CARPIO</t>
  </si>
  <si>
    <t>direccion@cedesdonbosco.ed.cr</t>
  </si>
  <si>
    <t>1KM SUR PUENTE CAÑAS</t>
  </si>
  <si>
    <t>KENNETH SALAS ARROYO</t>
  </si>
  <si>
    <t>ctp.cotepecos@mep.go.cr</t>
  </si>
  <si>
    <t>100 OESTE IGLESIA EL PERPETUO SOCORRO</t>
  </si>
  <si>
    <t>600 OESTE DE LA IGLESIA CATOLICA</t>
  </si>
  <si>
    <t>ctpmonsenorsanabria@mep.go.cr</t>
  </si>
  <si>
    <t>300 METROS SUR DEL CENTRO MEDICO FAMILIAR</t>
  </si>
  <si>
    <t>RAFAEL ANGEL CORDERO CASTILLO</t>
  </si>
  <si>
    <t>ctp.josefigueresferrer@mep.go.cr</t>
  </si>
  <si>
    <t>CONTIGUO AL TEMPLO CATOLICO.</t>
  </si>
  <si>
    <t>300 OESTE DE LA CASA DE ANDE</t>
  </si>
  <si>
    <t>ctp.lagloriadepuriscal@mep.go.cr</t>
  </si>
  <si>
    <t>00540</t>
  </si>
  <si>
    <t>HUMBERTO QUIROS QUIROS</t>
  </si>
  <si>
    <t>ctp.deacosta@mep.go.cr</t>
  </si>
  <si>
    <t>400 MTS. SUROESTE DEL BANCO NACIONAL.</t>
  </si>
  <si>
    <t>02621</t>
  </si>
  <si>
    <t>700 METROS NORTE DEL PARQUE SANTA MARIA</t>
  </si>
  <si>
    <t>100 ESTE DEL TEMPLO CATOLICO</t>
  </si>
  <si>
    <t>ctp.sanisidro@mep.go.cr</t>
  </si>
  <si>
    <t>450 SUROESTE DE LAS OFICINAS DE TRANSITO</t>
  </si>
  <si>
    <t>ctpplatanares@gmail.com</t>
  </si>
  <si>
    <t>CENTRO SAN RAFAEL DE PLATANARES</t>
  </si>
  <si>
    <t>02559</t>
  </si>
  <si>
    <t>200 METROS ESTE DE LA AGENCIA DEL M.A.G.</t>
  </si>
  <si>
    <t>ctp.jesusocanarojas@mep.go.cr</t>
  </si>
  <si>
    <t>1 KM NO, ESTADIO ALEJANDRO MORERA SOTO</t>
  </si>
  <si>
    <t>HECTOR L. BRICEÑO HERNANDEZ</t>
  </si>
  <si>
    <t>ctp.piedades.sur@mep.go.cr</t>
  </si>
  <si>
    <t>COSTADO SURESTE DE LA PLAZA DE DEPORTES P.S.</t>
  </si>
  <si>
    <t>02396</t>
  </si>
  <si>
    <t>VERNY SOLORZANO RODRIGUEZ</t>
  </si>
  <si>
    <t>200 MTS OESTE DEL PARQUE, CARRETERA A ESPARZA</t>
  </si>
  <si>
    <t>ctp.ricardocastrobeer@mep.go.cr</t>
  </si>
  <si>
    <t>500 SUR DEL COLEGIO SANTA FE</t>
  </si>
  <si>
    <t>150 ESTE 200 NORTE DEL GIMNASIO SIGLO XXI</t>
  </si>
  <si>
    <t>ctp.natanielariasmurillo@mep.go.cr</t>
  </si>
  <si>
    <t>ANA DAISY ESQUIVEL VARGAS</t>
  </si>
  <si>
    <t>ctp.venecia@mep.go.cr</t>
  </si>
  <si>
    <t>1 KM ESTE DEL SERVICENTRO VENECIA</t>
  </si>
  <si>
    <t>01251</t>
  </si>
  <si>
    <t>ctp.delafortuna@mep.go.cr</t>
  </si>
  <si>
    <t>FRENTE AL BANCO DE COSTA RICA</t>
  </si>
  <si>
    <t>01871</t>
  </si>
  <si>
    <t>ABRAHAM BARBOZA GOMEZ</t>
  </si>
  <si>
    <t>ctpdesantarosa@mep.go.cr</t>
  </si>
  <si>
    <t>800 METROS AL OESTE DEL PARQUE DE SANTA ROSA</t>
  </si>
  <si>
    <t>02225</t>
  </si>
  <si>
    <t>ctp.franciscojorlich@mep.go.cr</t>
  </si>
  <si>
    <t>01719</t>
  </si>
  <si>
    <t>75 M SUR DEL HOSTPITAL DE UPALA</t>
  </si>
  <si>
    <t>00822</t>
  </si>
  <si>
    <t>ASDRUBAL CALVO PANIAGUA</t>
  </si>
  <si>
    <t>400 NORTE 100 OESTE DE LA CASA DE LA CULTURA</t>
  </si>
  <si>
    <t>02340</t>
  </si>
  <si>
    <t>MARIA ELID ARREDONDO DELGADO</t>
  </si>
  <si>
    <t>100M SUR DEL BANCO NACIONAL</t>
  </si>
  <si>
    <t>01252</t>
  </si>
  <si>
    <t>250 SURESTE DEL PUENTE BEILY</t>
  </si>
  <si>
    <t>ctpsanjuansur@gmail.com</t>
  </si>
  <si>
    <t>150 ESTE DE TERRAMOLL</t>
  </si>
  <si>
    <t>ELIZABETH TREJOS SOLANO</t>
  </si>
  <si>
    <t>300 O. DELEGACION DISTRITAL FUERZA PUBLICA.</t>
  </si>
  <si>
    <t>01178</t>
  </si>
  <si>
    <t>ctp.heredia@mep.go.cr</t>
  </si>
  <si>
    <t>COSTADO NORTE DE LA COMANDANCIA</t>
  </si>
  <si>
    <t>MARICELA GONZÁLEZ ALFARO</t>
  </si>
  <si>
    <t>ctp.ulloa@mep.go.cr</t>
  </si>
  <si>
    <t>VERA VILLALOBOS VINDAS</t>
  </si>
  <si>
    <t>ctp.puertoviejo@mep.go.cr</t>
  </si>
  <si>
    <t>800 NORTE DEL BANCO NACIONAL</t>
  </si>
  <si>
    <t>01181</t>
  </si>
  <si>
    <t>ctp.deliberia@mep.go.cr</t>
  </si>
  <si>
    <t>WILBERTH UGARTE MEDINA</t>
  </si>
  <si>
    <t>ctp.denicoya@mep.go.cr</t>
  </si>
  <si>
    <t>300 SUR DE LA MUNICIPALIDAD</t>
  </si>
  <si>
    <t>ctp.demansion@mep.go.cr</t>
  </si>
  <si>
    <t>01171</t>
  </si>
  <si>
    <t>REBECA ARNESTO TOLEDO</t>
  </si>
  <si>
    <t>ctp.decorralillo@mep.go.cr</t>
  </si>
  <si>
    <t>300 NORTE DE LA IGLESIA CATOLICA</t>
  </si>
  <si>
    <t>02659</t>
  </si>
  <si>
    <t>DIDIER BRICEÑO GOMEZ</t>
  </si>
  <si>
    <t>2 KM OESTE DE LA SUBESTACION DEL ICE</t>
  </si>
  <si>
    <t>150 MTS ESTE DEL CRUCE A PLAYA JUNQUILLAL</t>
  </si>
  <si>
    <t>VICTORIA EUGENIA ZUÑIGA ZUÑIGA</t>
  </si>
  <si>
    <t>ctp.decartagena@mep.go.cr</t>
  </si>
  <si>
    <t>1 KM NORTE DE LA IGLESIA CATOLICA CARTAGENA</t>
  </si>
  <si>
    <t>01247</t>
  </si>
  <si>
    <t>ctp.desantabarbara@mep.go.cr</t>
  </si>
  <si>
    <t>100 SURESTE DEL ABASTECEDOR MONTELIMAR</t>
  </si>
  <si>
    <t>02136</t>
  </si>
  <si>
    <t>100 SUR DEL EBAIS</t>
  </si>
  <si>
    <t>00575</t>
  </si>
  <si>
    <t>ctp.decarrillo@mep.go.cr</t>
  </si>
  <si>
    <t>1 KM NORTE GASOLINERA SABANA FILADELFIA</t>
  </si>
  <si>
    <t>00827</t>
  </si>
  <si>
    <t>150 MTS SUR Y 300 ESTE DE LA CCSS</t>
  </si>
  <si>
    <t>02070</t>
  </si>
  <si>
    <t>ctp.denandayure@mep.go.cr</t>
  </si>
  <si>
    <t>400 ESTE DEL CEMENTERIO DE CARMONA</t>
  </si>
  <si>
    <t>02473</t>
  </si>
  <si>
    <t>BRAULIO MIRANDA MENDEZ</t>
  </si>
  <si>
    <t>ctp.dehojancha@mep.go.cr</t>
  </si>
  <si>
    <t>02511</t>
  </si>
  <si>
    <t>MARIA MARGARITA ORTEGA GARCIA</t>
  </si>
  <si>
    <t>FRENTE A URBANIZACION EL PROGRESO</t>
  </si>
  <si>
    <t>ctp.depaquera@mep.go.cr</t>
  </si>
  <si>
    <t>CONTIGUO A OFICINAS DEL MAG, PAQUERA CENTRO</t>
  </si>
  <si>
    <t>02043</t>
  </si>
  <si>
    <t>ctp.desantalena@mep.go.cr</t>
  </si>
  <si>
    <t>150 NORTE DEL CONSEJO MUNICIPAL MONTEVERDE</t>
  </si>
  <si>
    <t>02392</t>
  </si>
  <si>
    <t>ctp.decobano@mep.go.cr</t>
  </si>
  <si>
    <t>02430</t>
  </si>
  <si>
    <t>800 NORTE DE LA IGLESIA CATOLICA</t>
  </si>
  <si>
    <t>AGNES MAKRE MORA</t>
  </si>
  <si>
    <t>ctp.deosa@mep.go.cr</t>
  </si>
  <si>
    <t>PALMAR NORTE, FRENTE A CABINAS BRUNKA</t>
  </si>
  <si>
    <t>00280</t>
  </si>
  <si>
    <t>FRENTE A MAXI PALI</t>
  </si>
  <si>
    <t>01124</t>
  </si>
  <si>
    <t>FERNANDO ENRIQUEZ ESPINOZA</t>
  </si>
  <si>
    <t>FRENTE A LA PLAZA DE FUTBOL COSTADO NORTE</t>
  </si>
  <si>
    <t>ctppuertojimenez@gmail.com</t>
  </si>
  <si>
    <t>00821</t>
  </si>
  <si>
    <t>ctp.deguaycara@mep.go.cr</t>
  </si>
  <si>
    <t>00832</t>
  </si>
  <si>
    <t>ctp.umbertomellonicampanini@mep.go.cr</t>
  </si>
  <si>
    <t>400 MTS. AL NOROESTE DE CORREOS DE COSTA RICA</t>
  </si>
  <si>
    <t>ctp.desabalito@mep.go.cr</t>
  </si>
  <si>
    <t>01248</t>
  </si>
  <si>
    <t>200 M NOROESTE DEL MERCADO DE PARRITA</t>
  </si>
  <si>
    <t>ctp.decorredores@mep.go.cr</t>
  </si>
  <si>
    <t>3 KM. ESTE DE ADUANA TICA, CAMINO A LA CUESTA</t>
  </si>
  <si>
    <t>CARLOS HERNANDEZ ARCE</t>
  </si>
  <si>
    <t>FRENTE A LA ESCUELA LIDER LOS CORALES</t>
  </si>
  <si>
    <t>BARRIO LA CABAÑA.</t>
  </si>
  <si>
    <t>ctp.depococi@mep.go.cr</t>
  </si>
  <si>
    <t>FRENTE A HOTEL SUERRE.</t>
  </si>
  <si>
    <t>250 M.SUR OFICINAS CORREOS DE COSTA RICA</t>
  </si>
  <si>
    <t>01183</t>
  </si>
  <si>
    <t>WILBERTH VARGAS COTO</t>
  </si>
  <si>
    <t>ctptalamanca@gmail.com</t>
  </si>
  <si>
    <t>500 M. OESTE DE LOS TRIBUNALES DE JUSTICIA</t>
  </si>
  <si>
    <t>FLORIBETH ARIAS PICADO</t>
  </si>
  <si>
    <t>ctp.deguacimo@mep.go.cr</t>
  </si>
  <si>
    <t>1 KM.AL N.DE LA ANTIGUA ESTAC.DEL FERROCARRIL</t>
  </si>
  <si>
    <t>FERNANDO PUSEY HALL</t>
  </si>
  <si>
    <t>ctp.dejaco@mep.go.cr</t>
  </si>
  <si>
    <t>200 MTS SUR DE MAXI PALI</t>
  </si>
  <si>
    <t>DAMARIS CORRALES PICADO</t>
  </si>
  <si>
    <t>DEL PALI SAN LORENZO,100 MTS.OESTE.</t>
  </si>
  <si>
    <t>MAURICIO OBANDO OBANDO</t>
  </si>
  <si>
    <t>00788</t>
  </si>
  <si>
    <t>FRENTE AL CEMENTERIO MUNICIPAL DE LAS JUNTAS</t>
  </si>
  <si>
    <t>01718</t>
  </si>
  <si>
    <t>300 OESTE DE BANCO NACIONAL</t>
  </si>
  <si>
    <t>ctp.escazu@mep.go.cr</t>
  </si>
  <si>
    <t>ctp.fernandovoliojimenez@mep.go.cr</t>
  </si>
  <si>
    <t>ctp.tronadora@mep.go.cr</t>
  </si>
  <si>
    <t>200 METROS NORTE DEL REDONDEL DE TOROS</t>
  </si>
  <si>
    <t>ctp.invulascanas@mep.go.cr</t>
  </si>
  <si>
    <t>DETRAS DE LA IGLESIA CATOLICA, EL ERIZO</t>
  </si>
  <si>
    <t>CONTIGUO AL CENCINAI DE TIRRASES</t>
  </si>
  <si>
    <t>02185</t>
  </si>
  <si>
    <t>INGRID SUSANA JIMENEZ LOPEZ</t>
  </si>
  <si>
    <t>200 MTS NOROESTE CALLE QUIZARRASES</t>
  </si>
  <si>
    <t>200 NORTE DEL RESIDENCIAL MONTERAN</t>
  </si>
  <si>
    <t>ANA LUCIA BENAVIDES FERNANDEZ</t>
  </si>
  <si>
    <t>ctp.josealbertazzi@mep.go.cr</t>
  </si>
  <si>
    <t>350 OESTE ALCOHOLICOS ANONIMOS</t>
  </si>
  <si>
    <t>JESUS MARIA RAMOS LEZA</t>
  </si>
  <si>
    <t>ctsacdn@hotmail.com</t>
  </si>
  <si>
    <t>3.5 KM SUR DE LA ESQ SO DE TRIB DE JUSTICIA</t>
  </si>
  <si>
    <t>KATIA AMADOR PEREZ</t>
  </si>
  <si>
    <t>ctp.vazquezdecoronado@mep.go.cr</t>
  </si>
  <si>
    <t>800 NORTE DEL SALON EL PARÁ</t>
  </si>
  <si>
    <t>MARGARITA RAMIREZ BONILLA</t>
  </si>
  <si>
    <t>200 MTS.NORTE DEL CAMPO SANTO SILENCIO Y PAZ</t>
  </si>
  <si>
    <t>BRAULIO MONTERO GONZALEZ</t>
  </si>
  <si>
    <t>400 MTS ESTE DE LA PLAZA DE DEPORTES</t>
  </si>
  <si>
    <t>LUIS GMO. SALAS BOGANTES</t>
  </si>
  <si>
    <t>ctp.santocristodeesquipulas@mep.go.cr</t>
  </si>
  <si>
    <t>100 M. ESTE DE LA ESCUELA JULIA FERNANDEZ R.</t>
  </si>
  <si>
    <t>ctp.sabanilla@mep.go.cr</t>
  </si>
  <si>
    <t>01726</t>
  </si>
  <si>
    <t>HERNAN BONILLA CESPEDES</t>
  </si>
  <si>
    <t>COSTADO NORTE DEL TEMPLO CATOLICO DE SAN RAFA</t>
  </si>
  <si>
    <t>KATTIA MADRIGAL BALLESTERO</t>
  </si>
  <si>
    <t>ctp.debolivar@mep.go.cr</t>
  </si>
  <si>
    <t>250 MTS OESTE DEL EBAIS DE LOS ANGELES</t>
  </si>
  <si>
    <t>EDGAR EVANS MEZA</t>
  </si>
  <si>
    <t>ctp.dulcenombre@mep.go.cr</t>
  </si>
  <si>
    <t>400 NOROESTE DE LAS BOMBAS DE AGUA DEL AYA</t>
  </si>
  <si>
    <t>1.5 KM AL N,DEL CRUCE PEDREGOSO CARRET SNRAMO</t>
  </si>
  <si>
    <t>02441</t>
  </si>
  <si>
    <t>ANABEL VARGAS CALDERON</t>
  </si>
  <si>
    <t>ctp.santalucia@mep.go.cr</t>
  </si>
  <si>
    <t>800S DEL LA GUARDIA RURAL LLANOS DE SANTA LUC</t>
  </si>
  <si>
    <t>ctp.abelardobonillabaldares@mep.go.cr</t>
  </si>
  <si>
    <t>125 ESTE DE LA ESCUELA APOLINAR LOBO UMANA</t>
  </si>
  <si>
    <t>00745</t>
  </si>
  <si>
    <t>ctp.depurral@mep.go.cr</t>
  </si>
  <si>
    <t>00419</t>
  </si>
  <si>
    <t>ctp.deoreamuno@mep.go.cr</t>
  </si>
  <si>
    <t>600 N DE LA PLAZA DE DEPORTES</t>
  </si>
  <si>
    <t>D.DE LA IGLESIA STA.CECILIA,SN.JOSECITO</t>
  </si>
  <si>
    <t>ctp.santodomingo@mep.go.cr</t>
  </si>
  <si>
    <t>LAURA RAMON ELIZONDO</t>
  </si>
  <si>
    <t>ctp.mercedes.norte@mep.go.cr</t>
  </si>
  <si>
    <t>ctp.depavas@mep.go.cr</t>
  </si>
  <si>
    <t>ALBERTO HERNANDEZ ENRIQUEZ</t>
  </si>
  <si>
    <t>COSTADO SUR DE LA PLAZA DE FUTBOL</t>
  </si>
  <si>
    <t>ELIETH FERNANDEZ CABEZAS</t>
  </si>
  <si>
    <t>ctp.decanas@mep.go.cr</t>
  </si>
  <si>
    <t>DEL ABASTECEDOR PRESTACIONES 400 E Y 50 S</t>
  </si>
  <si>
    <t>DORA ALICIA AGUILAR MATAMOROS</t>
  </si>
  <si>
    <t>ctp.demora@mep.go.cr</t>
  </si>
  <si>
    <t>EZEQUIEL VARGAS SALAS</t>
  </si>
  <si>
    <t>COSTADO SUR DE LA PLAZA</t>
  </si>
  <si>
    <t>SEYLYN ARAYA MORALES</t>
  </si>
  <si>
    <t>ctp.zarcero@mep.go.cr</t>
  </si>
  <si>
    <t>DEL CEMENT. ZARCERO 300 M.SUROESTE. MANO DER.</t>
  </si>
  <si>
    <t>GRACE ZAMORA SÁNCHEZ</t>
  </si>
  <si>
    <t>ctp.atenas@mep.go.cr</t>
  </si>
  <si>
    <t>500 SUR Y 150 NORESTE DE LOS TRIBUNALES DE JU</t>
  </si>
  <si>
    <t>ctp.barrioirvin@mep.go.cr</t>
  </si>
  <si>
    <t>150 ESTE DE LA ESCUELA IRVIN</t>
  </si>
  <si>
    <t>01637</t>
  </si>
  <si>
    <t>ctp.deorosi@mep.go.cr</t>
  </si>
  <si>
    <t>800 SURESTE DEL BENEFICIO ORLICHS</t>
  </si>
  <si>
    <t>2 KM. NOROESTE DE PLAZA DE DEPORTES FILA NAR.</t>
  </si>
  <si>
    <t>ctp.josemariazeledon@mep.go.cr</t>
  </si>
  <si>
    <t>25 SUR, 75 OESTE DEL TEMPLO CATOLICO.</t>
  </si>
  <si>
    <t>VICTOR CRUZ CASTRO</t>
  </si>
  <si>
    <t>ctp.deagroportica@mep.go.cr</t>
  </si>
  <si>
    <t>DEL ANTIGUO ATERRIZAJE DE FINCA SAN PEDRO 1 K</t>
  </si>
  <si>
    <t>OSCAR ALFARO BARRANTES</t>
  </si>
  <si>
    <t>ctp.laspalmitas@mep.go.cr</t>
  </si>
  <si>
    <t>200 S DE LA IGLESIA CATOLICA</t>
  </si>
  <si>
    <t>MIGUEL ANGEL CARVAJAL JIMENEZ</t>
  </si>
  <si>
    <t>ctp.deplatanar@mep.go.cr</t>
  </si>
  <si>
    <t>150 ESTE DEL CEMENTERIO DE PLATANAR</t>
  </si>
  <si>
    <t>GIOVANNI SOLIS ARCE</t>
  </si>
  <si>
    <t>ctpalajuelita@mep.go.cr</t>
  </si>
  <si>
    <t>100 E, 400 N DEL MAXI PALI</t>
  </si>
  <si>
    <t>WALTER BORBON PICADO</t>
  </si>
  <si>
    <t>ctp.debelen@mep.go.cr</t>
  </si>
  <si>
    <t>DE LA CRUZ R.150 S.Y 25 O.DE LA C.B.LA GRACIA</t>
  </si>
  <si>
    <t>ctp.sanrafaeldealajuela@mep.go.cr</t>
  </si>
  <si>
    <t>ctplatigra@mep.go.cr</t>
  </si>
  <si>
    <t>100 SUR 800 ESTE DE LA ESCUELA LA TIGRA</t>
  </si>
  <si>
    <t>50 OESTE DE ESCUELA BLAS MONTES LEAL</t>
  </si>
  <si>
    <t>02108</t>
  </si>
  <si>
    <t>CINTHYA LOBO CORDERO</t>
  </si>
  <si>
    <t>ctp.deleste@mep.go.cr</t>
  </si>
  <si>
    <t>100 MTS NORTE Y 50 OESTE DE AUTOS VILLALOBOS</t>
  </si>
  <si>
    <t>direccion@ctpcit.co.cr</t>
  </si>
  <si>
    <t>ctp.lacarpio@mep.go.cr</t>
  </si>
  <si>
    <t>DE REPRETEL 500 M OESTE,CTRO COM. PLAZA URUKA</t>
  </si>
  <si>
    <t>INSTALACIONES DE LA IGLESIA MARIA REINA HAT 1</t>
  </si>
  <si>
    <t>Técnica Nocturna</t>
  </si>
  <si>
    <t>Sicología y Ética Profesional</t>
  </si>
  <si>
    <t>Modalidad
y Especialidad</t>
  </si>
  <si>
    <t>Comercial y de Servicios</t>
  </si>
  <si>
    <t>Acoounting</t>
  </si>
  <si>
    <t>Administración y Operación Aduanera</t>
  </si>
  <si>
    <t>Banca y Finanzas</t>
  </si>
  <si>
    <t>Contabilidad</t>
  </si>
  <si>
    <t>Contabilidad y Costos</t>
  </si>
  <si>
    <t>Contabilidad y Finanzas</t>
  </si>
  <si>
    <t>Diseño y Desarrollo Digital</t>
  </si>
  <si>
    <t>Executive Service Center</t>
  </si>
  <si>
    <t>Informática en Desarrollo de Software</t>
  </si>
  <si>
    <t>Informática Empresarial</t>
  </si>
  <si>
    <t>Information Technology Support</t>
  </si>
  <si>
    <t>Computer Networking</t>
  </si>
  <si>
    <t>Computer Science in Software Development</t>
  </si>
  <si>
    <t>Salud Ocupacional</t>
  </si>
  <si>
    <t>Secretariado Ejecutivo</t>
  </si>
  <si>
    <t>Bilingual Secretary</t>
  </si>
  <si>
    <t>Turismo Costero</t>
  </si>
  <si>
    <t>Turismo Rural</t>
  </si>
  <si>
    <t>Turismo en Alimentos y Bebidas</t>
  </si>
  <si>
    <t>Industrial</t>
  </si>
  <si>
    <t>Administración, Logística y Distribución</t>
  </si>
  <si>
    <t>Autorremodelado</t>
  </si>
  <si>
    <t>Construcción Civil</t>
  </si>
  <si>
    <t>Dibujo Técnico</t>
  </si>
  <si>
    <t>Diseño Gráfico</t>
  </si>
  <si>
    <t>Diseño Publicitario</t>
  </si>
  <si>
    <t>Diseño y Confección de la Moda</t>
  </si>
  <si>
    <t>Diseño y Construcción de Muebles y Estructuras</t>
  </si>
  <si>
    <t>Electromecánica</t>
  </si>
  <si>
    <t>Electrónica en Mantenimiento de Equipo de Cómputo</t>
  </si>
  <si>
    <t>Electrónica en Telecomunicaciones</t>
  </si>
  <si>
    <t>Electrónica Industrial</t>
  </si>
  <si>
    <t>Mantenimiento Industrial</t>
  </si>
  <si>
    <t>Mecánica General</t>
  </si>
  <si>
    <t>Mecánica de Precisión</t>
  </si>
  <si>
    <t>Mecánica Naval</t>
  </si>
  <si>
    <t>Refrigeración y Aire Acondicionado</t>
  </si>
  <si>
    <t>Agropecuaria</t>
  </si>
  <si>
    <t>Agro Jardinería</t>
  </si>
  <si>
    <t>Agroecología</t>
  </si>
  <si>
    <t>Agroindustria Alimentaria con Tecnología Agrícola</t>
  </si>
  <si>
    <t>Agroindustria Alimentaria con Tecnología Pecuaria</t>
  </si>
  <si>
    <t>Riego y Drenaje</t>
  </si>
  <si>
    <t>0007</t>
  </si>
  <si>
    <t>0008</t>
  </si>
  <si>
    <t>Docentes-Técnica Diurna</t>
  </si>
  <si>
    <t>CUADRO 14</t>
  </si>
  <si>
    <t>Técnica Diurna (incluye Asignaturas Especiales)</t>
  </si>
  <si>
    <t>Se comparte el edificio con otra institución?</t>
  </si>
  <si>
    <t>¿Tiene estructura curricular de Innovación Educativa?</t>
  </si>
  <si>
    <t xml:space="preserve">Teléfono: </t>
  </si>
  <si>
    <t>Sala de Robótica</t>
  </si>
  <si>
    <t>¿Los estudiantes de Técnica Diurna con Discapacidad o Condición, reciben algún Servicio de Apoyo Educativo?</t>
  </si>
  <si>
    <t>2-16-01</t>
  </si>
  <si>
    <t>6-01-10</t>
  </si>
  <si>
    <t>C.T.P. DE COBANO</t>
  </si>
  <si>
    <t>C.T.P. DE PUERTO JIMENEZ</t>
  </si>
  <si>
    <t>C.T.P. DE ESCAZU</t>
  </si>
  <si>
    <t>C.T.P. HENRI FRANÇOIS PITTIER</t>
  </si>
  <si>
    <t>C.T.P. EDUCACION COMERCIAL Y DE SERVICIOS</t>
  </si>
  <si>
    <t>JUAN FELIPE CHACON CASTILLO</t>
  </si>
  <si>
    <t>ctp.calleblancos@mep.go.cr</t>
  </si>
  <si>
    <t>ctp.deturrubares@mep.go.cr</t>
  </si>
  <si>
    <t>ctp.danielfloreszavaleta@mep.go.cr</t>
  </si>
  <si>
    <t>ANA JULIA SANCHEZ VEGA</t>
  </si>
  <si>
    <t>ctp.sanpablodeleoncortes@mep.go.cr</t>
  </si>
  <si>
    <t>ctp.desanmateo@mep.go.cr</t>
  </si>
  <si>
    <t>ctp.regionaldesancarlos@mep.go.cr</t>
  </si>
  <si>
    <t>FRENTE A LA PLAZA DE DEPORTES</t>
  </si>
  <si>
    <t>ctp.depital@mep.go.cr</t>
  </si>
  <si>
    <t>300 M. SUROESTE DE LA PANADERIA MUSMANI</t>
  </si>
  <si>
    <t>ctp.deguatuso@mep.go.cr</t>
  </si>
  <si>
    <t>FREDDY GAMBOA VILLANEA</t>
  </si>
  <si>
    <t>ctp.covao@mep.go.cr   ext.102</t>
  </si>
  <si>
    <t>FERNANDO TORRES QUIROS</t>
  </si>
  <si>
    <t>ctp.marioquirosssaso@mep.go.cr</t>
  </si>
  <si>
    <t>JORGE MARIO GONZALEZ MATAMOROS</t>
  </si>
  <si>
    <t>RAFAEL CASTRO VINDAS</t>
  </si>
  <si>
    <t>MIGUEL CHAVARRIA RODRIGUEZ</t>
  </si>
  <si>
    <t>100 OESTE DE LA CLINICA DE JICARAL</t>
  </si>
  <si>
    <t>300 M. SURESTE DEL BANCO NACIONAL, COBANO</t>
  </si>
  <si>
    <t>RAMIRO FONSECA FALLAS</t>
  </si>
  <si>
    <t>ctp.dequepos@mep.go.cr</t>
  </si>
  <si>
    <t>ctp.dematapalo@mep.go.cr</t>
  </si>
  <si>
    <t>INVU LA ROTONDA</t>
  </si>
  <si>
    <t>HERMILEY ALVARADO LOPEZ</t>
  </si>
  <si>
    <t>PUERTO JIMENEZ, 300 MTS. SUR DE BOMBA OSA</t>
  </si>
  <si>
    <t>RIO CLARO</t>
  </si>
  <si>
    <t>300 MTS. SUR DEL SERVICENTRO RIO CLARO.</t>
  </si>
  <si>
    <t>ROY CISNEROS SANCHEZ</t>
  </si>
  <si>
    <t>700 MTS. SURESTE DE LA TOSTADORA RIO BRUS.</t>
  </si>
  <si>
    <t>ctp.delimon@mep.go.cr</t>
  </si>
  <si>
    <t>ctp.padrerobertoevans@mep.go.cr</t>
  </si>
  <si>
    <t>ctpdeflores@mep.go.cr</t>
  </si>
  <si>
    <t>SAUL CASTAÑEDA SALAZAR</t>
  </si>
  <si>
    <t>QUINCE DE AGOSTO</t>
  </si>
  <si>
    <t>ctp.uladislaogamezsolano@mep.go.cr</t>
  </si>
  <si>
    <t>ctp.degranadilla@mep.go.cr</t>
  </si>
  <si>
    <t>ctp.deplamichal@mep.go.cr</t>
  </si>
  <si>
    <t>ctp.sanrafaeldepoas@mep.go.cr</t>
  </si>
  <si>
    <t>ALEJANDRO BRENES GAMBOA</t>
  </si>
  <si>
    <t>1 KM AL SUR 800 AL E DIAGONAL SUPER TENORIO</t>
  </si>
  <si>
    <t>RAUL MIRANDA MESEN</t>
  </si>
  <si>
    <t>ctp.elrosarionaranjo@mep.go.cr</t>
  </si>
  <si>
    <t>100 METROS SUR DE LA CLINICA DE PAVAS</t>
  </si>
  <si>
    <t>ctp.callezamora@mep.go.cr</t>
  </si>
  <si>
    <t>ctp.esparza@mep.go.cr</t>
  </si>
  <si>
    <t>MARVIN MANCIA ELIZONDO</t>
  </si>
  <si>
    <t>ctp.liverpool@mep.go.cr</t>
  </si>
  <si>
    <t>DEL SUPER SOL NACIENTE, 150 METROS NOROESTE</t>
  </si>
  <si>
    <t>HENRY RODRIGUEZ MOJICA</t>
  </si>
  <si>
    <t>LIGIA MARITZA ABARCA CERVANTES</t>
  </si>
  <si>
    <t>ctp.braulioodioherrera@mep.go.cr</t>
  </si>
  <si>
    <t>DE LA PLAZA DE DEPORTES 300 S,CALLE LA LEGUA</t>
  </si>
  <si>
    <t>ctp.dehatillo@mep.go.cr</t>
  </si>
  <si>
    <t>02785</t>
  </si>
  <si>
    <t>02784</t>
  </si>
  <si>
    <t>RESIDENCIA DE LOS ESTUDIANTES MATRICULADOS DURANTE</t>
  </si>
  <si>
    <t>Refugiados</t>
  </si>
  <si>
    <t>Solicitante de Asilo</t>
  </si>
  <si>
    <t>CUADRO 15</t>
  </si>
  <si>
    <t>5-11-05</t>
  </si>
  <si>
    <t>Planes de Gestión de Riesgos.</t>
  </si>
  <si>
    <t>Afectividad y Sexualidad Integral</t>
  </si>
  <si>
    <t>Repitentes</t>
  </si>
  <si>
    <t>¿Tiene Sección Técnica Nocturna?</t>
  </si>
  <si>
    <t>MATRÍCULA INICIAL, REPITENTES Y NÚMERO DE SECCIONES
EN EL CENTRO EDUCATIVO</t>
  </si>
  <si>
    <t>Servicio y
Año que cursa</t>
  </si>
  <si>
    <t>Año que cursa</t>
  </si>
  <si>
    <t>SAN JOSE CENTRAL</t>
  </si>
  <si>
    <t>SAN JOSE OESTE</t>
  </si>
  <si>
    <t>SAN JOSE NORTE</t>
  </si>
  <si>
    <t>C.T.P. DE PEJIBAYE</t>
  </si>
  <si>
    <t>GRANDE DE TERRABA</t>
  </si>
  <si>
    <t>SULA</t>
  </si>
  <si>
    <t>ARNOLDO CUBIAS RIVAS</t>
  </si>
  <si>
    <t>ctp.depuriscal@mep.go.cr</t>
  </si>
  <si>
    <t>300 N Y 300 OE DE LOS TRIBUNALES DE JUSTICIA</t>
  </si>
  <si>
    <t>200 OESTE DEL PLANTEL DEL MOPT</t>
  </si>
  <si>
    <t>ADRIAN JIMENEZ CHAVEZ</t>
  </si>
  <si>
    <t>COSTADO N DEL EDIFICIO MUNI DE SAN PABLO L.C.</t>
  </si>
  <si>
    <t>WARREN ALVARADO GUERRERO</t>
  </si>
  <si>
    <t>ctp27deabril@mep.go.cr</t>
  </si>
  <si>
    <t>ctp.desardinal@mep.go.cr</t>
  </si>
  <si>
    <t>ctp.debenosaires@mep.go.cr</t>
  </si>
  <si>
    <t>CONTIGUO A LA SUCURSAL DE LA CCSS</t>
  </si>
  <si>
    <t>ARMANDO QUESADA SABA</t>
  </si>
  <si>
    <t>ctp.ambientalistaisiasretana@mep.go.cr</t>
  </si>
  <si>
    <t>DE ASEMBIS PURRAL 600 MTS AL SURESTE</t>
  </si>
  <si>
    <t>MARYORIE HERNANDEZ ROJAS</t>
  </si>
  <si>
    <t>150 M.OESTE Y 100 SUR DE LA ESCUELA ROSARIO D</t>
  </si>
  <si>
    <t>EDUARDO LOBO ZAMORA</t>
  </si>
  <si>
    <t>ctp.sanisidrodeheredia@mep.go.cr</t>
  </si>
  <si>
    <t>75E Y 150S ENTRADA PRINCIPAL DE PEDREGAL</t>
  </si>
  <si>
    <t>P_ABIERTA</t>
  </si>
  <si>
    <t>XX</t>
  </si>
  <si>
    <t>0010</t>
  </si>
  <si>
    <t>Indique los datos que se solicitan, o bien, seleccione Sí o No según corresponda.</t>
  </si>
  <si>
    <t>Espacio Físico.</t>
  </si>
  <si>
    <t>Espacio Físico</t>
  </si>
  <si>
    <t>Aulas o lugar donde se imparten lecciones:</t>
  </si>
  <si>
    <t>Indique si la Institución cuenta con los siguientes servicios:</t>
  </si>
  <si>
    <t>Computadoras en Buen Estado.</t>
  </si>
  <si>
    <t>Pupitres (Unipersonales, mesas de pupitre)</t>
  </si>
  <si>
    <t>Indique los datos que se solicitan, o bien seleccione "X" para lo que corresponda.</t>
  </si>
  <si>
    <t xml:space="preserve"> </t>
  </si>
  <si>
    <t>Pozo con tanque elevado.</t>
  </si>
  <si>
    <t>Pozo sin sistema de extracción de agua.</t>
  </si>
  <si>
    <t>Camión Cisterna</t>
  </si>
  <si>
    <t>Hidrante</t>
  </si>
  <si>
    <t>Sanitarios y Lavamanos</t>
  </si>
  <si>
    <t>Servicios Sanitarios</t>
  </si>
  <si>
    <t>Para hombres</t>
  </si>
  <si>
    <t>Para mujeres</t>
  </si>
  <si>
    <t>Para ambos sexos</t>
  </si>
  <si>
    <t>Que disponen de agua y jabón</t>
  </si>
  <si>
    <t xml:space="preserve">Sin agua </t>
  </si>
  <si>
    <t>Pileta lavamanos (Bebedero)</t>
  </si>
  <si>
    <t xml:space="preserve">MATRÍCULA INICIAL EN ALGUNAS ASIGNATURAS, TÉCNICA DIURNA </t>
  </si>
  <si>
    <t>REPITENTES EN ALGUNAS ASIGNATURAS, TÉCNICA DIURNA</t>
  </si>
  <si>
    <t>ESTUDIANTES QUE ADELANTAN UNA O MAS ASIGNATURAS, TÉCNICA DIURNA</t>
  </si>
  <si>
    <t>Matriculados
en:</t>
  </si>
  <si>
    <t>(3)
De los estudiantes anotados en la columna (1), indique los que 
 SON ALFABETIZADOS</t>
  </si>
  <si>
    <t>Educación
Diversificada</t>
  </si>
  <si>
    <t>Síndrome de Down</t>
  </si>
  <si>
    <t>UTILIZAN prótesis auditivas (audífonos)</t>
  </si>
  <si>
    <t>UTILIZAN implante coclear</t>
  </si>
  <si>
    <t>NO UTILIZAN prótesis auditivas (audífonos), implante coclear u otro dispositivo</t>
  </si>
  <si>
    <t>Síndrome de Asperger</t>
  </si>
  <si>
    <t>1/  No incluir Síndrome de Down.</t>
  </si>
  <si>
    <t>ESTUDIANTES DE TÉCNICA DIURNA REPORTADOS COMO</t>
  </si>
  <si>
    <t>ESTUDIANTES QUE APROBARON ALGUNA ASIGNATURA EN CONVOCATORIAS, TÉCNICA DIURNA</t>
  </si>
  <si>
    <t>Retraso Mental (Discapacidad Intelectual)</t>
  </si>
  <si>
    <t>Terapia Física (Rehabilitación Física)</t>
  </si>
  <si>
    <t>Terapia Ocupacional (Rehabilitación Ocupacional)</t>
  </si>
  <si>
    <t>PERSONAL TOTAL QUE LABORA EN TÉCNICA DIURNA, SEGÚN TIPO DE CARGO</t>
  </si>
  <si>
    <t>PERSONAL DOCENTE DE TÉCNICA DIURNA, POR GRUPO PROFESIONAL</t>
  </si>
  <si>
    <t>SEC_NOCT</t>
  </si>
  <si>
    <t>00891</t>
  </si>
  <si>
    <t>01003</t>
  </si>
  <si>
    <t>00904</t>
  </si>
  <si>
    <t>00911</t>
  </si>
  <si>
    <t>01000</t>
  </si>
  <si>
    <t>00876</t>
  </si>
  <si>
    <t>00908</t>
  </si>
  <si>
    <t>00952</t>
  </si>
  <si>
    <t>00953</t>
  </si>
  <si>
    <t>00998</t>
  </si>
  <si>
    <t>00960</t>
  </si>
  <si>
    <t>00956</t>
  </si>
  <si>
    <t>00916</t>
  </si>
  <si>
    <t>00995</t>
  </si>
  <si>
    <t>00957</t>
  </si>
  <si>
    <t>00994</t>
  </si>
  <si>
    <t>00987</t>
  </si>
  <si>
    <t>00993</t>
  </si>
  <si>
    <t>00965</t>
  </si>
  <si>
    <t>01002</t>
  </si>
  <si>
    <t>00763</t>
  </si>
  <si>
    <t>00988</t>
  </si>
  <si>
    <t>01004</t>
  </si>
  <si>
    <t>01040</t>
  </si>
  <si>
    <t>00943</t>
  </si>
  <si>
    <t>00838</t>
  </si>
  <si>
    <t>00942</t>
  </si>
  <si>
    <t>00961</t>
  </si>
  <si>
    <t>00941</t>
  </si>
  <si>
    <t>00989</t>
  </si>
  <si>
    <t>00990</t>
  </si>
  <si>
    <t>00933</t>
  </si>
  <si>
    <t>00938</t>
  </si>
  <si>
    <t>00966</t>
  </si>
  <si>
    <t>00962</t>
  </si>
  <si>
    <t>00906</t>
  </si>
  <si>
    <t>00800</t>
  </si>
  <si>
    <t>00915</t>
  </si>
  <si>
    <t>00894</t>
  </si>
  <si>
    <t>00996</t>
  </si>
  <si>
    <t>00880</t>
  </si>
  <si>
    <t>00951</t>
  </si>
  <si>
    <t>01008</t>
  </si>
  <si>
    <t>00913</t>
  </si>
  <si>
    <t>01050</t>
  </si>
  <si>
    <t>00914</t>
  </si>
  <si>
    <t>00912</t>
  </si>
  <si>
    <t>00964</t>
  </si>
  <si>
    <t>00954</t>
  </si>
  <si>
    <t>00833</t>
  </si>
  <si>
    <t>00999</t>
  </si>
  <si>
    <t>00959</t>
  </si>
  <si>
    <t>00958</t>
  </si>
  <si>
    <t>00905</t>
  </si>
  <si>
    <t>00910</t>
  </si>
  <si>
    <t>01007</t>
  </si>
  <si>
    <t>00909</t>
  </si>
  <si>
    <t>01044</t>
  </si>
  <si>
    <t>01006</t>
  </si>
  <si>
    <t>00917</t>
  </si>
  <si>
    <t>00907</t>
  </si>
  <si>
    <t>01099</t>
  </si>
  <si>
    <t>00860</t>
  </si>
  <si>
    <t>00944</t>
  </si>
  <si>
    <t>00945</t>
  </si>
  <si>
    <t>01041</t>
  </si>
  <si>
    <t>01075</t>
  </si>
  <si>
    <t>00955</t>
  </si>
  <si>
    <t>00963</t>
  </si>
  <si>
    <t>01005</t>
  </si>
  <si>
    <t>00992</t>
  </si>
  <si>
    <t>00991</t>
  </si>
  <si>
    <t>01039</t>
  </si>
  <si>
    <t>01073</t>
  </si>
  <si>
    <t>01047</t>
  </si>
  <si>
    <t>01046</t>
  </si>
  <si>
    <t>00997</t>
  </si>
  <si>
    <t>01037</t>
  </si>
  <si>
    <t>01001</t>
  </si>
  <si>
    <t>01042</t>
  </si>
  <si>
    <t>01051</t>
  </si>
  <si>
    <t>01045</t>
  </si>
  <si>
    <t>01049</t>
  </si>
  <si>
    <t>01043</t>
  </si>
  <si>
    <t>01098</t>
  </si>
  <si>
    <t>01074</t>
  </si>
  <si>
    <t>Duchas</t>
  </si>
  <si>
    <t>Trastorno del Lenguaje</t>
  </si>
  <si>
    <t>El dato desglosado por año cursado es mayor a la cifra de matrícula reportada en el Cuadro 1.  Tome en cuenta, que las asignaturas de sétimo año sólo las pueden matricular los que son estudiantes de sétimo; las asignaturas de octavo sólo los que están en octavo más los de sétimo que están adelantando, y así para los otros años que se cursan.</t>
  </si>
  <si>
    <t>Pérdida Auditiva</t>
  </si>
  <si>
    <t>Mingitorios (Urinarios)</t>
  </si>
  <si>
    <t>El Centro Educativo tiene las adaptaciones necesarias en su infraestructura para que garantice la accesibilidad física de los estudiantes, personal y padres de familia, a todos los servicios ofrecidos, por ejemplo:  área administrativa, biblioteca, comedor, laboratorios?</t>
  </si>
  <si>
    <t xml:space="preserve">1. </t>
  </si>
  <si>
    <t>Lactancia</t>
  </si>
  <si>
    <t>7-03-07</t>
  </si>
  <si>
    <t>ctploschiles@MEP.go.cr</t>
  </si>
  <si>
    <t>ELIZABETH LOPEZ HIDALGO</t>
  </si>
  <si>
    <t>1KM O DEL INA FRENTE AUTOPISTA GENERAL CAÑAS</t>
  </si>
  <si>
    <t>RONNY GOMEZ VILLAFUERTE</t>
  </si>
  <si>
    <t>ctp.desantacruz@mep.go.cr</t>
  </si>
  <si>
    <t>ctp.fortunadebagaces@mep.go.cr</t>
  </si>
  <si>
    <t>XIOMARA ROJAS RUIZ</t>
  </si>
  <si>
    <t>JAVIER FRANCISCO JUAREZ ZUNIGA</t>
  </si>
  <si>
    <t>ctp.depuntarenas@mep.go.cr</t>
  </si>
  <si>
    <t>ctp.dejicaral@mep.go.cr</t>
  </si>
  <si>
    <t>ctp.carlosmanuelvicente@mep.go.cr</t>
  </si>
  <si>
    <t>ctp.valledelaestrella@mep.go.cr</t>
  </si>
  <si>
    <t>SUSANA ZUÑIGA RODRIGUEZ</t>
  </si>
  <si>
    <t>ctp.bataan@mep.go.cr</t>
  </si>
  <si>
    <t>ctp.deabangares@mep.go.cr</t>
  </si>
  <si>
    <t>ctp.desantaana@mep.go.cr</t>
  </si>
  <si>
    <t>DEL SUPER AGUIMAR 50 M OESTE</t>
  </si>
  <si>
    <t>PAULA PEREZ MALAVASI</t>
  </si>
  <si>
    <t>ctp.carrizal@mep.go.crm</t>
  </si>
  <si>
    <t>ctp.sanpedrodebarva@mep.go.cr</t>
  </si>
  <si>
    <t>ctp.santaeulalia@mep.go.cr</t>
  </si>
  <si>
    <t>SANDY ALONSO JIMENEZ CASCANTE</t>
  </si>
  <si>
    <t>DIAGONAL A LA ESCUELA SAN BOSCO DE MORA</t>
  </si>
  <si>
    <t>ctp.henrifrancoispittier@mep.go.cr</t>
  </si>
  <si>
    <t>ctp.robertogamboavalverde@mep.go.cr</t>
  </si>
  <si>
    <t>CONTIGUO AL TANQUE DE LA ASADA</t>
  </si>
  <si>
    <t>Logistic Administration and Distribution</t>
  </si>
  <si>
    <t>2-16-02</t>
  </si>
  <si>
    <t>2-16-03</t>
  </si>
  <si>
    <r>
      <t xml:space="preserve">“La información aquí certificada por el Director del Centro Educativo la hace bajo la fe y la palabra de certeza, conociendo que cualquier inexactitud o falsedad estaría incurriendo en las responsabilidades administrativas disciplinarias, sin perjuicio de las acciones civiles”. </t>
    </r>
    <r>
      <rPr>
        <sz val="10"/>
        <color theme="1"/>
        <rFont val="Cambria"/>
        <family val="1"/>
        <scheme val="major"/>
      </rPr>
      <t>Legislación vinculante a la legitimidad de la información: Ley de Administración Pública (Artículo 4 y 65), Estatuto de Servicio Civil (Artículo 39), Ley de Control Interno (Artículo 39) y Ley Contra la Corrupción y el Enriquecimiento Ilícito en la Función Pública (Artículo3).</t>
    </r>
  </si>
  <si>
    <r>
      <t xml:space="preserve">Con agua pero </t>
    </r>
    <r>
      <rPr>
        <u/>
        <sz val="11"/>
        <color theme="1"/>
        <rFont val="Cambria"/>
        <family val="1"/>
        <scheme val="major"/>
      </rPr>
      <t>no</t>
    </r>
    <r>
      <rPr>
        <sz val="11"/>
        <color theme="1"/>
        <rFont val="Cambria"/>
        <family val="1"/>
        <scheme val="major"/>
      </rPr>
      <t xml:space="preserve"> con jabón</t>
    </r>
  </si>
  <si>
    <r>
      <t xml:space="preserve">MT
</t>
    </r>
    <r>
      <rPr>
        <b/>
        <sz val="9"/>
        <rFont val="Cambria"/>
        <family val="1"/>
        <scheme val="major"/>
      </rPr>
      <t>(1-6)</t>
    </r>
  </si>
  <si>
    <r>
      <t xml:space="preserve">MAU
</t>
    </r>
    <r>
      <rPr>
        <b/>
        <sz val="9"/>
        <rFont val="Cambria"/>
        <family val="1"/>
        <scheme val="major"/>
      </rPr>
      <t>(1-2)</t>
    </r>
  </si>
  <si>
    <r>
      <t xml:space="preserve">VT
</t>
    </r>
    <r>
      <rPr>
        <b/>
        <sz val="9"/>
        <rFont val="Cambria"/>
        <family val="1"/>
        <scheme val="major"/>
      </rPr>
      <t>(1-6)</t>
    </r>
  </si>
  <si>
    <r>
      <t xml:space="preserve">VAU
</t>
    </r>
    <r>
      <rPr>
        <b/>
        <sz val="9"/>
        <rFont val="Cambria"/>
        <family val="1"/>
        <scheme val="major"/>
      </rPr>
      <t>(1-2)</t>
    </r>
  </si>
  <si>
    <r>
      <t xml:space="preserve">ET
</t>
    </r>
    <r>
      <rPr>
        <b/>
        <sz val="9"/>
        <rFont val="Cambria"/>
        <family val="1"/>
        <scheme val="major"/>
      </rPr>
      <t>(1-4)</t>
    </r>
  </si>
  <si>
    <r>
      <t xml:space="preserve">EAU
</t>
    </r>
    <r>
      <rPr>
        <b/>
        <sz val="9"/>
        <rFont val="Cambria"/>
        <family val="1"/>
        <scheme val="major"/>
      </rPr>
      <t>(1-2)</t>
    </r>
  </si>
  <si>
    <r>
      <t xml:space="preserve">Administrativos
</t>
    </r>
    <r>
      <rPr>
        <i/>
        <sz val="10"/>
        <rFont val="Cambria"/>
        <family val="1"/>
        <scheme val="major"/>
      </rPr>
      <t>(Director, Subdirector, Asistente de Dirección, Auxiliar Administrativo)</t>
    </r>
  </si>
  <si>
    <r>
      <t xml:space="preserve">Técnicos-Docentes
</t>
    </r>
    <r>
      <rPr>
        <i/>
        <sz val="10"/>
        <rFont val="Cambria"/>
        <family val="1"/>
        <scheme val="major"/>
      </rPr>
      <t>(Orientador, Orientador Asistente, Bibliotecólogo)</t>
    </r>
  </si>
  <si>
    <r>
      <t xml:space="preserve">Docentes de Educación Especial
</t>
    </r>
    <r>
      <rPr>
        <i/>
        <sz val="10"/>
        <rFont val="Cambria"/>
        <family val="1"/>
        <scheme val="major"/>
      </rPr>
      <t>(Generalista en Educación Especial, Terapia del Lenguaje, otros)</t>
    </r>
  </si>
  <si>
    <r>
      <t xml:space="preserve">Administrativos y de Servicios
</t>
    </r>
    <r>
      <rPr>
        <i/>
        <sz val="10"/>
        <rFont val="Cambria"/>
        <family val="1"/>
        <scheme val="major"/>
      </rPr>
      <t>(Oficinistas, Misceláneos, Cocineras, Trabajador Social, otros)</t>
    </r>
  </si>
  <si>
    <r>
      <rPr>
        <b/>
        <u val="double"/>
        <sz val="14"/>
        <color theme="1"/>
        <rFont val="Cambria"/>
        <family val="1"/>
        <scheme val="major"/>
      </rPr>
      <t>TODAS</t>
    </r>
    <r>
      <rPr>
        <b/>
        <sz val="14"/>
        <color theme="1"/>
        <rFont val="Cambria"/>
        <family val="1"/>
        <scheme val="major"/>
      </rPr>
      <t xml:space="preserve"> LAS ASIGNATURAS EN CONVOCATORIAS</t>
    </r>
  </si>
  <si>
    <r>
      <t xml:space="preserve">(1)
</t>
    </r>
    <r>
      <rPr>
        <b/>
        <sz val="10"/>
        <rFont val="Cambria"/>
        <family val="1"/>
        <scheme val="major"/>
      </rPr>
      <t>Estudiantes que tienen alguna 
Discapacidad o Condición</t>
    </r>
    <r>
      <rPr>
        <b/>
        <i/>
        <sz val="10"/>
        <rFont val="Cambria"/>
        <family val="1"/>
        <scheme val="major"/>
      </rPr>
      <t xml:space="preserve">
</t>
    </r>
    <r>
      <rPr>
        <i/>
        <sz val="10"/>
        <rFont val="Cambria"/>
        <family val="1"/>
        <scheme val="major"/>
      </rPr>
      <t>(Reciban o no Servicios de Apoyo Educativo)</t>
    </r>
  </si>
  <si>
    <r>
      <t xml:space="preserve">(2)
</t>
    </r>
    <r>
      <rPr>
        <b/>
        <sz val="10"/>
        <rFont val="Cambria"/>
        <family val="1"/>
        <scheme val="major"/>
      </rPr>
      <t xml:space="preserve">De los estudiantes anotados en la columna (1), indique los que </t>
    </r>
    <r>
      <rPr>
        <b/>
        <u/>
        <sz val="10"/>
        <rFont val="Cambria"/>
        <family val="1"/>
        <scheme val="major"/>
      </rPr>
      <t>RECIBEN</t>
    </r>
    <r>
      <rPr>
        <b/>
        <sz val="10"/>
        <rFont val="Cambria"/>
        <family val="1"/>
        <scheme val="major"/>
      </rPr>
      <t xml:space="preserve"> algún Servicio de Apoyo Educativo
</t>
    </r>
    <r>
      <rPr>
        <i/>
        <sz val="10"/>
        <rFont val="Cambria"/>
        <family val="1"/>
        <scheme val="major"/>
      </rPr>
      <t>(Población Atendida)</t>
    </r>
  </si>
  <si>
    <r>
      <t xml:space="preserve">Discapacidad Intelectual (Retraso Mental) </t>
    </r>
    <r>
      <rPr>
        <b/>
        <vertAlign val="superscript"/>
        <sz val="11"/>
        <rFont val="Cambria"/>
        <family val="1"/>
        <scheme val="major"/>
      </rPr>
      <t>1/</t>
    </r>
  </si>
  <si>
    <t>Ciberseguridad</t>
  </si>
  <si>
    <t>Configuración y Soporte de Redes de Comunicación y Sistemas Operativos</t>
  </si>
  <si>
    <t>Informática en Soporte</t>
  </si>
  <si>
    <t>Impresión Offset</t>
  </si>
  <si>
    <t>Productivity and Quality</t>
  </si>
  <si>
    <t>Reparación de los Sistemas de Vehículos Livianos</t>
  </si>
  <si>
    <t>MATRÍCULA INICIAL EN TÉCNICA DIURNA SEGÚN MODALIDAD Y ESPECIALIDAD</t>
  </si>
  <si>
    <t>Trastorno del Espectro Autista (TEA)</t>
  </si>
  <si>
    <r>
      <t xml:space="preserve">Situación Conductual Problemática </t>
    </r>
    <r>
      <rPr>
        <b/>
        <vertAlign val="superscript"/>
        <sz val="11"/>
        <rFont val="Cambria"/>
        <family val="1"/>
        <scheme val="major"/>
      </rPr>
      <t>2/</t>
    </r>
  </si>
  <si>
    <r>
      <t xml:space="preserve">Trastorno Específico de Aprendizaje </t>
    </r>
    <r>
      <rPr>
        <b/>
        <vertAlign val="superscript"/>
        <sz val="11"/>
        <rFont val="Cambria"/>
        <family val="1"/>
        <scheme val="major"/>
      </rPr>
      <t>3/</t>
    </r>
  </si>
  <si>
    <r>
      <t xml:space="preserve">Otro tipo de Condición </t>
    </r>
    <r>
      <rPr>
        <b/>
        <vertAlign val="superscript"/>
        <sz val="11"/>
        <rFont val="Cambria"/>
        <family val="1"/>
        <scheme val="major"/>
      </rPr>
      <t>4/</t>
    </r>
  </si>
  <si>
    <t>2/  Antes Problemas Emocionales y de Conducta.</t>
  </si>
  <si>
    <t>3/ Antes Problemas de Aprendizaje.</t>
  </si>
  <si>
    <t>4/  Especificar en OBSERVACIONES/COMENTARIOS. Ver ejemplos en la Guía.</t>
  </si>
  <si>
    <t>El Centro Educativo se abastece de agua por:</t>
  </si>
  <si>
    <t>Tubería dentro del Centro Educativo.</t>
  </si>
  <si>
    <t>Tubería fuera del Centro Educativo, pero dentro del lote o edificio.</t>
  </si>
  <si>
    <t>Tubería fuera del lote o edificio.</t>
  </si>
  <si>
    <t>No tiene por tubería.</t>
  </si>
  <si>
    <t>El Agua que consumen proviene de:</t>
  </si>
  <si>
    <t>Río, quebrada o naciente.</t>
  </si>
  <si>
    <t>Lluvia u otro.</t>
  </si>
  <si>
    <t>Alcantarilla o Cloaca.</t>
  </si>
  <si>
    <t>Tanque Séptico con tratamiento (fosa biológica).</t>
  </si>
  <si>
    <t>En el Centro Educativo hay luz eléctrica del:</t>
  </si>
  <si>
    <t>Planta privada.</t>
  </si>
  <si>
    <t>No hay luz eléctrica.</t>
  </si>
  <si>
    <t>C.T.P.SAN ISIDRO DE HEREDIA</t>
  </si>
  <si>
    <t>PÚBLICA</t>
  </si>
  <si>
    <t>JENNY BURGOS VALVERDE</t>
  </si>
  <si>
    <t>SERGIO CORELLA BONILLA</t>
  </si>
  <si>
    <t>200 SUR AGENCIA DEL BANCO NACIONAL</t>
  </si>
  <si>
    <t>ctp.lasuiza@mep.go.cr</t>
  </si>
  <si>
    <t>JAVIER ELIAS ROJAS CORTES</t>
  </si>
  <si>
    <t>MARIA CRISTINA VARGAS GRANDA</t>
  </si>
  <si>
    <t>BRENDA GONZALEZ GONZALEZ</t>
  </si>
  <si>
    <t>LEIDY ARACELY GUERRA PATIÑO</t>
  </si>
  <si>
    <t>JENNY DELGADO JIMENEZ</t>
  </si>
  <si>
    <t>ctp.deparrita@mep.go.cr</t>
  </si>
  <si>
    <t>ctp.doscercas@mep.go.cr</t>
  </si>
  <si>
    <t>400 SURESTE DE COOPETRANSASI</t>
  </si>
  <si>
    <t>ctp.maximoquesada@mep.go.cr</t>
  </si>
  <si>
    <t>BANNY NG HIDALGO</t>
  </si>
  <si>
    <t>ctp.deaserri@mep.go.cr</t>
  </si>
  <si>
    <t>IVAN MENA HIDALGO</t>
  </si>
  <si>
    <t>INGRID MARIA MORA SILES</t>
  </si>
  <si>
    <t>TOTAL-Técnica Diurna</t>
  </si>
  <si>
    <t>Cuenta la institución con Sala(s) de Lactancia?</t>
  </si>
  <si>
    <t>ESTUDIANTES EXTRANJEROS, REFUGIADOS Y SOLICITANTES DE ASILO</t>
  </si>
  <si>
    <t>SEGÚN PAÍS/CONTINENTE, TÉCNICA DIURNA</t>
  </si>
  <si>
    <t>País / Continente</t>
  </si>
  <si>
    <t>Extranjeros
(Nacionalidad)</t>
  </si>
  <si>
    <t>SAN JOSE / SAN JOSE / CARMEN</t>
  </si>
  <si>
    <t>SAN JOSE / SAN JOSE / MERCED</t>
  </si>
  <si>
    <t>SAN JOSE / SAN JOSE / HOSPITAL</t>
  </si>
  <si>
    <t>SAN JOSE / SAN JOSE / CATEDRAL</t>
  </si>
  <si>
    <t>SAN JOSE / SAN JOSE / ZAPOTE</t>
  </si>
  <si>
    <t>SAN JOSE / SAN JOSE / SAN FRANCISCO DE DOS RIOS</t>
  </si>
  <si>
    <t>SAN JOSE / SAN JOSE / URUCA</t>
  </si>
  <si>
    <t>SAN JOSE / SAN JOSE / MATA REDONDA</t>
  </si>
  <si>
    <t>SAN JOSE / SAN JOSE / PAVAS</t>
  </si>
  <si>
    <t>SAN JOSE / SAN JOSE / HATILLO</t>
  </si>
  <si>
    <t>SAN JOSE / SAN JOSE / SAN SEBASTIAN</t>
  </si>
  <si>
    <t>SAN JOSE / ESCAZU / ESCAZU</t>
  </si>
  <si>
    <t>SAN JOSE / ESCAZU / SAN ANTONIO</t>
  </si>
  <si>
    <t>SAN JOSE / ESCAZU / SAN RAFAEL</t>
  </si>
  <si>
    <t>SAN JOSE / DESAMPARADOS / DESAMPARADOS</t>
  </si>
  <si>
    <t>SAN JOSE / DESAMPARADOS / SAN MIGUEL</t>
  </si>
  <si>
    <t>SAN JOSE / DESAMPARADOS / SAN JUAN DE DIOS</t>
  </si>
  <si>
    <t>SAN JOSE / DESAMPARADOS / SAN RAFAEL ARRIBA</t>
  </si>
  <si>
    <t>SAN JOSE / DESAMPARADOS / SAN ANTONIO</t>
  </si>
  <si>
    <t>SAN JOSE / DESAMPARADOS / FRAILES</t>
  </si>
  <si>
    <t>SAN JOSE / DESAMPARADOS / PATARRA</t>
  </si>
  <si>
    <t>SAN JOSE / DESAMPARADOS / SAN CRISTOBAL</t>
  </si>
  <si>
    <t>SAN JOSE / DESAMPARADOS / ROSARIO</t>
  </si>
  <si>
    <t>SAN JOSE / DESAMPARADOS / DAMAS</t>
  </si>
  <si>
    <t>SAN JOSE / DESAMPARADOS / SAN RAFAEL ABAJO</t>
  </si>
  <si>
    <t>SAN JOSE / DESAMPARADOS / GRAVILIAS</t>
  </si>
  <si>
    <t>SAN JOSE / DESAMPARADOS / LOS GUIDO</t>
  </si>
  <si>
    <t>SAN JOSE / PURISCAL / SANTIAGO</t>
  </si>
  <si>
    <t>SAN JOSE / PURISCAL / MERCEDES SUR</t>
  </si>
  <si>
    <t>SAN JOSE / PURISCAL / BARBACOAS</t>
  </si>
  <si>
    <t>SAN JOSE / PURISCAL / GRIFO ALTO</t>
  </si>
  <si>
    <t>SAN JOSE / PURISCAL / SAN RAFAEL</t>
  </si>
  <si>
    <t>SAN JOSE / PURISCAL / CANDELARITA</t>
  </si>
  <si>
    <t>SAN JOSE / PURISCAL / DESAMPARADITOS</t>
  </si>
  <si>
    <t>SAN JOSE / PURISCAL / SAN ANTONIO</t>
  </si>
  <si>
    <t>SAN JOSE / PURISCAL / CHIRES</t>
  </si>
  <si>
    <t>SAN JOSE / TARRAZU / SAN MARCOS</t>
  </si>
  <si>
    <t>SAN JOSE / TARRAZU / SAN LORENZO</t>
  </si>
  <si>
    <t>SAN JOSE / TARRAZU / SAN CARLOS</t>
  </si>
  <si>
    <t>SAN JOSE / ASERRI / ASERRI</t>
  </si>
  <si>
    <t>SAN JOSE / ASERRI / TARBACA</t>
  </si>
  <si>
    <t>SAN JOSE / ASERRI / VUELTA DE JORCO</t>
  </si>
  <si>
    <t>SAN JOSE / ASERRI / SAN GABRIEL</t>
  </si>
  <si>
    <t>SAN JOSE / ASERRI / LEGUA</t>
  </si>
  <si>
    <t>SAN JOSE / ASERRI / MONTERREY</t>
  </si>
  <si>
    <t>SAN JOSE / ASERRI / SALITRILLOS</t>
  </si>
  <si>
    <t>SAN JOSE / MORA / COLON</t>
  </si>
  <si>
    <t>SAN JOSE / MORA / GUAYABO</t>
  </si>
  <si>
    <t>SAN JOSE / MORA / TABARCIA</t>
  </si>
  <si>
    <t>SAN JOSE / MORA / PIEDRAS NEGRAS</t>
  </si>
  <si>
    <t>SAN JOSE / MORA / PICAGRES</t>
  </si>
  <si>
    <t>SAN JOSE / MORA / JARIS</t>
  </si>
  <si>
    <t>SAN JOSE / MORA / QUITIRRISI</t>
  </si>
  <si>
    <t>SAN JOSE / GOICOECHEA / GUADALUPE</t>
  </si>
  <si>
    <t>SAN JOSE / GOICOECHEA / SAN FRANCISCO</t>
  </si>
  <si>
    <t>SAN JOSE / GOICOECHEA / CALLE BLANCOS</t>
  </si>
  <si>
    <t>SAN JOSE / GOICOECHEA / MATA DE PLATANO</t>
  </si>
  <si>
    <t>SAN JOSE / GOICOECHEA / IPIS</t>
  </si>
  <si>
    <t>SAN JOSE / GOICOECHEA / RANCHO REDONDO</t>
  </si>
  <si>
    <t>SAN JOSE / GOICOECHEA / PURRAL</t>
  </si>
  <si>
    <t>SAN JOSE / SANTA ANA / SANTA ANA</t>
  </si>
  <si>
    <t>SAN JOSE / SANTA ANA / SALITRAL</t>
  </si>
  <si>
    <t>SAN JOSE / SANTA ANA / POZOS</t>
  </si>
  <si>
    <t>SAN JOSE / SANTA ANA / URUCA</t>
  </si>
  <si>
    <t>SAN JOSE / SANTA ANA / PIEDADES</t>
  </si>
  <si>
    <t>SAN JOSE / SANTA ANA / BRASIL</t>
  </si>
  <si>
    <t>SAN JOSE / ALAJUELITA / ALAJUELITA</t>
  </si>
  <si>
    <t>SAN JOSE / ALAJUELITA / SAN JOSECITO</t>
  </si>
  <si>
    <t>SAN JOSE / ALAJUELITA / SAN ANTONIO</t>
  </si>
  <si>
    <t>SAN JOSE / ALAJUELITA / CONCEPCION</t>
  </si>
  <si>
    <t>SAN JOSE / ALAJUELITA / SAN FELIPE</t>
  </si>
  <si>
    <t>SAN JOSE / VASQUEZ DE CORONADO / SAN ISIDRO</t>
  </si>
  <si>
    <t>SAN JOSE / VASQUEZ DE CORONADO / SAN RAFAEL</t>
  </si>
  <si>
    <t>SAN JOSE / VASQUEZ DE CORONADO / DULCE NOMBRE DE JESUS</t>
  </si>
  <si>
    <t>SAN JOSE / VASQUEZ DE CORONADO / PATALILLO</t>
  </si>
  <si>
    <t>SAN JOSE / VASQUEZ DE CORONADO / CASCAJAL</t>
  </si>
  <si>
    <t>SAN JOSE / ACOSTA / SAN IGNACIO</t>
  </si>
  <si>
    <t>SAN JOSE / ACOSTA / GUAITIL</t>
  </si>
  <si>
    <t>SAN JOSE / ACOSTA / PALMICHAL</t>
  </si>
  <si>
    <t>SAN JOSE / ACOSTA / CANGREJAL</t>
  </si>
  <si>
    <t>SAN JOSE / ACOSTA / SABANILLAS</t>
  </si>
  <si>
    <t>SAN JOSE / TIBAS / SAN JUAN</t>
  </si>
  <si>
    <t>SAN JOSE / TIBAS / CINCO ESQUINAS</t>
  </si>
  <si>
    <t>SAN JOSE / TIBAS / ANSELMO LLORENTE</t>
  </si>
  <si>
    <t>SAN JOSE / TIBAS / LEON XIII</t>
  </si>
  <si>
    <t>SAN JOSE / TIBAS / COLIMA</t>
  </si>
  <si>
    <t>SAN JOSE / MORAVIA / SAN VICENTE</t>
  </si>
  <si>
    <t>SAN JOSE / MORAVIA / SAN JERONIMO</t>
  </si>
  <si>
    <t>SAN JOSE / MORAVIA / TRINIDAD</t>
  </si>
  <si>
    <t>SAN JOSE / MONTES DE OCA / SAN PEDRO</t>
  </si>
  <si>
    <t>SAN JOSE / MONTES DE OCA / SABANILLA</t>
  </si>
  <si>
    <t>SAN JOSE / MONTES DE OCA / MERCEDES</t>
  </si>
  <si>
    <t>SAN JOSE / MONTES DE OCA / SAN RAFAEL</t>
  </si>
  <si>
    <t>SAN JOSE / TURRUBARES / SAN PABLO</t>
  </si>
  <si>
    <t>SAN JOSE / TURRUBARES / SAN PEDRO</t>
  </si>
  <si>
    <t>SAN JOSE / TURRUBARES / SAN JUAN DE MATA</t>
  </si>
  <si>
    <t>SAN JOSE / TURRUBARES / SAN LUIS</t>
  </si>
  <si>
    <t>SAN JOSE / TURRUBARES / CARARA</t>
  </si>
  <si>
    <t>SAN JOSE / DOTA / SANTA MARIA</t>
  </si>
  <si>
    <t>SAN JOSE / DOTA / JARDIN</t>
  </si>
  <si>
    <t>SAN JOSE / DOTA / COPEY</t>
  </si>
  <si>
    <t>SAN JOSE / CURRIDABAT / CURRIDABAT</t>
  </si>
  <si>
    <t>SAN JOSE / CURRIDABAT / GRANADILLA</t>
  </si>
  <si>
    <t>SAN JOSE / CURRIDABAT / SANCHEZ</t>
  </si>
  <si>
    <t>SAN JOSE / CURRIDABAT / TIRRASES</t>
  </si>
  <si>
    <t>SAN JOSE / PEREZ ZELEDON / SAN ISIDRO DE EL GENERAL</t>
  </si>
  <si>
    <t>SAN JOSE / PEREZ ZELEDON / EL GENERAL</t>
  </si>
  <si>
    <t>SAN JOSE / PEREZ ZELEDON / DANIEL FLORES</t>
  </si>
  <si>
    <t>SAN JOSE / PEREZ ZELEDON / RIVAS</t>
  </si>
  <si>
    <t>SAN JOSE / PEREZ ZELEDON / SAN PEDRO</t>
  </si>
  <si>
    <t>SAN JOSE / PEREZ ZELEDON / PLATANARES</t>
  </si>
  <si>
    <t>SAN JOSE / PEREZ ZELEDON / PEJIBAYE</t>
  </si>
  <si>
    <t>SAN JOSE / PEREZ ZELEDON / CAJON</t>
  </si>
  <si>
    <t>SAN JOSE / PEREZ ZELEDON / BARU</t>
  </si>
  <si>
    <t>SAN JOSE / PEREZ ZELEDON / RIO NUEVO</t>
  </si>
  <si>
    <t>SAN JOSE / PEREZ ZELEDON / PARAMO</t>
  </si>
  <si>
    <t>SAN JOSE / PEREZ ZELEDON / LA AMISTAD</t>
  </si>
  <si>
    <t>SAN JOSE / LEON CORTES CASTRO / SAN PABLO</t>
  </si>
  <si>
    <t>SAN JOSE / LEON CORTES CASTRO / SAN ANDRES</t>
  </si>
  <si>
    <t>SAN JOSE / LEON CORTES CASTRO / LLANO BONITO</t>
  </si>
  <si>
    <t>SAN JOSE / LEON CORTES CASTRO / SAN ISIDRO</t>
  </si>
  <si>
    <t>SAN JOSE / LEON CORTES CASTRO / SANTA CRUZ</t>
  </si>
  <si>
    <t>SAN JOSE / LEON CORTES CASTRO / SAN ANTONIO</t>
  </si>
  <si>
    <t>ALAJUELA / ALAJUELA / ALAJUELA</t>
  </si>
  <si>
    <t>ALAJUELA / ALAJUELA / SAN JOSE</t>
  </si>
  <si>
    <t>ALAJUELA / ALAJUELA / CARRIZAL</t>
  </si>
  <si>
    <t>ALAJUELA / ALAJUELA / SAN ANTONIO</t>
  </si>
  <si>
    <t>ALAJUELA / ALAJUELA / GUACIMA</t>
  </si>
  <si>
    <t>ALAJUELA / ALAJUELA / SAN ISIDRO</t>
  </si>
  <si>
    <t>ALAJUELA / ALAJUELA / SABANILLA</t>
  </si>
  <si>
    <t>ALAJUELA / ALAJUELA / SAN RAFAEL</t>
  </si>
  <si>
    <t>ALAJUELA / ALAJUELA / RIO SEGUNDO</t>
  </si>
  <si>
    <t>ALAJUELA / ALAJUELA / DESAMPARADOS</t>
  </si>
  <si>
    <t>ALAJUELA / ALAJUELA / TURRUCARES</t>
  </si>
  <si>
    <t>ALAJUELA / ALAJUELA / TAMBOR</t>
  </si>
  <si>
    <t>ALAJUELA / ALAJUELA / GARITA</t>
  </si>
  <si>
    <t>ALAJUELA / ALAJUELA / SARAPIQUI</t>
  </si>
  <si>
    <t>ALAJUELA / SAN RAMON / SAN RAMON</t>
  </si>
  <si>
    <t>ALAJUELA / SAN RAMON / SANTIAGO</t>
  </si>
  <si>
    <t>ALAJUELA / SAN RAMON / SAN JUAN</t>
  </si>
  <si>
    <t>ALAJUELA / SAN RAMON / PIEDADES NORTE</t>
  </si>
  <si>
    <t>ALAJUELA / SAN RAMON / PIEDADES SUR</t>
  </si>
  <si>
    <t>ALAJUELA / SAN RAMON / SAN RAFAEL</t>
  </si>
  <si>
    <t>ALAJUELA / SAN RAMON / SAN ISIDRO</t>
  </si>
  <si>
    <t>ALAJUELA / SAN RAMON / ANGELES</t>
  </si>
  <si>
    <t>ALAJUELA / SAN RAMON / ALFARO</t>
  </si>
  <si>
    <t>ALAJUELA / SAN RAMON / VOLIO</t>
  </si>
  <si>
    <t>ALAJUELA / SAN RAMON / CONCEPCION</t>
  </si>
  <si>
    <t>ALAJUELA / SAN RAMON / ZAPOTAL</t>
  </si>
  <si>
    <t>ALAJUELA / SAN RAMON / PEÑAS BLANCAS</t>
  </si>
  <si>
    <t>ALAJUELA / SAN RAMON / SAN LORENZO</t>
  </si>
  <si>
    <t>ALAJUELA / GRECIA / GRECIA</t>
  </si>
  <si>
    <t>ALAJUELA / GRECIA / SAN ISIDRO</t>
  </si>
  <si>
    <t>ALAJUELA / GRECIA / SAN JOSE</t>
  </si>
  <si>
    <t>ALAJUELA / GRECIA / SAN ROQUE</t>
  </si>
  <si>
    <t>ALAJUELA / GRECIA / TACARES</t>
  </si>
  <si>
    <t>ALAJUELA / GRECIA / PUENTE DE PIEDRA</t>
  </si>
  <si>
    <t>ALAJUELA / GRECIA / BOLIVAR</t>
  </si>
  <si>
    <t>ALAJUELA / SAN MATEO / SAN MATEO</t>
  </si>
  <si>
    <t>ALAJUELA / SAN MATEO / DESMONTE</t>
  </si>
  <si>
    <t>ALAJUELA / SAN MATEO / JESUS MARIA</t>
  </si>
  <si>
    <t>ALAJUELA / SAN MATEO / LABRADOR</t>
  </si>
  <si>
    <t>ALAJUELA / ATENAS / ATENAS</t>
  </si>
  <si>
    <t>ALAJUELA / ATENAS / JESUS</t>
  </si>
  <si>
    <t>ALAJUELA / ATENAS / MERCEDES</t>
  </si>
  <si>
    <t>ALAJUELA / ATENAS / SAN ISIDRO</t>
  </si>
  <si>
    <t>ALAJUELA / ATENAS / CONCEPCION</t>
  </si>
  <si>
    <t>ALAJUELA / ATENAS / SAN JOSE</t>
  </si>
  <si>
    <t>ALAJUELA / ATENAS / SANTA EULALIA</t>
  </si>
  <si>
    <t>ALAJUELA / ATENAS / ESCOBAL</t>
  </si>
  <si>
    <t>ALAJUELA / NARANJO / NARANJO</t>
  </si>
  <si>
    <t>ALAJUELA / NARANJO / SAN MIGUEL</t>
  </si>
  <si>
    <t>ALAJUELA / NARANJO / SAN JOSE</t>
  </si>
  <si>
    <t>ALAJUELA / NARANJO / CIRRI SUR</t>
  </si>
  <si>
    <t>ALAJUELA / NARANJO / SAN JERONIMO</t>
  </si>
  <si>
    <t>ALAJUELA / NARANJO / SAN JUAN</t>
  </si>
  <si>
    <t>ALAJUELA / NARANJO / EL ROSARIO</t>
  </si>
  <si>
    <t>ALAJUELA / NARANJO / PALMITOS</t>
  </si>
  <si>
    <t>ALAJUELA / PALMARES / PALMARES</t>
  </si>
  <si>
    <t>ALAJUELA / PALMARES / ZARAGOZA</t>
  </si>
  <si>
    <t>ALAJUELA / PALMARES / BUENOS AIRES</t>
  </si>
  <si>
    <t>ALAJUELA / PALMARES / SANTIAGO</t>
  </si>
  <si>
    <t>ALAJUELA / PALMARES / CANDELARIA</t>
  </si>
  <si>
    <t>ALAJUELA / PALMARES / ESQUIPULAS</t>
  </si>
  <si>
    <t>ALAJUELA / PALMARES / LA GRANJA</t>
  </si>
  <si>
    <t>ALAJUELA / POAS / SAN PEDRO</t>
  </si>
  <si>
    <t>ALAJUELA / POAS / SAN JUAN</t>
  </si>
  <si>
    <t>ALAJUELA / POAS / SAN RAFAEL</t>
  </si>
  <si>
    <t>ALAJUELA / POAS / CARRILLOS</t>
  </si>
  <si>
    <t>ALAJUELA / POAS / SABANA REDONDA</t>
  </si>
  <si>
    <t>ALAJUELA / OROTINA / OROTINA</t>
  </si>
  <si>
    <t>ALAJUELA / OROTINA / EL MASTATE</t>
  </si>
  <si>
    <t>ALAJUELA / OROTINA / HACIENDA VIEJA</t>
  </si>
  <si>
    <t>ALAJUELA / OROTINA / COYOLAR</t>
  </si>
  <si>
    <t>ALAJUELA / OROTINA / LA CEIBA</t>
  </si>
  <si>
    <t>ALAJUELA / SAN CARLOS / QUESADA</t>
  </si>
  <si>
    <t>ALAJUELA / SAN CARLOS / FLORENCIA</t>
  </si>
  <si>
    <t>ALAJUELA / SAN CARLOS / BUENAVISTA</t>
  </si>
  <si>
    <t>ALAJUELA / SAN CARLOS / AGUAS ZARCAS</t>
  </si>
  <si>
    <t>ALAJUELA / SAN CARLOS / VENECIA</t>
  </si>
  <si>
    <t>ALAJUELA / SAN CARLOS / PITAL</t>
  </si>
  <si>
    <t>ALAJUELA / SAN CARLOS / LA FORTUNA</t>
  </si>
  <si>
    <t>ALAJUELA / SAN CARLOS / LA TIGRA</t>
  </si>
  <si>
    <t>ALAJUELA / SAN CARLOS / LA PALMERA</t>
  </si>
  <si>
    <t>ALAJUELA / SAN CARLOS / VENADO</t>
  </si>
  <si>
    <t>ALAJUELA / SAN CARLOS / CUTRIS</t>
  </si>
  <si>
    <t>ALAJUELA / SAN CARLOS / MONTERREY</t>
  </si>
  <si>
    <t>ALAJUELA / SAN CARLOS / POCOSOL</t>
  </si>
  <si>
    <t>ALAJUELA / ZARCERO / ZARCERO</t>
  </si>
  <si>
    <t>ALAJUELA / ZARCERO / LAGUNA</t>
  </si>
  <si>
    <t>ALAJUELA / ZARCERO / TAPEZCO</t>
  </si>
  <si>
    <t>ALAJUELA / ZARCERO / GUADALUPE</t>
  </si>
  <si>
    <t>ALAJUELA / ZARCERO / PALMIRA</t>
  </si>
  <si>
    <t>ALAJUELA / ZARCERO / ZAPOTE</t>
  </si>
  <si>
    <t>ALAJUELA / ZARCERO / BRISAS</t>
  </si>
  <si>
    <t>ALAJUELA / SARCHI / SARCHI NORTE</t>
  </si>
  <si>
    <t>ALAJUELA / SARCHI / SARCHI SUR</t>
  </si>
  <si>
    <t>ALAJUELA / SARCHI / TORO AMARILLO</t>
  </si>
  <si>
    <t>ALAJUELA / SARCHI / SAN PEDRO</t>
  </si>
  <si>
    <t>ALAJUELA / SARCHI / RODRIGUEZ</t>
  </si>
  <si>
    <t>ALAJUELA / UPALA / UPALA</t>
  </si>
  <si>
    <t>ALAJUELA / UPALA / AGUAS CLARAS</t>
  </si>
  <si>
    <t>ALAJUELA / UPALA / SAN JOSE O PIZOTE</t>
  </si>
  <si>
    <t>ALAJUELA / UPALA / BIJAGUA</t>
  </si>
  <si>
    <t>ALAJUELA / UPALA / DELICIAS</t>
  </si>
  <si>
    <t>ALAJUELA / UPALA / DOS RIOS</t>
  </si>
  <si>
    <t>ALAJUELA / UPALA / YOLILLAL</t>
  </si>
  <si>
    <t>ALAJUELA / UPALA / CANALETE</t>
  </si>
  <si>
    <t>ALAJUELA / LOS CHILES / LOS CHILES</t>
  </si>
  <si>
    <t>ALAJUELA / LOS CHILES / CAÑO NEGRO</t>
  </si>
  <si>
    <t>ALAJUELA / LOS CHILES / EL AMPARO</t>
  </si>
  <si>
    <t>ALAJUELA / LOS CHILES / SAN JORGE</t>
  </si>
  <si>
    <t>ALAJUELA / GUATUSO / SAN RAFAEL</t>
  </si>
  <si>
    <t>ALAJUELA / GUATUSO / BUENAVISTA</t>
  </si>
  <si>
    <t>ALAJUELA / GUATUSO / COTE</t>
  </si>
  <si>
    <t>ALAJUELA / GUATUSO / KATIRA</t>
  </si>
  <si>
    <t>ALAJUELA / RIO CUARTO / RIO CUARTO</t>
  </si>
  <si>
    <t>ALAJUELA / RIO CUARTO / SANTA RITA</t>
  </si>
  <si>
    <t>ALAJUELA / RIO CUARTO / SANTA ISABEL</t>
  </si>
  <si>
    <t>CARTAGO / CARTAGO / ORIENTAL</t>
  </si>
  <si>
    <t>CARTAGO / CARTAGO / OCCIDENTAL</t>
  </si>
  <si>
    <t>CARTAGO / CARTAGO / CARMEN</t>
  </si>
  <si>
    <t>CARTAGO / CARTAGO / SAN NICOLAS</t>
  </si>
  <si>
    <t>CARTAGO / CARTAGO / AGUACALIENTE O SAN FRANCISCO</t>
  </si>
  <si>
    <t>CARTAGO / CARTAGO / GUADALUPE O ARENILLA</t>
  </si>
  <si>
    <t>CARTAGO / CARTAGO / CORRALILLO</t>
  </si>
  <si>
    <t>CARTAGO / CARTAGO / TIERRA BLANCA</t>
  </si>
  <si>
    <t>CARTAGO / CARTAGO / DULCE NOMBRE</t>
  </si>
  <si>
    <t>CARTAGO / CARTAGO / LLANO GRANDE</t>
  </si>
  <si>
    <t>CARTAGO / CARTAGO / QUEBRADILLA</t>
  </si>
  <si>
    <t>CARTAGO / PARAISO / PARAISO</t>
  </si>
  <si>
    <t>CARTAGO / PARAISO / SANTIAGO</t>
  </si>
  <si>
    <t>CARTAGO / PARAISO / OROSI</t>
  </si>
  <si>
    <t>CARTAGO / PARAISO / CACHI</t>
  </si>
  <si>
    <t>CARTAGO / PARAISO / LLANOS DE SANTA LUCIA</t>
  </si>
  <si>
    <t>CARTAGO / LA UNION / TRES RIOS</t>
  </si>
  <si>
    <t>CARTAGO / LA UNION / SAN DIEGO</t>
  </si>
  <si>
    <t>CARTAGO / LA UNION / SAN JUAN</t>
  </si>
  <si>
    <t>CARTAGO / LA UNION / SAN RAFAEL</t>
  </si>
  <si>
    <t>CARTAGO / LA UNION / CONCEPCION</t>
  </si>
  <si>
    <t>CARTAGO / LA UNION / DULCE NOMBRE</t>
  </si>
  <si>
    <t>CARTAGO / LA UNION / SAN RAMON</t>
  </si>
  <si>
    <t>CARTAGO / LA UNION / RIO AZUL</t>
  </si>
  <si>
    <t>CARTAGO / JIMENEZ / JUAN VIÑAS</t>
  </si>
  <si>
    <t>CARTAGO / JIMENEZ / TUCURRIQUE</t>
  </si>
  <si>
    <t>CARTAGO / JIMENEZ / PEJIBAYE</t>
  </si>
  <si>
    <t>CARTAGO / TURRIALBA / TURRIALBA</t>
  </si>
  <si>
    <t>CARTAGO / TURRIALBA / LA SUIZA</t>
  </si>
  <si>
    <t>CARTAGO / TURRIALBA / PERALTA</t>
  </si>
  <si>
    <t>CARTAGO / TURRIALBA / SANTA CRUZ</t>
  </si>
  <si>
    <t>CARTAGO / TURRIALBA / SANTA TERESITA</t>
  </si>
  <si>
    <t>CARTAGO / TURRIALBA / PAVONES</t>
  </si>
  <si>
    <t>CARTAGO / TURRIALBA / TUIS</t>
  </si>
  <si>
    <t>CARTAGO / TURRIALBA / TAYUTIC</t>
  </si>
  <si>
    <t>CARTAGO / TURRIALBA / SANTA ROSA</t>
  </si>
  <si>
    <t>CARTAGO / TURRIALBA / TRES EQUIS</t>
  </si>
  <si>
    <t>CARTAGO / TURRIALBA / LA ISABEL</t>
  </si>
  <si>
    <t>CARTAGO / TURRIALBA / EL CHIRRIPO</t>
  </si>
  <si>
    <t>CARTAGO / ALVARADO / PACAYAS</t>
  </si>
  <si>
    <t>CARTAGO / ALVARADO / CERVANTES</t>
  </si>
  <si>
    <t>CARTAGO / ALVARADO / CAPELLADES</t>
  </si>
  <si>
    <t>CARTAGO / OREAMUNO / SAN RAFAEL</t>
  </si>
  <si>
    <t>CARTAGO / OREAMUNO / COT</t>
  </si>
  <si>
    <t>CARTAGO / OREAMUNO / POTRERO CERRADO</t>
  </si>
  <si>
    <t>CARTAGO / OREAMUNO / CIPRESES</t>
  </si>
  <si>
    <t>CARTAGO / OREAMUNO / SANTA ROSA</t>
  </si>
  <si>
    <t>CARTAGO / EL GUARCO / EL TEJAR</t>
  </si>
  <si>
    <t>CARTAGO / EL GUARCO / SAN ISIDRO</t>
  </si>
  <si>
    <t>CARTAGO / EL GUARCO / TOBOSI</t>
  </si>
  <si>
    <t>CARTAGO / EL GUARCO / PATIO DE AGUA</t>
  </si>
  <si>
    <t>HEREDIA / HEREDIA / HEREDIA</t>
  </si>
  <si>
    <t>HEREDIA / HEREDIA / MERCEDES</t>
  </si>
  <si>
    <t>HEREDIA / HEREDIA / SAN FRANCISCO</t>
  </si>
  <si>
    <t>HEREDIA / HEREDIA / ULLOA</t>
  </si>
  <si>
    <t>HEREDIA / HEREDIA / VARABLANCA</t>
  </si>
  <si>
    <t>HEREDIA / BARVA / BARVA</t>
  </si>
  <si>
    <t>HEREDIA / BARVA / SAN PEDRO</t>
  </si>
  <si>
    <t>HEREDIA / BARVA / SAN PABLO</t>
  </si>
  <si>
    <t>HEREDIA / BARVA / SAN ROQUE</t>
  </si>
  <si>
    <t>HEREDIA / BARVA / SANTA LUCIA</t>
  </si>
  <si>
    <t>HEREDIA / BARVA / SAN JOSE DE LA MONTAÑA</t>
  </si>
  <si>
    <t>HEREDIA / SANTO DOMINGO / SANTO DOMINGO</t>
  </si>
  <si>
    <t>HEREDIA / SANTO DOMINGO / SAN VICENTE</t>
  </si>
  <si>
    <t>HEREDIA / SANTO DOMINGO / SAN MIGUEL</t>
  </si>
  <si>
    <t>HEREDIA / SANTO DOMINGO / PARACITO</t>
  </si>
  <si>
    <t>HEREDIA / SANTO DOMINGO / SANTO TOMAS</t>
  </si>
  <si>
    <t>HEREDIA / SANTO DOMINGO / SANTA ROSA</t>
  </si>
  <si>
    <t>HEREDIA / SANTO DOMINGO / TURES</t>
  </si>
  <si>
    <t>HEREDIA / SANTO DOMINGO / PARA</t>
  </si>
  <si>
    <t>HEREDIA / SANTA BARBARA / SANTA BARBARA</t>
  </si>
  <si>
    <t>HEREDIA / SANTA BARBARA / SAN PEDRO</t>
  </si>
  <si>
    <t>HEREDIA / SANTA BARBARA / SAN JUAN</t>
  </si>
  <si>
    <t>HEREDIA / SANTA BARBARA / JESUS</t>
  </si>
  <si>
    <t>HEREDIA / SANTA BARBARA / SANTO DOMINGO</t>
  </si>
  <si>
    <t>HEREDIA / SANTA BARBARA / PURABA</t>
  </si>
  <si>
    <t>HEREDIA / SAN RAFAEL / SAN RAFAEL</t>
  </si>
  <si>
    <t>HEREDIA / SAN RAFAEL / SAN JOSECITO</t>
  </si>
  <si>
    <t>HEREDIA / SAN RAFAEL / SANTIAGO</t>
  </si>
  <si>
    <t>HEREDIA / SAN RAFAEL / LOS ANGELES</t>
  </si>
  <si>
    <t>HEREDIA / SAN RAFAEL / CONCEPCION</t>
  </si>
  <si>
    <t>HEREDIA / SAN ISIDRO / SAN ISIDRO</t>
  </si>
  <si>
    <t>HEREDIA / SAN ISIDRO / SAN JOSE</t>
  </si>
  <si>
    <t>HEREDIA / SAN ISIDRO / CONCEPCION</t>
  </si>
  <si>
    <t>HEREDIA / SAN ISIDRO / SAN FRANCISCO</t>
  </si>
  <si>
    <t>HEREDIA / BELEN / SAN ANTONIO</t>
  </si>
  <si>
    <t>HEREDIA / BELEN / LA RIBERA</t>
  </si>
  <si>
    <t>HEREDIA / BELEN / ASUNCION</t>
  </si>
  <si>
    <t>HEREDIA / FLORES / SAN JOAQUIN</t>
  </si>
  <si>
    <t>HEREDIA / FLORES / BARRANTES</t>
  </si>
  <si>
    <t>HEREDIA / FLORES / LLORENTE</t>
  </si>
  <si>
    <t>HEREDIA / SAN PABLO / SAN PABLO</t>
  </si>
  <si>
    <t>HEREDIA / SAN PABLO / RINCON DE SABANILLA</t>
  </si>
  <si>
    <t>HEREDIA / SARAPIQUI / PUERTO VIEJO</t>
  </si>
  <si>
    <t>HEREDIA / SARAPIQUI / LA VIRGEN</t>
  </si>
  <si>
    <t>HEREDIA / SARAPIQUI / LAS HORQUETAS</t>
  </si>
  <si>
    <t>HEREDIA / SARAPIQUI / LLANURAS DEL GASPAR</t>
  </si>
  <si>
    <t>HEREDIA / SARAPIQUI / CUREÑA</t>
  </si>
  <si>
    <t>GUANACASTE / LIBERIA / LIBERIA</t>
  </si>
  <si>
    <t>GUANACASTE / LIBERIA / CAÑAS DULCES</t>
  </si>
  <si>
    <t>GUANACASTE / LIBERIA / MAYORGA</t>
  </si>
  <si>
    <t>GUANACASTE / LIBERIA / NACASCOLO</t>
  </si>
  <si>
    <t>GUANACASTE / LIBERIA / CURUBANDE</t>
  </si>
  <si>
    <t>GUANACASTE / NICOYA / NICOYA</t>
  </si>
  <si>
    <t>GUANACASTE / NICOYA / MANSION</t>
  </si>
  <si>
    <t>GUANACASTE / NICOYA / SAN ANTONIO</t>
  </si>
  <si>
    <t>GUANACASTE / NICOYA / QUEBRADA HONDA</t>
  </si>
  <si>
    <t>GUANACASTE / NICOYA / SAMARA</t>
  </si>
  <si>
    <t>GUANACASTE / NICOYA / NOSARA</t>
  </si>
  <si>
    <t>GUANACASTE / NICOYA / BELEN DE NOSARITA</t>
  </si>
  <si>
    <t>GUANACASTE / SANTA CRUZ / SANTA CRUZ</t>
  </si>
  <si>
    <t>GUANACASTE / SANTA CRUZ / BOLSON</t>
  </si>
  <si>
    <t>GUANACASTE / SANTA CRUZ / VEINTISIETE DE ABRIL</t>
  </si>
  <si>
    <t>GUANACASTE / SANTA CRUZ / TEMPATE</t>
  </si>
  <si>
    <t>GUANACASTE / SANTA CRUZ / CARTAGENA</t>
  </si>
  <si>
    <t>GUANACASTE / SANTA CRUZ / GUAJINIQUIL</t>
  </si>
  <si>
    <t>GUANACASTE / SANTA CRUZ / DIRIA</t>
  </si>
  <si>
    <t>GUANACASTE / SANTA CRUZ / CABO VELAS</t>
  </si>
  <si>
    <t>GUANACASTE / SANTA CRUZ / TAMARINDO</t>
  </si>
  <si>
    <t>GUANACASTE / BAGACES / BAGACES</t>
  </si>
  <si>
    <t>GUANACASTE / BAGACES / LA FORTUNA</t>
  </si>
  <si>
    <t>GUANACASTE / BAGACES / MOGOTE</t>
  </si>
  <si>
    <t>GUANACASTE / BAGACES / RIO NARANJO</t>
  </si>
  <si>
    <t>GUANACASTE / CARRILLO / FILADELFIA</t>
  </si>
  <si>
    <t>GUANACASTE / CARRILLO / PALMIRA</t>
  </si>
  <si>
    <t>GUANACASTE / CARRILLO / SARDINAL</t>
  </si>
  <si>
    <t>GUANACASTE / CARRILLO / BELEN</t>
  </si>
  <si>
    <t>GUANACASTE / CAÑAS / CAÑAS</t>
  </si>
  <si>
    <t>GUANACASTE / CAÑAS / PALMIRA</t>
  </si>
  <si>
    <t>GUANACASTE / CAÑAS / SAN MIGUEL</t>
  </si>
  <si>
    <t>GUANACASTE / CAÑAS / BEBEDERO</t>
  </si>
  <si>
    <t>GUANACASTE / CAÑAS / POROZAL</t>
  </si>
  <si>
    <t>GUANACASTE / ABANGARES / LAS JUNTAS</t>
  </si>
  <si>
    <t>GUANACASTE / ABANGARES / SIERRA</t>
  </si>
  <si>
    <t>GUANACASTE / ABANGARES / SAN JUAN</t>
  </si>
  <si>
    <t>GUANACASTE / ABANGARES / COLORADO</t>
  </si>
  <si>
    <t>GUANACASTE / TILARAN / TILARAN</t>
  </si>
  <si>
    <t>GUANACASTE / TILARAN / QUEBRADA GRANDE</t>
  </si>
  <si>
    <t>GUANACASTE / TILARAN / TRONADORA</t>
  </si>
  <si>
    <t>GUANACASTE / TILARAN / SANTA ROSA</t>
  </si>
  <si>
    <t>GUANACASTE / TILARAN / LIBANO</t>
  </si>
  <si>
    <t>GUANACASTE / TILARAN / TIERRAS MORENAS</t>
  </si>
  <si>
    <t>GUANACASTE / TILARAN / ARENAL</t>
  </si>
  <si>
    <t>GUANACASTE / TILARAN / CABECERAS</t>
  </si>
  <si>
    <t>5-08-08</t>
  </si>
  <si>
    <t>GUANACASTE / NANDAYURE / CARMONA</t>
  </si>
  <si>
    <t>GUANACASTE / NANDAYURE / SANTA RITA</t>
  </si>
  <si>
    <t>GUANACASTE / NANDAYURE / ZAPOTAL</t>
  </si>
  <si>
    <t>GUANACASTE / NANDAYURE / SAN PABLO</t>
  </si>
  <si>
    <t>GUANACASTE / NANDAYURE / PORVENIR</t>
  </si>
  <si>
    <t>GUANACASTE / NANDAYURE / BEJUCO</t>
  </si>
  <si>
    <t>GUANACASTE / LA CRUZ / LA CRUZ</t>
  </si>
  <si>
    <t>GUANACASTE / LA CRUZ / SANTA CECILIA</t>
  </si>
  <si>
    <t>GUANACASTE / LA CRUZ / LA GARITA</t>
  </si>
  <si>
    <t>GUANACASTE / LA CRUZ / SANTA ELENA</t>
  </si>
  <si>
    <t>GUANACASTE / HOJANCHA / HOJANCHA</t>
  </si>
  <si>
    <t>GUANACASTE / HOJANCHA / MONTE ROMO</t>
  </si>
  <si>
    <t>GUANACASTE / HOJANCHA / PUERTO CARRILLO</t>
  </si>
  <si>
    <t>GUANACASTE / HOJANCHA / HUACAS</t>
  </si>
  <si>
    <t>GUANACASTE / HOJANCHA / MATAMBU</t>
  </si>
  <si>
    <t>PUNTARENAS / PUNTARENAS / PUNTARENAS</t>
  </si>
  <si>
    <t>PUNTARENAS / PUNTARENAS / PITAHAYA</t>
  </si>
  <si>
    <t>PUNTARENAS / PUNTARENAS / CHOMES</t>
  </si>
  <si>
    <t>PUNTARENAS / PUNTARENAS / LEPANTO</t>
  </si>
  <si>
    <t>PUNTARENAS / PUNTARENAS / PAQUERA</t>
  </si>
  <si>
    <t>PUNTARENAS / PUNTARENAS / MANZANILLO</t>
  </si>
  <si>
    <t>PUNTARENAS / PUNTARENAS / GUACIMAL</t>
  </si>
  <si>
    <t>PUNTARENAS / PUNTARENAS / BARRANCA</t>
  </si>
  <si>
    <t>PUNTARENAS / PUNTARENAS / MONTE VERDE</t>
  </si>
  <si>
    <t>PUNTARENAS / PUNTARENAS / ISLA DEL COCO</t>
  </si>
  <si>
    <t>PUNTARENAS / PUNTARENAS / COBANO</t>
  </si>
  <si>
    <t>PUNTARENAS / PUNTARENAS / CHACARITA</t>
  </si>
  <si>
    <t>PUNTARENAS / PUNTARENAS / CHIRA</t>
  </si>
  <si>
    <t>PUNTARENAS / PUNTARENAS / ACAPULCO</t>
  </si>
  <si>
    <t>PUNTARENAS / PUNTARENAS / EL ROBLE</t>
  </si>
  <si>
    <t>PUNTARENAS / PUNTARENAS / ARANCIBIA</t>
  </si>
  <si>
    <t>PUNTARENAS / ESPARZA / ESPIRITU SANTO</t>
  </si>
  <si>
    <t>PUNTARENAS / ESPARZA / SAN JUAN GRANDE</t>
  </si>
  <si>
    <t>PUNTARENAS / ESPARZA / MACACONA</t>
  </si>
  <si>
    <t>PUNTARENAS / ESPARZA / SAN RAFAEL</t>
  </si>
  <si>
    <t>PUNTARENAS / ESPARZA / SAN JERONIMO</t>
  </si>
  <si>
    <t>PUNTARENAS / ESPARZA / CALDERA</t>
  </si>
  <si>
    <t>PUNTARENAS / BUENOS AIRES / BUENOS AIRES</t>
  </si>
  <si>
    <t>PUNTARENAS / BUENOS AIRES / VOLCAN</t>
  </si>
  <si>
    <t>PUNTARENAS / BUENOS AIRES / POTRERO GRANDE</t>
  </si>
  <si>
    <t>PUNTARENAS / BUENOS AIRES / BORUCA</t>
  </si>
  <si>
    <t>PUNTARENAS / BUENOS AIRES / PILAS</t>
  </si>
  <si>
    <t>PUNTARENAS / BUENOS AIRES / COLINAS</t>
  </si>
  <si>
    <t>PUNTARENAS / BUENOS AIRES / CHANGUENA</t>
  </si>
  <si>
    <t>PUNTARENAS / BUENOS AIRES / BIOLLEY</t>
  </si>
  <si>
    <t>PUNTARENAS / BUENOS AIRES / BRUNKA</t>
  </si>
  <si>
    <t>PUNTARENAS / MONTES DE ORO / MIRAMAR</t>
  </si>
  <si>
    <t>PUNTARENAS / MONTES DE ORO / LA UNION</t>
  </si>
  <si>
    <t>PUNTARENAS / MONTES DE ORO / SAN ISIDRO</t>
  </si>
  <si>
    <t>PUNTARENAS / OSA / PUERTO CORTES</t>
  </si>
  <si>
    <t>PUNTARENAS / OSA / PALMAR</t>
  </si>
  <si>
    <t>PUNTARENAS / OSA / SIERPE</t>
  </si>
  <si>
    <t>PUNTARENAS / OSA / BAHIA BALLENA</t>
  </si>
  <si>
    <t>PUNTARENAS / OSA / PIEDRAS BLANCAS</t>
  </si>
  <si>
    <t>PUNTARENAS / OSA / BAHIA DRAKE</t>
  </si>
  <si>
    <t>PUNTARENAS / QUEPOS / QUEPOS</t>
  </si>
  <si>
    <t>PUNTARENAS / QUEPOS / SAVEGRE</t>
  </si>
  <si>
    <t>PUNTARENAS / QUEPOS / NARANJITO</t>
  </si>
  <si>
    <t>PUNTARENAS / GOLFITO / GOLFITO</t>
  </si>
  <si>
    <t>PUNTARENAS / GOLFITO / PUERTO JIMENEZ</t>
  </si>
  <si>
    <t>PUNTARENAS / GOLFITO / GUAYCARA</t>
  </si>
  <si>
    <t>PUNTARENAS / GOLFITO / PAVON</t>
  </si>
  <si>
    <t>PUNTARENAS / COTO BRUS / SAN VITO</t>
  </si>
  <si>
    <t>PUNTARENAS / COTO BRUS / SABALITO</t>
  </si>
  <si>
    <t>PUNTARENAS / COTO BRUS / AGUA BUENA</t>
  </si>
  <si>
    <t>PUNTARENAS / COTO BRUS / LIMONCITO</t>
  </si>
  <si>
    <t>PUNTARENAS / COTO BRUS / PITTIER</t>
  </si>
  <si>
    <t>PUNTARENAS / COTO BRUS / GUTIERREZ BROUN</t>
  </si>
  <si>
    <t>PUNTARENAS / PARRITA / PARRITA</t>
  </si>
  <si>
    <t>PUNTARENAS / CORREDORES / CORREDOR</t>
  </si>
  <si>
    <t>PUNTARENAS / CORREDORES / LA CUESTA</t>
  </si>
  <si>
    <t>PUNTARENAS / CORREDORES / CANOAS</t>
  </si>
  <si>
    <t>PUNTARENAS / CORREDORES / LAUREL</t>
  </si>
  <si>
    <t>PUNTARENAS / GARABITO / JACO</t>
  </si>
  <si>
    <t>PUNTARENAS / GARABITO / TARCOLES</t>
  </si>
  <si>
    <t>LIMON / LIMON / LIMON</t>
  </si>
  <si>
    <t>LIMON / LIMON / VALLE LA ESTRELLA</t>
  </si>
  <si>
    <t>LIMON / LIMON / RIO BLANCO</t>
  </si>
  <si>
    <t>LIMON / LIMON / MATAMA</t>
  </si>
  <si>
    <t>LIMON / POCOCI / GUAPILES</t>
  </si>
  <si>
    <t>LIMON / POCOCI / JIMENEZ</t>
  </si>
  <si>
    <t>LIMON / POCOCI / LA RITA</t>
  </si>
  <si>
    <t>LIMON / POCOCI / ROXANA</t>
  </si>
  <si>
    <t>LIMON / POCOCI / CARIARI</t>
  </si>
  <si>
    <t>LIMON / POCOCI / COLORADO</t>
  </si>
  <si>
    <t>LIMON / POCOCI / LA COLONIA</t>
  </si>
  <si>
    <t>LIMON / SIQUIRRES / SIQUIRRES</t>
  </si>
  <si>
    <t>LIMON / SIQUIRRES / PACUARITO</t>
  </si>
  <si>
    <t>LIMON / SIQUIRRES / FLORIDA</t>
  </si>
  <si>
    <t>LIMON / SIQUIRRES / GERMANIA</t>
  </si>
  <si>
    <t>LIMON / SIQUIRRES / EL CAIRO</t>
  </si>
  <si>
    <t>LIMON / SIQUIRRES / ALEGRIA</t>
  </si>
  <si>
    <t>LIMON / SIQUIRRES / REVENTAZON</t>
  </si>
  <si>
    <t>LIMON / TALAMANCA / BRATSI</t>
  </si>
  <si>
    <t>LIMON / TALAMANCA / SIXAOLA</t>
  </si>
  <si>
    <t>LIMON / TALAMANCA / CAHUITA</t>
  </si>
  <si>
    <t>LIMON / TALAMANCA / TELIRE</t>
  </si>
  <si>
    <t>LIMON / MATINA / MATINA</t>
  </si>
  <si>
    <t>LIMON / MATINA / BATAN</t>
  </si>
  <si>
    <t>LIMON / MATINA / CARRANDI</t>
  </si>
  <si>
    <t>LIMON / GUACIMO / GUACIMO</t>
  </si>
  <si>
    <t>LIMON / GUACIMO / MERCEDES</t>
  </si>
  <si>
    <t>LIMON / GUACIMO / POCORA</t>
  </si>
  <si>
    <t>LIMON / GUACIMO / RIO JIMENEZ</t>
  </si>
  <si>
    <t>LIMON / GUACIMO / DUACARI</t>
  </si>
  <si>
    <t>JORGE ANDRES CORDERO AMADOR</t>
  </si>
  <si>
    <t>500M SUROESTE DE ESCUELA RAFAEL SOLORZANO</t>
  </si>
  <si>
    <t>MARIA PIEDRA VALVERDE</t>
  </si>
  <si>
    <t>MAURICIO ROJAS SALAZAR</t>
  </si>
  <si>
    <t>ctp.pejibaye@mep.go.cr</t>
  </si>
  <si>
    <t>GEOVANNY ROJAS MIRANDA</t>
  </si>
  <si>
    <t>CRISTIAN G. MIRANDA ALPIZAR</t>
  </si>
  <si>
    <t>JOSE ANTONIO MARTINEZ FAJARDO</t>
  </si>
  <si>
    <t>GRICELDA ELIZONDO AGUILAR</t>
  </si>
  <si>
    <t>ctp.depacayas@mep.go.cr</t>
  </si>
  <si>
    <t>125 M. ESTE DEL BANCO NACIONAL</t>
  </si>
  <si>
    <t>MARIA BENITA GOMEZ MORENO</t>
  </si>
  <si>
    <t>C.T.P. BUENOS AIRES</t>
  </si>
  <si>
    <t>C.T.P. VALLE DE LA ESTRELLA</t>
  </si>
  <si>
    <t>HAEZEL LINARES KELLY</t>
  </si>
  <si>
    <t>C.T.P. DE POCOCI</t>
  </si>
  <si>
    <t>C.T.P. PADRE ROBERTO EVANS SAUNDERS</t>
  </si>
  <si>
    <t>C.T.P. GUACIMO</t>
  </si>
  <si>
    <t>200 METROS NORTE DE LA CIUDAD JUDICIAL</t>
  </si>
  <si>
    <t>C.T.P. DE SANTA ANA</t>
  </si>
  <si>
    <t>BERNAL SOLANO CERVANTES</t>
  </si>
  <si>
    <t>600 M. AL OESTE DEL PARQUE DE QUEBRADILLA</t>
  </si>
  <si>
    <t>75 O. 50 S. Y 75 O. DEL CEMENTERIO</t>
  </si>
  <si>
    <t>ARNULFO ALVARADO LOPEZ</t>
  </si>
  <si>
    <t>OLGER STANLEY CARMONA AVILA</t>
  </si>
  <si>
    <t>C.T.P. MAXIMO QUESADA PICADO</t>
  </si>
  <si>
    <t>CARLOS WILLIAM ELIZONDO ARAYA</t>
  </si>
  <si>
    <t>300E Y 25 S DE LA IGLESIA CATOLICA STA ROSA</t>
  </si>
  <si>
    <t>600MTS N DEL TEMPLO CATOLICO, MERCEDES NORTE</t>
  </si>
  <si>
    <t>MARITZA PORRAS CAMPOS</t>
  </si>
  <si>
    <t>ctp.decopal@mep.go.cr</t>
  </si>
  <si>
    <t>ROBERTO MONTERO GUZMAN</t>
  </si>
  <si>
    <t>Teléfono 1:</t>
  </si>
  <si>
    <t>Teléfono 2:</t>
  </si>
  <si>
    <t>SERVICIOS, COMPUTADORAS Y ESPACIO FÍSICO UTILIZADOS POR TÉCNICA DIURNA Y PLAN NACIONAL</t>
  </si>
  <si>
    <t>SANEAMIENTO E HIGIENE, TÉCNICA DIURNA Y PLAN NACIONAL</t>
  </si>
  <si>
    <t>BARRIO CORAZON DE MA</t>
  </si>
  <si>
    <t>ASENTAMIENTO AGROPOR</t>
  </si>
  <si>
    <t>Producción Agrícola y Pecuaria</t>
  </si>
  <si>
    <t>Dibujo y Modelado de Edificaciones</t>
  </si>
  <si>
    <t>Mercadeo</t>
  </si>
  <si>
    <t>Ecoturismo</t>
  </si>
  <si>
    <t>Ejecutivo Comercial y Servicio al Cliente</t>
  </si>
  <si>
    <t>Contabilidad y Control Interno</t>
  </si>
  <si>
    <t>Operaciones de Empresas de Alojamiento</t>
  </si>
  <si>
    <t>0</t>
  </si>
  <si>
    <t>FATIMA</t>
  </si>
  <si>
    <t>B° EL CAPULIN</t>
  </si>
  <si>
    <t>SANTA BARBARA</t>
  </si>
  <si>
    <t>BRIBRI</t>
  </si>
  <si>
    <t>LA ASUNCION</t>
  </si>
  <si>
    <t>C.T.P. SAN AGUSTIN CIUDAD DE LOS NIÑOS</t>
  </si>
  <si>
    <t>CENSO ESCOLAR 2023 -- INFORME INICIAL</t>
  </si>
  <si>
    <t>EL CURSO LECTIVO 2023, TÉCNICA DIURNA</t>
  </si>
  <si>
    <t>APLAZADOS EN EL CURSO LECTIVO 2022, Y QUE APROBARON</t>
  </si>
  <si>
    <t>Aplaz.
2022</t>
  </si>
  <si>
    <t>Ubicacion1</t>
  </si>
  <si>
    <t>LIMON</t>
  </si>
  <si>
    <t>ZONA NORTE-NORTE</t>
  </si>
  <si>
    <t>JUAN CARLOS CORRALES ARCE</t>
  </si>
  <si>
    <t>colegioagropecuariosancarlos@casc.ed.cr</t>
  </si>
  <si>
    <t>ctp.deupala@mep.go.cr</t>
  </si>
  <si>
    <t>ROBERTO MUÑOZ BEITA</t>
  </si>
  <si>
    <t>VERNY BERMUDEZ MONTERO</t>
  </si>
  <si>
    <t>MARCOS VINICIO FONSECA ROJAS</t>
  </si>
  <si>
    <t>JAVIER ARCE VARGAS</t>
  </si>
  <si>
    <t>ctp.sansebastian@mep.go.cr</t>
  </si>
  <si>
    <t>VERNA CESPEDES ROJAS</t>
  </si>
  <si>
    <t>LORNA MOLINA CORELLA</t>
  </si>
  <si>
    <t>DE LA BOMBA ANATOT 125 ESTE</t>
  </si>
  <si>
    <t>ADRIAN SALAZAR CASTILLO</t>
  </si>
  <si>
    <t>EDWARD SALAZAR CHACON</t>
  </si>
  <si>
    <t>FRENTE AL CEMENTERIO DE AGUAS ZARCAS</t>
  </si>
  <si>
    <t>FRENTE A OFICINAS DEL M.A.G.</t>
  </si>
  <si>
    <t>SEDIEL SOLERA CARRANZA</t>
  </si>
  <si>
    <t>JOSUE LINARES SABORIO</t>
  </si>
  <si>
    <t>HERIBERTO ELIZONDO PEREZ</t>
  </si>
  <si>
    <t>ALLAN BARBOZA JIMENEZ</t>
  </si>
  <si>
    <t>900 MTS AL OESTE DE LA ESCUELA VICTORIANO MEN</t>
  </si>
  <si>
    <t>GABRIELA ROJAS CAMBRONERO</t>
  </si>
  <si>
    <t>DEIRY LIZANO MORA</t>
  </si>
  <si>
    <t>ctp.eneralviejo@mep.go.cr</t>
  </si>
  <si>
    <t>GUILBERT ESPINOZA RAMIREZ</t>
  </si>
  <si>
    <t>KAREN CALDERON SOLANO</t>
  </si>
  <si>
    <t>HUGO LEON RAMIREZ</t>
  </si>
  <si>
    <t>YESSICA GUERRERO MOSQUERA</t>
  </si>
  <si>
    <t>YORLENI BORBON CAMPOS</t>
  </si>
  <si>
    <t>FIDEL PICADO ATENCIO</t>
  </si>
  <si>
    <t>ANA DELIA RAMIREZ VILLALOBOS</t>
  </si>
  <si>
    <t>150 M.ESTE DE LA AGENCIA DEL BANCO DE C.R.</t>
  </si>
  <si>
    <t>ELKE MATA RIVERA</t>
  </si>
  <si>
    <t>GISELLE AMADOR CASANOVA</t>
  </si>
  <si>
    <t>XINIA BERMUDEZ ESTRADA</t>
  </si>
  <si>
    <t>FERNANDO DOWNING VILLALOBOS</t>
  </si>
  <si>
    <t>JACQUELINE AVILA ROJAS</t>
  </si>
  <si>
    <t>B° SAN LUIS, CONTIGUO INDER-CAÑAS</t>
  </si>
  <si>
    <t>ALBERTO QUIROS ABARCA</t>
  </si>
  <si>
    <t>ADAN CARANZA VILLALOBOS</t>
  </si>
  <si>
    <t>COSTADO OESTE DEPOSITO LIBRE COMER. GOLFITO</t>
  </si>
  <si>
    <t>FILIMON PONCE LOPEZ</t>
  </si>
  <si>
    <t>ABRAHAM JOSE BERROCAL ROGERS</t>
  </si>
  <si>
    <t>01107</t>
  </si>
  <si>
    <t>01106</t>
  </si>
  <si>
    <t>Desarrollo Web</t>
  </si>
  <si>
    <t>Inteligencia Artificial</t>
  </si>
  <si>
    <t>Gestión de la Producción</t>
  </si>
  <si>
    <t>Instalación y Mantenimiento de Sistemas Eléctricos Industriales</t>
  </si>
  <si>
    <t>Contabilidad y Auditoría***</t>
  </si>
  <si>
    <t>Diseño Web***</t>
  </si>
  <si>
    <t>Ejecutivo para Centros de Servicios***</t>
  </si>
  <si>
    <t>Informática en Redes de Computadoras***</t>
  </si>
  <si>
    <t>Turismo Ecológico***</t>
  </si>
  <si>
    <t>Turismo en Hotelería y Eventos Especiales***</t>
  </si>
  <si>
    <t>Automotriz***</t>
  </si>
  <si>
    <t>Dibujo Arquitectónico***</t>
  </si>
  <si>
    <t>Electrotecnia***</t>
  </si>
  <si>
    <t>Productividad y Calidad***</t>
  </si>
  <si>
    <t>Agropecuario en Producción Agrícola***</t>
  </si>
  <si>
    <t>Agropecuario en Producción Pecuaria***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</si>
</sst>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#\-####"/>
  </numFmts>
  <fonts count="10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 Light"/>
      <family val="2"/>
    </font>
    <font>
      <b/>
      <sz val="11"/>
      <color rgb="FFFF0000"/>
      <name val="Calibri Light"/>
      <family val="2"/>
    </font>
    <font>
      <sz val="11"/>
      <color rgb="FFFF0000"/>
      <name val="Calibri Light"/>
      <family val="2"/>
    </font>
    <font>
      <i/>
      <sz val="11"/>
      <color rgb="FF7F7F7F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9" tint="-0.499984740745262"/>
      <name val="Calibri"/>
      <family val="2"/>
      <scheme val="minor"/>
    </font>
    <font>
      <sz val="11"/>
      <color theme="1"/>
      <name val="Goudy"/>
      <family val="1"/>
    </font>
    <font>
      <b/>
      <sz val="11"/>
      <color rgb="FFFF0000"/>
      <name val="Goudy"/>
      <family val="1"/>
    </font>
    <font>
      <b/>
      <sz val="11"/>
      <color rgb="FF7030A0"/>
      <name val="Calibri"/>
      <family val="2"/>
      <scheme val="minor"/>
    </font>
    <font>
      <b/>
      <sz val="12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28"/>
      <color theme="1"/>
      <name val="Cambria"/>
      <family val="1"/>
      <scheme val="major"/>
    </font>
    <font>
      <i/>
      <sz val="10"/>
      <color theme="1"/>
      <name val="Cambria"/>
      <family val="1"/>
      <scheme val="major"/>
    </font>
    <font>
      <i/>
      <sz val="11"/>
      <color theme="1"/>
      <name val="Cambria"/>
      <family val="1"/>
      <scheme val="major"/>
    </font>
    <font>
      <i/>
      <sz val="12"/>
      <color theme="1"/>
      <name val="Cambria"/>
      <family val="1"/>
      <scheme val="major"/>
    </font>
    <font>
      <sz val="11"/>
      <color theme="0"/>
      <name val="Cambria"/>
      <family val="1"/>
      <scheme val="major"/>
    </font>
    <font>
      <i/>
      <sz val="28"/>
      <name val="Cambria"/>
      <family val="1"/>
      <scheme val="major"/>
    </font>
    <font>
      <sz val="11"/>
      <name val="Cambria"/>
      <family val="1"/>
      <scheme val="major"/>
    </font>
    <font>
      <sz val="10"/>
      <name val="Cambria"/>
      <family val="1"/>
      <scheme val="major"/>
    </font>
    <font>
      <b/>
      <i/>
      <sz val="28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22"/>
      <name val="Cambria"/>
      <family val="1"/>
      <scheme val="major"/>
    </font>
    <font>
      <b/>
      <sz val="20"/>
      <name val="Cambria"/>
      <family val="1"/>
      <scheme val="major"/>
    </font>
    <font>
      <i/>
      <sz val="11"/>
      <name val="Cambria"/>
      <family val="1"/>
      <scheme val="major"/>
    </font>
    <font>
      <b/>
      <sz val="11"/>
      <name val="Cambria"/>
      <family val="1"/>
      <scheme val="major"/>
    </font>
    <font>
      <b/>
      <sz val="10"/>
      <name val="Cambria"/>
      <family val="1"/>
      <scheme val="major"/>
    </font>
    <font>
      <b/>
      <sz val="10"/>
      <color theme="0"/>
      <name val="Cambria"/>
      <family val="1"/>
      <scheme val="major"/>
    </font>
    <font>
      <b/>
      <i/>
      <sz val="10"/>
      <name val="Cambria"/>
      <family val="1"/>
      <scheme val="major"/>
    </font>
    <font>
      <sz val="9"/>
      <name val="Cambria"/>
      <family val="1"/>
      <scheme val="major"/>
    </font>
    <font>
      <b/>
      <sz val="11"/>
      <color theme="1"/>
      <name val="Cambria"/>
      <family val="1"/>
      <scheme val="major"/>
    </font>
    <font>
      <i/>
      <sz val="12"/>
      <name val="Cambria"/>
      <family val="1"/>
      <scheme val="major"/>
    </font>
    <font>
      <i/>
      <sz val="10"/>
      <name val="Cambria"/>
      <family val="1"/>
      <scheme val="major"/>
    </font>
    <font>
      <b/>
      <sz val="11"/>
      <color theme="3"/>
      <name val="Cambria"/>
      <family val="1"/>
      <scheme val="major"/>
    </font>
    <font>
      <b/>
      <sz val="10"/>
      <color theme="1"/>
      <name val="Cambria"/>
      <family val="1"/>
      <scheme val="major"/>
    </font>
    <font>
      <i/>
      <sz val="11"/>
      <color rgb="FFFF0000"/>
      <name val="Cambria"/>
      <family val="1"/>
      <scheme val="major"/>
    </font>
    <font>
      <b/>
      <i/>
      <sz val="12"/>
      <name val="Cambria"/>
      <family val="1"/>
      <scheme val="major"/>
    </font>
    <font>
      <b/>
      <sz val="12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4"/>
      <name val="Cambria"/>
      <family val="1"/>
      <scheme val="major"/>
    </font>
    <font>
      <b/>
      <sz val="11"/>
      <color theme="0"/>
      <name val="Cambria"/>
      <family val="1"/>
      <scheme val="major"/>
    </font>
    <font>
      <b/>
      <sz val="14"/>
      <color theme="9" tint="-0.499984740745262"/>
      <name val="Cambria"/>
      <family val="1"/>
      <scheme val="major"/>
    </font>
    <font>
      <b/>
      <i/>
      <sz val="10"/>
      <color rgb="FFFF0000"/>
      <name val="Cambria"/>
      <family val="1"/>
      <scheme val="major"/>
    </font>
    <font>
      <u/>
      <sz val="11"/>
      <color theme="1"/>
      <name val="Cambria"/>
      <family val="1"/>
      <scheme val="major"/>
    </font>
    <font>
      <sz val="12"/>
      <name val="Cambria"/>
      <family val="1"/>
      <scheme val="major"/>
    </font>
    <font>
      <b/>
      <i/>
      <sz val="11"/>
      <color rgb="FFFF0000"/>
      <name val="Cambria"/>
      <family val="1"/>
      <scheme val="major"/>
    </font>
    <font>
      <b/>
      <sz val="14"/>
      <color theme="5" tint="-0.249977111117893"/>
      <name val="Cambria"/>
      <family val="1"/>
      <scheme val="major"/>
    </font>
    <font>
      <b/>
      <i/>
      <sz val="11"/>
      <color theme="1"/>
      <name val="Cambria"/>
      <family val="1"/>
      <scheme val="major"/>
    </font>
    <font>
      <b/>
      <sz val="9"/>
      <name val="Cambria"/>
      <family val="1"/>
      <scheme val="major"/>
    </font>
    <font>
      <b/>
      <i/>
      <sz val="12"/>
      <color theme="1"/>
      <name val="Cambria"/>
      <family val="1"/>
      <scheme val="major"/>
    </font>
    <font>
      <sz val="11"/>
      <color rgb="FFFF0000"/>
      <name val="Cambria"/>
      <family val="1"/>
      <scheme val="major"/>
    </font>
    <font>
      <b/>
      <i/>
      <sz val="11"/>
      <name val="Cambria"/>
      <family val="1"/>
      <scheme val="major"/>
    </font>
    <font>
      <b/>
      <sz val="11"/>
      <color rgb="FFFF0000"/>
      <name val="Cambria"/>
      <family val="1"/>
      <scheme val="major"/>
    </font>
    <font>
      <b/>
      <sz val="14"/>
      <color rgb="FFFF0000"/>
      <name val="Cambria"/>
      <family val="1"/>
      <scheme val="major"/>
    </font>
    <font>
      <b/>
      <i/>
      <sz val="12"/>
      <color rgb="FFFF0000"/>
      <name val="Cambria"/>
      <family val="1"/>
      <scheme val="major"/>
    </font>
    <font>
      <b/>
      <i/>
      <sz val="14"/>
      <color rgb="FFFF0000"/>
      <name val="Cambria"/>
      <family val="1"/>
      <scheme val="major"/>
    </font>
    <font>
      <b/>
      <sz val="12"/>
      <color rgb="FF7030A0"/>
      <name val="Cambria"/>
      <family val="1"/>
      <scheme val="major"/>
    </font>
    <font>
      <b/>
      <u val="double"/>
      <sz val="14"/>
      <color theme="1"/>
      <name val="Cambria"/>
      <family val="1"/>
      <scheme val="major"/>
    </font>
    <font>
      <b/>
      <i/>
      <sz val="10"/>
      <color rgb="FF002060"/>
      <name val="Cambria"/>
      <family val="1"/>
      <scheme val="major"/>
    </font>
    <font>
      <i/>
      <sz val="10"/>
      <color rgb="FF002060"/>
      <name val="Cambria"/>
      <family val="1"/>
      <scheme val="major"/>
    </font>
    <font>
      <sz val="12"/>
      <color theme="0"/>
      <name val="Cambria"/>
      <family val="1"/>
      <scheme val="major"/>
    </font>
    <font>
      <b/>
      <u/>
      <sz val="10"/>
      <name val="Cambria"/>
      <family val="1"/>
      <scheme val="major"/>
    </font>
    <font>
      <b/>
      <vertAlign val="superscript"/>
      <sz val="11"/>
      <name val="Cambria"/>
      <family val="1"/>
      <scheme val="major"/>
    </font>
    <font>
      <b/>
      <sz val="11"/>
      <color rgb="FF7030A0"/>
      <name val="Cambria"/>
      <family val="1"/>
      <scheme val="major"/>
    </font>
    <font>
      <b/>
      <sz val="11"/>
      <color rgb="FF008000"/>
      <name val="Cambria"/>
      <family val="1"/>
      <scheme val="major"/>
    </font>
    <font>
      <b/>
      <i/>
      <sz val="12"/>
      <color rgb="FF008000"/>
      <name val="Cambria"/>
      <family val="1"/>
      <scheme val="major"/>
    </font>
    <font>
      <b/>
      <i/>
      <sz val="14"/>
      <color rgb="FF7030A0"/>
      <name val="Cambria"/>
      <family val="1"/>
      <scheme val="major"/>
    </font>
    <font>
      <b/>
      <sz val="10"/>
      <color rgb="FFFF0000"/>
      <name val="Cambria"/>
      <family val="1"/>
      <scheme val="major"/>
    </font>
    <font>
      <b/>
      <i/>
      <sz val="13"/>
      <color rgb="FFFF0000"/>
      <name val="Cambria"/>
      <family val="1"/>
      <scheme val="major"/>
    </font>
    <font>
      <b/>
      <i/>
      <sz val="12"/>
      <color rgb="FF3366FF"/>
      <name val="Cambria"/>
      <family val="1"/>
      <scheme val="major"/>
    </font>
    <font>
      <b/>
      <i/>
      <sz val="14"/>
      <name val="Cambria"/>
      <family val="1"/>
      <scheme val="major"/>
    </font>
    <font>
      <b/>
      <sz val="8"/>
      <color theme="0"/>
      <name val="Cambria"/>
      <family val="1"/>
      <scheme val="major"/>
    </font>
    <font>
      <b/>
      <i/>
      <sz val="8"/>
      <color theme="0"/>
      <name val="Cambria"/>
      <family val="1"/>
      <scheme val="major"/>
    </font>
    <font>
      <sz val="8"/>
      <color theme="0"/>
      <name val="Cambria"/>
      <family val="1"/>
      <scheme val="major"/>
    </font>
    <font>
      <b/>
      <i/>
      <sz val="12"/>
      <color rgb="FF7030A0"/>
      <name val="Cambria"/>
      <family val="1"/>
      <scheme val="major"/>
    </font>
    <font>
      <b/>
      <sz val="10"/>
      <color theme="3"/>
      <name val="Cambria"/>
      <family val="1"/>
      <scheme val="major"/>
    </font>
    <font>
      <b/>
      <i/>
      <sz val="16"/>
      <color rgb="FFFF0000"/>
      <name val="Cambria"/>
      <family val="1"/>
      <scheme val="major"/>
    </font>
    <font>
      <i/>
      <sz val="10"/>
      <color rgb="FFFF0000"/>
      <name val="Cambria"/>
      <family val="1"/>
      <scheme val="major"/>
    </font>
    <font>
      <sz val="10"/>
      <color theme="1"/>
      <name val="Calibri"/>
      <family val="2"/>
      <scheme val="minor"/>
    </font>
    <font>
      <sz val="9"/>
      <color theme="1"/>
      <name val="Cambria"/>
      <family val="1"/>
      <scheme val="major"/>
    </font>
    <font>
      <b/>
      <sz val="12"/>
      <color rgb="FFFF0000"/>
      <name val="Cambria"/>
      <family val="1"/>
      <scheme val="major"/>
    </font>
    <font>
      <b/>
      <sz val="9"/>
      <color theme="1"/>
      <name val="Cambria"/>
      <family val="1"/>
      <scheme val="major"/>
    </font>
    <font>
      <sz val="9"/>
      <color theme="8" tint="-0.499984740745262"/>
      <name val="Cambria"/>
      <family val="1"/>
      <scheme val="major"/>
    </font>
    <font>
      <sz val="10"/>
      <color theme="1"/>
      <name val="Trebuchet MS"/>
      <family val="2"/>
    </font>
  </fonts>
  <fills count="3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CC"/>
        <bgColor indexed="64"/>
      </patternFill>
    </fill>
  </fills>
  <borders count="294">
    <border>
      <left/>
      <right/>
      <top/>
      <bottom/>
      <diagonal/>
    </border>
    <border>
      <left/>
      <right/>
      <top/>
      <bottom style="dashed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dashDotDot">
        <color auto="1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ashDotDot">
        <color auto="1"/>
      </bottom>
      <diagonal/>
    </border>
    <border>
      <left style="thick">
        <color auto="1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 style="slantDashDot">
        <color indexed="64"/>
      </bottom>
      <diagonal/>
    </border>
    <border>
      <left/>
      <right/>
      <top style="dashed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indexed="64"/>
      </left>
      <right/>
      <top style="thick">
        <color auto="1"/>
      </top>
      <bottom style="thin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ck">
        <color indexed="64"/>
      </right>
      <top/>
      <bottom/>
      <diagonal/>
    </border>
    <border>
      <left/>
      <right/>
      <top style="dashDot">
        <color indexed="64"/>
      </top>
      <bottom style="dashDot">
        <color indexed="64"/>
      </bottom>
      <diagonal/>
    </border>
    <border>
      <left style="thick">
        <color indexed="64"/>
      </left>
      <right/>
      <top style="dashDot">
        <color indexed="64"/>
      </top>
      <bottom style="dashDot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/>
      <bottom style="dashDot">
        <color indexed="64"/>
      </bottom>
      <diagonal/>
    </border>
    <border>
      <left style="thick">
        <color indexed="64"/>
      </left>
      <right/>
      <top/>
      <bottom style="dashDot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ck">
        <color auto="1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auto="1"/>
      </right>
      <top style="thick">
        <color indexed="64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thick">
        <color indexed="64"/>
      </left>
      <right/>
      <top/>
      <bottom/>
      <diagonal/>
    </border>
    <border>
      <left/>
      <right/>
      <top style="dashed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slantDashDot">
        <color auto="1"/>
      </left>
      <right style="slantDashDot">
        <color auto="1"/>
      </right>
      <top style="thick">
        <color auto="1"/>
      </top>
      <bottom/>
      <diagonal/>
    </border>
    <border>
      <left style="slantDashDot">
        <color auto="1"/>
      </left>
      <right style="slantDashDot">
        <color auto="1"/>
      </right>
      <top/>
      <bottom/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slantDashDot">
        <color auto="1"/>
      </left>
      <right style="slantDashDot">
        <color auto="1"/>
      </right>
      <top/>
      <bottom style="thick">
        <color auto="1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dashed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dashed">
        <color indexed="64"/>
      </bottom>
      <diagonal/>
    </border>
    <border>
      <left/>
      <right/>
      <top/>
      <bottom style="hair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thick">
        <color auto="1"/>
      </bottom>
      <diagonal/>
    </border>
    <border>
      <left style="thick">
        <color indexed="64"/>
      </left>
      <right/>
      <top style="hair">
        <color indexed="64"/>
      </top>
      <bottom style="thick">
        <color auto="1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auto="1"/>
      </right>
      <top/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dashed">
        <color indexed="64"/>
      </top>
      <bottom/>
      <diagonal/>
    </border>
    <border>
      <left style="dotted">
        <color indexed="64"/>
      </left>
      <right style="dotted">
        <color indexed="64"/>
      </right>
      <top style="dashed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ck">
        <color auto="1"/>
      </bottom>
      <diagonal/>
    </border>
    <border>
      <left style="thick">
        <color indexed="64"/>
      </left>
      <right/>
      <top style="dotted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ck">
        <color indexed="64"/>
      </bottom>
      <diagonal/>
    </border>
    <border>
      <left style="medium">
        <color auto="1"/>
      </left>
      <right/>
      <top style="dotted">
        <color indexed="64"/>
      </top>
      <bottom style="thick">
        <color auto="1"/>
      </bottom>
      <diagonal/>
    </border>
    <border>
      <left/>
      <right style="medium">
        <color indexed="64"/>
      </right>
      <top style="dotted">
        <color indexed="64"/>
      </top>
      <bottom style="thick">
        <color indexed="64"/>
      </bottom>
      <diagonal/>
    </border>
    <border>
      <left style="medium">
        <color indexed="64"/>
      </left>
      <right/>
      <top style="slantDashDot">
        <color indexed="64"/>
      </top>
      <bottom style="thin">
        <color indexed="64"/>
      </bottom>
      <diagonal/>
    </border>
    <border>
      <left/>
      <right/>
      <top style="slantDashDot">
        <color indexed="64"/>
      </top>
      <bottom style="thin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medium">
        <color auto="1"/>
      </left>
      <right/>
      <top style="dotted">
        <color auto="1"/>
      </top>
      <bottom/>
      <diagonal/>
    </border>
    <border>
      <left style="dotted">
        <color auto="1"/>
      </left>
      <right/>
      <top style="dotted">
        <color auto="1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ashDot">
        <color indexed="64"/>
      </bottom>
      <diagonal/>
    </border>
    <border>
      <left style="dotted">
        <color indexed="64"/>
      </left>
      <right style="dotted">
        <color indexed="64"/>
      </right>
      <top style="dashDot">
        <color indexed="64"/>
      </top>
      <bottom style="dashDot">
        <color indexed="64"/>
      </bottom>
      <diagonal/>
    </border>
    <border>
      <left style="dotted">
        <color indexed="64"/>
      </left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slantDashDot">
        <color indexed="64"/>
      </top>
      <bottom/>
      <diagonal/>
    </border>
    <border>
      <left style="thick">
        <color indexed="64"/>
      </left>
      <right/>
      <top style="thick">
        <color auto="1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slantDashDot">
        <color auto="1"/>
      </right>
      <top style="hair">
        <color indexed="64"/>
      </top>
      <bottom style="dotted">
        <color indexed="64"/>
      </bottom>
      <diagonal/>
    </border>
    <border>
      <left style="thick">
        <color indexed="64"/>
      </left>
      <right/>
      <top style="hair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ck">
        <color indexed="64"/>
      </bottom>
      <diagonal/>
    </border>
    <border>
      <left/>
      <right/>
      <top style="slantDashDot">
        <color auto="1"/>
      </top>
      <bottom/>
      <diagonal/>
    </border>
    <border>
      <left style="dotted">
        <color indexed="64"/>
      </left>
      <right/>
      <top style="thick">
        <color indexed="64"/>
      </top>
      <bottom/>
      <diagonal/>
    </border>
    <border>
      <left style="dotted">
        <color indexed="64"/>
      </left>
      <right/>
      <top/>
      <bottom style="thick">
        <color indexed="64"/>
      </bottom>
      <diagonal/>
    </border>
    <border>
      <left style="dotted">
        <color auto="1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thick">
        <color indexed="64"/>
      </bottom>
      <diagonal/>
    </border>
    <border>
      <left style="dotted">
        <color indexed="64"/>
      </left>
      <right style="medium">
        <color auto="1"/>
      </right>
      <top style="thick">
        <color auto="1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tted">
        <color indexed="64"/>
      </left>
      <right/>
      <top style="thick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/>
      <diagonal/>
    </border>
    <border>
      <left style="dotted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thick">
        <color indexed="64"/>
      </top>
      <bottom style="thick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dotted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dotted">
        <color indexed="64"/>
      </right>
      <top style="thick">
        <color indexed="64"/>
      </top>
      <bottom style="medium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thick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dotted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hair">
        <color indexed="64"/>
      </right>
      <top style="dotted">
        <color indexed="64"/>
      </top>
      <bottom style="thick">
        <color auto="1"/>
      </bottom>
      <diagonal/>
    </border>
    <border>
      <left/>
      <right style="medium">
        <color auto="1"/>
      </right>
      <top style="dotted">
        <color auto="1"/>
      </top>
      <bottom/>
      <diagonal/>
    </border>
    <border>
      <left style="slantDashDot">
        <color auto="1"/>
      </left>
      <right style="thick">
        <color indexed="64"/>
      </right>
      <top style="hair">
        <color indexed="64"/>
      </top>
      <bottom style="dotted">
        <color auto="1"/>
      </bottom>
      <diagonal/>
    </border>
    <border>
      <left style="thick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medium">
        <color auto="1"/>
      </right>
      <top style="dott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dashDotDot">
        <color indexed="64"/>
      </top>
      <bottom style="thick">
        <color indexed="64"/>
      </bottom>
      <diagonal/>
    </border>
    <border>
      <left style="thick">
        <color indexed="64"/>
      </left>
      <right/>
      <top style="dashDotDot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dashDotDot">
        <color indexed="64"/>
      </top>
      <bottom style="thick">
        <color indexed="64"/>
      </bottom>
      <diagonal/>
    </border>
    <border>
      <left/>
      <right style="medium">
        <color indexed="64"/>
      </right>
      <top style="dashDotDot">
        <color indexed="64"/>
      </top>
      <bottom style="thick">
        <color indexed="64"/>
      </bottom>
      <diagonal/>
    </border>
    <border>
      <left style="medium">
        <color auto="1"/>
      </left>
      <right/>
      <top style="dashDotDot">
        <color indexed="64"/>
      </top>
      <bottom style="thick">
        <color indexed="64"/>
      </bottom>
      <diagonal/>
    </border>
    <border>
      <left style="dotted">
        <color indexed="64"/>
      </left>
      <right style="medium">
        <color indexed="64"/>
      </right>
      <top style="dashDotDot">
        <color indexed="64"/>
      </top>
      <bottom style="thick">
        <color indexed="64"/>
      </bottom>
      <diagonal/>
    </border>
    <border>
      <left style="dotted">
        <color auto="1"/>
      </left>
      <right/>
      <top style="dashDotDot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slantDashDot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ck">
        <color indexed="64"/>
      </top>
      <bottom style="slantDashDot">
        <color indexed="64"/>
      </bottom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 style="dotted">
        <color indexed="64"/>
      </right>
      <top style="slantDashDot">
        <color auto="1"/>
      </top>
      <bottom/>
      <diagonal/>
    </border>
    <border>
      <left style="slantDashDot">
        <color auto="1"/>
      </left>
      <right style="thick">
        <color auto="1"/>
      </right>
      <top style="slantDashDot">
        <color indexed="64"/>
      </top>
      <bottom/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thick">
        <color auto="1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auto="1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thick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ck">
        <color indexed="64"/>
      </left>
      <right/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/>
      <bottom style="medium">
        <color auto="1"/>
      </bottom>
      <diagonal/>
    </border>
    <border>
      <left/>
      <right style="medium">
        <color auto="1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hair">
        <color auto="1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medium">
        <color auto="1"/>
      </right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slantDashDot">
        <color auto="1"/>
      </left>
      <right/>
      <top/>
      <bottom style="thick">
        <color indexed="64"/>
      </bottom>
      <diagonal/>
    </border>
    <border>
      <left style="slantDashDot">
        <color auto="1"/>
      </left>
      <right/>
      <top style="slantDashDot">
        <color auto="1"/>
      </top>
      <bottom/>
      <diagonal/>
    </border>
    <border>
      <left style="slantDashDot">
        <color auto="1"/>
      </left>
      <right style="thick">
        <color auto="1"/>
      </right>
      <top/>
      <bottom/>
      <diagonal/>
    </border>
    <border>
      <left style="thick">
        <color auto="1"/>
      </left>
      <right style="dotted">
        <color indexed="64"/>
      </right>
      <top/>
      <bottom/>
      <diagonal/>
    </border>
    <border>
      <left/>
      <right style="thick">
        <color indexed="64"/>
      </right>
      <top style="hair">
        <color indexed="64"/>
      </top>
      <bottom style="dashed">
        <color indexed="64"/>
      </bottom>
      <diagonal/>
    </border>
    <border>
      <left style="thick">
        <color auto="1"/>
      </left>
      <right style="dotted">
        <color indexed="64"/>
      </right>
      <top style="thick">
        <color indexed="64"/>
      </top>
      <bottom/>
      <diagonal/>
    </border>
    <border>
      <left style="thick">
        <color auto="1"/>
      </left>
      <right style="dotted">
        <color indexed="64"/>
      </right>
      <top/>
      <bottom style="thick">
        <color indexed="64"/>
      </bottom>
      <diagonal/>
    </border>
    <border>
      <left style="slantDashDot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slantDashDot">
        <color indexed="64"/>
      </right>
      <top style="thick">
        <color indexed="64"/>
      </top>
      <bottom style="thin">
        <color indexed="64"/>
      </bottom>
      <diagonal/>
    </border>
    <border>
      <left/>
      <right style="slantDashDot">
        <color auto="1"/>
      </right>
      <top/>
      <bottom style="thick">
        <color indexed="64"/>
      </bottom>
      <diagonal/>
    </border>
    <border>
      <left style="slantDashDot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slantDashDot">
        <color indexed="64"/>
      </right>
      <top style="thick">
        <color indexed="64"/>
      </top>
      <bottom style="medium">
        <color indexed="64"/>
      </bottom>
      <diagonal/>
    </border>
    <border>
      <left style="slantDashDot">
        <color indexed="64"/>
      </left>
      <right/>
      <top/>
      <bottom/>
      <diagonal/>
    </border>
    <border>
      <left/>
      <right style="slantDashDot">
        <color auto="1"/>
      </right>
      <top/>
      <bottom/>
      <diagonal/>
    </border>
    <border>
      <left style="slantDashDot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slantDashDot">
        <color indexed="64"/>
      </right>
      <top style="dotted">
        <color auto="1"/>
      </top>
      <bottom style="dotted">
        <color auto="1"/>
      </bottom>
      <diagonal/>
    </border>
    <border>
      <left style="slantDashDot">
        <color indexed="64"/>
      </left>
      <right/>
      <top/>
      <bottom style="dashDot">
        <color indexed="64"/>
      </bottom>
      <diagonal/>
    </border>
    <border>
      <left/>
      <right style="slantDashDot">
        <color indexed="64"/>
      </right>
      <top/>
      <bottom style="dashDot">
        <color indexed="64"/>
      </bottom>
      <diagonal/>
    </border>
    <border>
      <left style="slantDashDot">
        <color indexed="64"/>
      </left>
      <right/>
      <top style="dashDot">
        <color indexed="64"/>
      </top>
      <bottom style="dashDot">
        <color indexed="64"/>
      </bottom>
      <diagonal/>
    </border>
    <border>
      <left/>
      <right style="slantDashDot">
        <color indexed="64"/>
      </right>
      <top style="dashDot">
        <color indexed="64"/>
      </top>
      <bottom style="dashDot">
        <color indexed="64"/>
      </bottom>
      <diagonal/>
    </border>
    <border>
      <left style="thick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thick">
        <color indexed="64"/>
      </bottom>
      <diagonal/>
    </border>
    <border>
      <left style="slantDashDot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slantDashDot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tted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ck">
        <color indexed="64"/>
      </left>
      <right style="dotted">
        <color indexed="64"/>
      </right>
      <top style="thick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auto="1"/>
      </bottom>
      <diagonal/>
    </border>
    <border>
      <left style="dotted">
        <color auto="1"/>
      </left>
      <right/>
      <top/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dotted">
        <color auto="1"/>
      </left>
      <right/>
      <top style="hair">
        <color indexed="64"/>
      </top>
      <bottom/>
      <diagonal/>
    </border>
    <border>
      <left/>
      <right/>
      <top style="dashDot">
        <color indexed="64"/>
      </top>
      <bottom style="hair">
        <color indexed="64"/>
      </bottom>
      <diagonal/>
    </border>
    <border>
      <left style="medium">
        <color indexed="64"/>
      </left>
      <right/>
      <top style="dashDot">
        <color indexed="64"/>
      </top>
      <bottom style="hair">
        <color indexed="64"/>
      </bottom>
      <diagonal/>
    </border>
    <border>
      <left style="dotted">
        <color auto="1"/>
      </left>
      <right/>
      <top style="dashDot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ashDot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dashDot">
        <color indexed="64"/>
      </bottom>
      <diagonal/>
    </border>
    <border>
      <left style="medium">
        <color auto="1"/>
      </left>
      <right/>
      <top style="hair">
        <color indexed="64"/>
      </top>
      <bottom style="dashDot">
        <color indexed="64"/>
      </bottom>
      <diagonal/>
    </border>
    <border>
      <left style="dotted">
        <color auto="1"/>
      </left>
      <right/>
      <top style="hair">
        <color indexed="64"/>
      </top>
      <bottom style="dashDot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auto="1"/>
      </left>
      <right/>
      <top style="hair">
        <color indexed="64"/>
      </top>
      <bottom style="medium">
        <color indexed="64"/>
      </bottom>
      <diagonal/>
    </border>
    <border>
      <left style="dotted">
        <color auto="1"/>
      </left>
      <right/>
      <top style="hair">
        <color indexed="64"/>
      </top>
      <bottom style="medium">
        <color indexed="64"/>
      </bottom>
      <diagonal/>
    </border>
    <border>
      <left style="mediumDashed">
        <color indexed="64"/>
      </left>
      <right/>
      <top style="thick">
        <color indexed="64"/>
      </top>
      <bottom style="medium">
        <color indexed="64"/>
      </bottom>
      <diagonal/>
    </border>
    <border>
      <left style="slantDashDot">
        <color indexed="64"/>
      </left>
      <right/>
      <top style="thick">
        <color indexed="64"/>
      </top>
      <bottom/>
      <diagonal/>
    </border>
    <border>
      <left/>
      <right style="mediumDashed">
        <color indexed="64"/>
      </right>
      <top style="medium">
        <color indexed="64"/>
      </top>
      <bottom/>
      <diagonal/>
    </border>
    <border>
      <left style="mediumDashed">
        <color indexed="64"/>
      </left>
      <right/>
      <top style="medium">
        <color indexed="64"/>
      </top>
      <bottom/>
      <diagonal/>
    </border>
    <border>
      <left style="slantDashDot">
        <color indexed="64"/>
      </left>
      <right/>
      <top/>
      <bottom style="medium">
        <color indexed="64"/>
      </bottom>
      <diagonal/>
    </border>
    <border>
      <left/>
      <right style="mediumDashed">
        <color indexed="64"/>
      </right>
      <top/>
      <bottom style="thin">
        <color indexed="64"/>
      </bottom>
      <diagonal/>
    </border>
    <border>
      <left style="mediumDashed">
        <color indexed="64"/>
      </left>
      <right/>
      <top/>
      <bottom style="thin">
        <color indexed="64"/>
      </bottom>
      <diagonal/>
    </border>
    <border>
      <left style="slantDashDot">
        <color indexed="64"/>
      </left>
      <right/>
      <top style="medium">
        <color indexed="64"/>
      </top>
      <bottom style="thin">
        <color indexed="64"/>
      </bottom>
      <diagonal/>
    </border>
    <border>
      <left style="mediumDashed">
        <color indexed="64"/>
      </left>
      <right/>
      <top/>
      <bottom style="thick">
        <color indexed="64"/>
      </bottom>
      <diagonal/>
    </border>
    <border>
      <left style="mediumDashed">
        <color indexed="64"/>
      </left>
      <right/>
      <top/>
      <bottom/>
      <diagonal/>
    </border>
    <border>
      <left style="mediumDashed">
        <color indexed="64"/>
      </left>
      <right/>
      <top style="dotted">
        <color auto="1"/>
      </top>
      <bottom style="dotted">
        <color auto="1"/>
      </bottom>
      <diagonal/>
    </border>
    <border>
      <left style="thick">
        <color indexed="64"/>
      </left>
      <right/>
      <top style="dotted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 style="medium">
        <color indexed="64"/>
      </left>
      <right/>
      <top style="dotted">
        <color indexed="64"/>
      </top>
      <bottom style="hair">
        <color indexed="64"/>
      </bottom>
      <diagonal/>
    </border>
    <border>
      <left style="mediumDashed">
        <color indexed="64"/>
      </left>
      <right/>
      <top style="dotted">
        <color indexed="64"/>
      </top>
      <bottom style="hair">
        <color indexed="64"/>
      </bottom>
      <diagonal/>
    </border>
    <border>
      <left style="slantDashDot">
        <color indexed="64"/>
      </left>
      <right/>
      <top style="dotted">
        <color indexed="64"/>
      </top>
      <bottom style="hair">
        <color indexed="64"/>
      </bottom>
      <diagonal/>
    </border>
    <border>
      <left style="mediumDashed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 style="thick">
        <color indexed="64"/>
      </right>
      <top style="slantDashDot">
        <color indexed="64"/>
      </top>
      <bottom/>
      <diagonal/>
    </border>
    <border>
      <left style="mediumDashed">
        <color indexed="64"/>
      </left>
      <right/>
      <top style="slantDashDot">
        <color indexed="64"/>
      </top>
      <bottom/>
      <diagonal/>
    </border>
    <border>
      <left/>
      <right style="thick">
        <color indexed="64"/>
      </right>
      <top style="dashed">
        <color indexed="64"/>
      </top>
      <bottom/>
      <diagonal/>
    </border>
    <border>
      <left style="slantDashDot">
        <color indexed="64"/>
      </left>
      <right/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slantDashDot">
        <color auto="1"/>
      </right>
      <top style="thin">
        <color indexed="64"/>
      </top>
      <bottom style="thick">
        <color indexed="64"/>
      </bottom>
      <diagonal/>
    </border>
    <border>
      <left/>
      <right style="slantDashDot">
        <color auto="1"/>
      </right>
      <top style="dotted">
        <color indexed="64"/>
      </top>
      <bottom style="hair">
        <color indexed="64"/>
      </bottom>
      <diagonal/>
    </border>
    <border>
      <left/>
      <right style="slantDashDot">
        <color auto="1"/>
      </right>
      <top style="hair">
        <color indexed="64"/>
      </top>
      <bottom style="hair">
        <color indexed="64"/>
      </bottom>
      <diagonal/>
    </border>
    <border>
      <left/>
      <right style="slantDashDot">
        <color auto="1"/>
      </right>
      <top style="slantDashDot">
        <color auto="1"/>
      </top>
      <bottom/>
      <diagonal/>
    </border>
    <border>
      <left/>
      <right style="medium">
        <color auto="1"/>
      </right>
      <top style="dashDot">
        <color indexed="64"/>
      </top>
      <bottom style="dashDot">
        <color indexed="64"/>
      </bottom>
      <diagonal/>
    </border>
    <border>
      <left style="medium">
        <color indexed="64"/>
      </left>
      <right/>
      <top style="dashDot">
        <color indexed="64"/>
      </top>
      <bottom style="dashDot">
        <color indexed="64"/>
      </bottom>
      <diagonal/>
    </border>
    <border>
      <left style="dotted">
        <color auto="1"/>
      </left>
      <right/>
      <top style="dashDot">
        <color indexed="64"/>
      </top>
      <bottom style="dashDot">
        <color indexed="64"/>
      </bottom>
      <diagonal/>
    </border>
    <border>
      <left style="slantDashDot">
        <color indexed="64"/>
      </left>
      <right/>
      <top style="dotted">
        <color indexed="64"/>
      </top>
      <bottom style="slantDashDot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slantDashDot">
        <color indexed="64"/>
      </bottom>
      <diagonal/>
    </border>
    <border>
      <left style="medium">
        <color auto="1"/>
      </left>
      <right/>
      <top style="dotted">
        <color indexed="64"/>
      </top>
      <bottom style="slantDashDot">
        <color indexed="64"/>
      </bottom>
      <diagonal/>
    </border>
    <border>
      <left style="dotted">
        <color indexed="64"/>
      </left>
      <right style="dotted">
        <color indexed="64"/>
      </right>
      <top style="slantDashDot">
        <color indexed="64"/>
      </top>
      <bottom style="dotted">
        <color indexed="64"/>
      </bottom>
      <diagonal/>
    </border>
    <border>
      <left style="dotted">
        <color indexed="64"/>
      </left>
      <right/>
      <top style="slantDashDot">
        <color indexed="64"/>
      </top>
      <bottom style="dotted">
        <color indexed="64"/>
      </bottom>
      <diagonal/>
    </border>
    <border>
      <left/>
      <right/>
      <top style="dotted">
        <color auto="1"/>
      </top>
      <bottom style="dashDotDot">
        <color auto="1"/>
      </bottom>
      <diagonal/>
    </border>
    <border>
      <left style="thick">
        <color indexed="64"/>
      </left>
      <right/>
      <top style="dotted">
        <color auto="1"/>
      </top>
      <bottom style="dashDotDot">
        <color auto="1"/>
      </bottom>
      <diagonal/>
    </border>
    <border>
      <left style="dotted">
        <color indexed="64"/>
      </left>
      <right/>
      <top style="dotted">
        <color auto="1"/>
      </top>
      <bottom style="dashDotDot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dashDot">
        <color auto="1"/>
      </bottom>
      <diagonal/>
    </border>
    <border>
      <left/>
      <right style="thick">
        <color indexed="64"/>
      </right>
      <top style="dotted">
        <color auto="1"/>
      </top>
      <bottom style="dashDotDot">
        <color auto="1"/>
      </bottom>
      <diagonal/>
    </border>
    <border>
      <left/>
      <right style="thick">
        <color indexed="64"/>
      </right>
      <top style="dotted">
        <color indexed="64"/>
      </top>
      <bottom style="hair">
        <color indexed="64"/>
      </bottom>
      <diagonal/>
    </border>
    <border>
      <left/>
      <right style="medium">
        <color indexed="64"/>
      </right>
      <top style="dotted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dotted">
        <color indexed="64"/>
      </bottom>
      <diagonal/>
    </border>
    <border>
      <left/>
      <right style="medium">
        <color auto="1"/>
      </right>
      <top style="hair">
        <color indexed="64"/>
      </top>
      <bottom style="dotted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18" applyNumberFormat="0" applyFill="0" applyAlignment="0" applyProtection="0"/>
    <xf numFmtId="0" fontId="12" fillId="0" borderId="119" applyNumberFormat="0" applyFill="0" applyAlignment="0" applyProtection="0"/>
    <xf numFmtId="0" fontId="13" fillId="0" borderId="120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121" applyNumberFormat="0" applyAlignment="0" applyProtection="0"/>
    <xf numFmtId="0" fontId="18" fillId="8" borderId="122" applyNumberFormat="0" applyAlignment="0" applyProtection="0"/>
    <xf numFmtId="0" fontId="19" fillId="8" borderId="121" applyNumberFormat="0" applyAlignment="0" applyProtection="0"/>
    <xf numFmtId="0" fontId="20" fillId="0" borderId="123" applyNumberFormat="0" applyFill="0" applyAlignment="0" applyProtection="0"/>
    <xf numFmtId="0" fontId="21" fillId="9" borderId="124" applyNumberFormat="0" applyAlignment="0" applyProtection="0"/>
    <xf numFmtId="0" fontId="9" fillId="10" borderId="125" applyNumberFormat="0" applyFont="0" applyAlignment="0" applyProtection="0"/>
    <xf numFmtId="0" fontId="22" fillId="0" borderId="126" applyNumberFormat="0" applyFill="0" applyAlignment="0" applyProtection="0"/>
    <xf numFmtId="0" fontId="23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23" fillId="34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1028">
    <xf numFmtId="0" fontId="0" fillId="0" borderId="0" xfId="0"/>
    <xf numFmtId="0" fontId="3" fillId="0" borderId="0" xfId="0" applyFont="1"/>
    <xf numFmtId="1" fontId="4" fillId="0" borderId="0" xfId="0" applyNumberFormat="1" applyFont="1" applyAlignment="1">
      <alignment horizontal="center"/>
    </xf>
    <xf numFmtId="1" fontId="5" fillId="3" borderId="0" xfId="0" applyNumberFormat="1" applyFont="1" applyFill="1"/>
    <xf numFmtId="0" fontId="5" fillId="0" borderId="0" xfId="0" applyFont="1"/>
    <xf numFmtId="1" fontId="3" fillId="0" borderId="0" xfId="0" applyNumberFormat="1" applyFont="1"/>
    <xf numFmtId="0" fontId="7" fillId="0" borderId="0" xfId="0" applyFont="1"/>
    <xf numFmtId="1" fontId="8" fillId="0" borderId="0" xfId="0" applyNumberFormat="1" applyFont="1"/>
    <xf numFmtId="1" fontId="1" fillId="36" borderId="0" xfId="0" quotePrefix="1" applyNumberFormat="1" applyFont="1" applyFill="1"/>
    <xf numFmtId="0" fontId="0" fillId="0" borderId="0" xfId="0"/>
    <xf numFmtId="1" fontId="0" fillId="0" borderId="0" xfId="0" applyNumberFormat="1"/>
    <xf numFmtId="1" fontId="25" fillId="37" borderId="0" xfId="0" applyNumberFormat="1" applyFont="1" applyFill="1" applyAlignment="1">
      <alignment horizontal="left"/>
    </xf>
    <xf numFmtId="0" fontId="26" fillId="0" borderId="0" xfId="0" applyFont="1"/>
    <xf numFmtId="1" fontId="28" fillId="38" borderId="0" xfId="0" applyNumberFormat="1" applyFont="1" applyFill="1" applyAlignment="1">
      <alignment wrapText="1"/>
    </xf>
    <xf numFmtId="0" fontId="27" fillId="0" borderId="0" xfId="0" applyFont="1" applyAlignment="1">
      <alignment horizontal="center"/>
    </xf>
    <xf numFmtId="0" fontId="27" fillId="36" borderId="0" xfId="0" applyFont="1" applyFill="1" applyAlignment="1">
      <alignment horizontal="center"/>
    </xf>
    <xf numFmtId="1" fontId="27" fillId="0" borderId="0" xfId="0" applyNumberFormat="1" applyFont="1"/>
    <xf numFmtId="1" fontId="27" fillId="35" borderId="0" xfId="0" applyNumberFormat="1" applyFont="1" applyFill="1"/>
    <xf numFmtId="1" fontId="27" fillId="36" borderId="0" xfId="0" applyNumberFormat="1" applyFont="1" applyFill="1"/>
    <xf numFmtId="0" fontId="27" fillId="0" borderId="0" xfId="0" applyFont="1"/>
    <xf numFmtId="1" fontId="26" fillId="0" borderId="0" xfId="0" applyNumberFormat="1" applyFont="1"/>
    <xf numFmtId="0" fontId="26" fillId="0" borderId="0" xfId="0" applyFont="1" applyFill="1"/>
    <xf numFmtId="0" fontId="29" fillId="0" borderId="0" xfId="0" applyFont="1" applyProtection="1">
      <protection hidden="1"/>
    </xf>
    <xf numFmtId="0" fontId="30" fillId="0" borderId="0" xfId="0" applyFont="1" applyProtection="1">
      <protection hidden="1"/>
    </xf>
    <xf numFmtId="0" fontId="32" fillId="0" borderId="0" xfId="0" applyFont="1" applyAlignment="1" applyProtection="1">
      <alignment horizontal="centerContinuous" vertical="center"/>
      <protection hidden="1"/>
    </xf>
    <xf numFmtId="0" fontId="33" fillId="0" borderId="0" xfId="0" applyFont="1" applyAlignment="1" applyProtection="1">
      <alignment horizontal="centerContinuous" vertical="center"/>
      <protection hidden="1"/>
    </xf>
    <xf numFmtId="0" fontId="34" fillId="0" borderId="0" xfId="0" applyFont="1" applyBorder="1" applyAlignment="1" applyProtection="1">
      <protection hidden="1"/>
    </xf>
    <xf numFmtId="0" fontId="35" fillId="0" borderId="0" xfId="0" applyFont="1" applyFill="1" applyAlignment="1" applyProtection="1">
      <alignment horizontal="center"/>
      <protection hidden="1"/>
    </xf>
    <xf numFmtId="0" fontId="37" fillId="0" borderId="0" xfId="0" applyFont="1" applyProtection="1">
      <protection hidden="1"/>
    </xf>
    <xf numFmtId="0" fontId="38" fillId="0" borderId="0" xfId="0" applyFont="1" applyProtection="1">
      <protection hidden="1"/>
    </xf>
    <xf numFmtId="0" fontId="40" fillId="0" borderId="0" xfId="0" applyFont="1" applyProtection="1">
      <protection hidden="1"/>
    </xf>
    <xf numFmtId="0" fontId="30" fillId="0" borderId="0" xfId="0" applyFont="1" applyAlignment="1" applyProtection="1">
      <alignment vertical="center"/>
      <protection hidden="1"/>
    </xf>
    <xf numFmtId="0" fontId="41" fillId="0" borderId="0" xfId="0" applyFont="1" applyAlignment="1" applyProtection="1">
      <alignment vertical="center"/>
      <protection hidden="1"/>
    </xf>
    <xf numFmtId="0" fontId="30" fillId="0" borderId="0" xfId="0" applyFont="1" applyBorder="1" applyAlignment="1" applyProtection="1">
      <alignment horizontal="right" vertical="center"/>
      <protection hidden="1"/>
    </xf>
    <xf numFmtId="49" fontId="42" fillId="2" borderId="67" xfId="0" applyNumberFormat="1" applyFont="1" applyFill="1" applyBorder="1" applyAlignment="1" applyProtection="1">
      <alignment horizontal="center" vertical="center" shrinkToFit="1"/>
      <protection locked="0" hidden="1"/>
    </xf>
    <xf numFmtId="0" fontId="30" fillId="0" borderId="0" xfId="0" applyFont="1" applyFill="1" applyBorder="1" applyAlignment="1" applyProtection="1">
      <alignment horizontal="right" vertical="center"/>
      <protection hidden="1"/>
    </xf>
    <xf numFmtId="0" fontId="30" fillId="0" borderId="0" xfId="0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Border="1" applyAlignment="1" applyProtection="1">
      <alignment vertical="center"/>
      <protection hidden="1"/>
    </xf>
    <xf numFmtId="0" fontId="30" fillId="0" borderId="0" xfId="0" applyFont="1" applyFill="1" applyBorder="1" applyProtection="1">
      <protection hidden="1"/>
    </xf>
    <xf numFmtId="0" fontId="30" fillId="0" borderId="0" xfId="0" applyFont="1" applyAlignment="1" applyProtection="1">
      <alignment horizontal="right" vertical="center"/>
      <protection hidden="1"/>
    </xf>
    <xf numFmtId="164" fontId="44" fillId="2" borderId="67" xfId="0" applyNumberFormat="1" applyFont="1" applyFill="1" applyBorder="1" applyAlignment="1" applyProtection="1">
      <alignment horizontal="center" vertical="center" shrinkToFit="1"/>
      <protection locked="0" hidden="1"/>
    </xf>
    <xf numFmtId="164" fontId="44" fillId="0" borderId="0" xfId="0" applyNumberFormat="1" applyFont="1" applyFill="1" applyBorder="1" applyAlignment="1" applyProtection="1">
      <alignment horizontal="center" vertical="center"/>
      <protection hidden="1"/>
    </xf>
    <xf numFmtId="0" fontId="40" fillId="0" borderId="0" xfId="0" applyFont="1" applyFill="1" applyBorder="1" applyProtection="1">
      <protection hidden="1"/>
    </xf>
    <xf numFmtId="0" fontId="30" fillId="0" borderId="0" xfId="0" applyFont="1" applyAlignment="1" applyProtection="1">
      <alignment horizontal="right" vertical="center" wrapText="1"/>
      <protection hidden="1"/>
    </xf>
    <xf numFmtId="0" fontId="46" fillId="0" borderId="0" xfId="0" applyFont="1" applyFill="1" applyBorder="1" applyAlignment="1" applyProtection="1">
      <alignment horizontal="center" vertical="center"/>
      <protection hidden="1"/>
    </xf>
    <xf numFmtId="0" fontId="47" fillId="0" borderId="0" xfId="0" applyFont="1" applyFill="1" applyBorder="1" applyAlignment="1" applyProtection="1">
      <alignment horizontal="center" vertical="center"/>
      <protection hidden="1"/>
    </xf>
    <xf numFmtId="0" fontId="41" fillId="0" borderId="0" xfId="0" applyFont="1" applyFill="1" applyBorder="1" applyAlignment="1" applyProtection="1">
      <alignment vertical="center"/>
      <protection hidden="1"/>
    </xf>
    <xf numFmtId="0" fontId="30" fillId="0" borderId="0" xfId="0" applyFont="1" applyFill="1" applyProtection="1">
      <protection hidden="1"/>
    </xf>
    <xf numFmtId="0" fontId="44" fillId="0" borderId="0" xfId="0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right" vertical="center"/>
      <protection hidden="1"/>
    </xf>
    <xf numFmtId="0" fontId="44" fillId="0" borderId="0" xfId="0" applyFont="1" applyFill="1" applyBorder="1" applyAlignment="1" applyProtection="1">
      <alignment horizontal="left" vertical="center"/>
      <protection hidden="1"/>
    </xf>
    <xf numFmtId="0" fontId="40" fillId="0" borderId="0" xfId="0" applyFont="1" applyFill="1" applyProtection="1">
      <protection hidden="1"/>
    </xf>
    <xf numFmtId="0" fontId="30" fillId="0" borderId="9" xfId="0" applyFont="1" applyFill="1" applyBorder="1" applyAlignment="1" applyProtection="1">
      <alignment vertical="center"/>
      <protection hidden="1"/>
    </xf>
    <xf numFmtId="0" fontId="30" fillId="0" borderId="9" xfId="0" applyFont="1" applyFill="1" applyBorder="1" applyAlignment="1" applyProtection="1">
      <alignment horizontal="right" vertical="center"/>
      <protection hidden="1"/>
    </xf>
    <xf numFmtId="0" fontId="44" fillId="0" borderId="9" xfId="0" applyFont="1" applyFill="1" applyBorder="1" applyAlignment="1" applyProtection="1">
      <alignment horizontal="left" vertical="center"/>
      <protection hidden="1"/>
    </xf>
    <xf numFmtId="0" fontId="37" fillId="0" borderId="0" xfId="0" applyFont="1" applyFill="1" applyBorder="1" applyAlignment="1" applyProtection="1">
      <alignment vertical="center"/>
      <protection hidden="1"/>
    </xf>
    <xf numFmtId="0" fontId="48" fillId="0" borderId="0" xfId="0" applyFont="1" applyFill="1" applyBorder="1" applyAlignment="1" applyProtection="1">
      <alignment horizontal="center" vertical="center"/>
      <protection hidden="1"/>
    </xf>
    <xf numFmtId="0" fontId="37" fillId="0" borderId="0" xfId="0" applyFont="1" applyFill="1" applyBorder="1" applyAlignment="1" applyProtection="1">
      <alignment horizontal="right" vertical="center"/>
      <protection hidden="1"/>
    </xf>
    <xf numFmtId="0" fontId="49" fillId="0" borderId="4" xfId="0" applyFont="1" applyFill="1" applyBorder="1" applyAlignment="1" applyProtection="1">
      <alignment vertical="center" wrapText="1"/>
      <protection hidden="1"/>
    </xf>
    <xf numFmtId="0" fontId="50" fillId="0" borderId="0" xfId="0" applyFont="1" applyFill="1" applyAlignment="1" applyProtection="1">
      <alignment horizontal="left" vertical="center"/>
      <protection hidden="1"/>
    </xf>
    <xf numFmtId="0" fontId="51" fillId="0" borderId="0" xfId="0" applyFont="1" applyFill="1" applyBorder="1" applyAlignment="1" applyProtection="1">
      <alignment vertical="center" wrapText="1"/>
      <protection hidden="1"/>
    </xf>
    <xf numFmtId="0" fontId="38" fillId="0" borderId="0" xfId="0" applyFont="1" applyFill="1" applyBorder="1" applyAlignment="1" applyProtection="1">
      <alignment vertical="center" wrapText="1"/>
      <protection hidden="1"/>
    </xf>
    <xf numFmtId="0" fontId="38" fillId="0" borderId="0" xfId="0" applyFont="1" applyFill="1" applyBorder="1" applyAlignment="1" applyProtection="1">
      <alignment horizontal="center" vertical="center" wrapText="1"/>
      <protection hidden="1"/>
    </xf>
    <xf numFmtId="0" fontId="49" fillId="0" borderId="0" xfId="0" applyFont="1" applyFill="1" applyBorder="1" applyAlignment="1" applyProtection="1">
      <alignment vertical="center" wrapText="1"/>
      <protection hidden="1"/>
    </xf>
    <xf numFmtId="0" fontId="52" fillId="0" borderId="0" xfId="0" applyFont="1" applyFill="1" applyBorder="1" applyAlignment="1" applyProtection="1">
      <alignment vertical="center" wrapText="1"/>
      <protection hidden="1"/>
    </xf>
    <xf numFmtId="0" fontId="35" fillId="0" borderId="0" xfId="0" applyFont="1" applyFill="1" applyProtection="1">
      <protection hidden="1"/>
    </xf>
    <xf numFmtId="0" fontId="54" fillId="0" borderId="0" xfId="0" applyFont="1" applyFill="1" applyAlignment="1" applyProtection="1">
      <alignment horizontal="right" vertical="center"/>
      <protection hidden="1"/>
    </xf>
    <xf numFmtId="0" fontId="33" fillId="0" borderId="0" xfId="0" applyFont="1" applyFill="1" applyBorder="1" applyAlignment="1" applyProtection="1">
      <alignment horizontal="right" vertical="center"/>
      <protection hidden="1"/>
    </xf>
    <xf numFmtId="0" fontId="40" fillId="2" borderId="67" xfId="0" applyFont="1" applyFill="1" applyBorder="1" applyAlignment="1" applyProtection="1">
      <alignment horizontal="center" vertical="center"/>
      <protection locked="0" hidden="1"/>
    </xf>
    <xf numFmtId="0" fontId="40" fillId="0" borderId="0" xfId="0" applyFont="1" applyFill="1" applyBorder="1" applyAlignment="1" applyProtection="1">
      <alignment horizontal="left" vertical="center" indent="1"/>
      <protection hidden="1"/>
    </xf>
    <xf numFmtId="0" fontId="53" fillId="0" borderId="0" xfId="0" applyFont="1" applyFill="1" applyBorder="1" applyAlignment="1" applyProtection="1">
      <alignment horizontal="left" vertical="center"/>
      <protection hidden="1"/>
    </xf>
    <xf numFmtId="0" fontId="55" fillId="0" borderId="0" xfId="0" applyFont="1" applyFill="1" applyBorder="1" applyAlignment="1" applyProtection="1">
      <alignment vertical="center"/>
      <protection hidden="1"/>
    </xf>
    <xf numFmtId="0" fontId="54" fillId="0" borderId="0" xfId="0" applyFont="1" applyFill="1" applyAlignment="1" applyProtection="1">
      <alignment horizontal="right"/>
      <protection hidden="1"/>
    </xf>
    <xf numFmtId="0" fontId="37" fillId="0" borderId="0" xfId="0" applyFont="1" applyFill="1" applyBorder="1" applyAlignment="1" applyProtection="1">
      <alignment vertical="top"/>
      <protection hidden="1"/>
    </xf>
    <xf numFmtId="0" fontId="30" fillId="0" borderId="0" xfId="0" applyFont="1" applyFill="1" applyAlignment="1" applyProtection="1">
      <alignment vertical="center"/>
    </xf>
    <xf numFmtId="0" fontId="41" fillId="0" borderId="9" xfId="0" applyFont="1" applyFill="1" applyBorder="1" applyAlignment="1" applyProtection="1">
      <alignment vertical="center"/>
    </xf>
    <xf numFmtId="0" fontId="34" fillId="0" borderId="9" xfId="0" applyFont="1" applyFill="1" applyBorder="1" applyAlignment="1" applyProtection="1">
      <alignment horizontal="left" vertical="center"/>
    </xf>
    <xf numFmtId="0" fontId="34" fillId="0" borderId="9" xfId="0" applyFont="1" applyFill="1" applyBorder="1" applyAlignment="1" applyProtection="1">
      <alignment horizontal="center" vertical="center"/>
      <protection locked="0"/>
    </xf>
    <xf numFmtId="0" fontId="56" fillId="0" borderId="9" xfId="0" applyFont="1" applyFill="1" applyBorder="1" applyAlignment="1" applyProtection="1">
      <alignment vertical="center"/>
      <protection hidden="1"/>
    </xf>
    <xf numFmtId="0" fontId="30" fillId="0" borderId="9" xfId="0" applyFont="1" applyFill="1" applyBorder="1" applyAlignment="1" applyProtection="1">
      <alignment vertical="center"/>
    </xf>
    <xf numFmtId="0" fontId="40" fillId="0" borderId="0" xfId="0" applyFont="1" applyFill="1" applyAlignment="1" applyProtection="1">
      <alignment vertical="center"/>
    </xf>
    <xf numFmtId="0" fontId="50" fillId="0" borderId="4" xfId="0" applyFont="1" applyBorder="1" applyAlignment="1" applyProtection="1">
      <alignment horizontal="right" vertical="center"/>
      <protection hidden="1"/>
    </xf>
    <xf numFmtId="0" fontId="30" fillId="0" borderId="4" xfId="0" applyFont="1" applyBorder="1" applyAlignment="1" applyProtection="1">
      <alignment vertical="center"/>
      <protection hidden="1"/>
    </xf>
    <xf numFmtId="0" fontId="41" fillId="0" borderId="0" xfId="0" applyFont="1" applyAlignment="1" applyProtection="1">
      <alignment horizontal="right" vertical="center"/>
      <protection hidden="1"/>
    </xf>
    <xf numFmtId="0" fontId="37" fillId="0" borderId="0" xfId="0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vertical="center"/>
      <protection hidden="1"/>
    </xf>
    <xf numFmtId="164" fontId="44" fillId="2" borderId="67" xfId="0" applyNumberFormat="1" applyFont="1" applyFill="1" applyBorder="1" applyAlignment="1" applyProtection="1">
      <alignment horizontal="center" vertical="center" shrinkToFit="1"/>
      <protection locked="0"/>
    </xf>
    <xf numFmtId="164" fontId="44" fillId="0" borderId="0" xfId="0" applyNumberFormat="1" applyFont="1" applyFill="1" applyBorder="1" applyAlignment="1" applyProtection="1">
      <alignment vertical="center" shrinkToFit="1"/>
      <protection locked="0"/>
    </xf>
    <xf numFmtId="0" fontId="30" fillId="0" borderId="0" xfId="0" applyFont="1" applyProtection="1"/>
    <xf numFmtId="0" fontId="34" fillId="0" borderId="0" xfId="0" applyFont="1" applyAlignment="1" applyProtection="1">
      <alignment vertical="center" wrapText="1"/>
      <protection hidden="1"/>
    </xf>
    <xf numFmtId="0" fontId="30" fillId="0" borderId="0" xfId="0" applyFont="1"/>
    <xf numFmtId="0" fontId="58" fillId="0" borderId="0" xfId="0" applyFont="1" applyFill="1" applyBorder="1" applyAlignment="1" applyProtection="1">
      <alignment horizontal="left" vertical="center"/>
      <protection hidden="1"/>
    </xf>
    <xf numFmtId="0" fontId="29" fillId="0" borderId="0" xfId="0" applyFont="1"/>
    <xf numFmtId="0" fontId="37" fillId="0" borderId="0" xfId="0" applyFont="1" applyFill="1" applyAlignment="1" applyProtection="1">
      <alignment vertical="center"/>
      <protection hidden="1"/>
    </xf>
    <xf numFmtId="0" fontId="40" fillId="0" borderId="0" xfId="0" applyFont="1" applyFill="1" applyBorder="1" applyAlignment="1" applyProtection="1">
      <alignment horizontal="right" vertical="center"/>
      <protection hidden="1"/>
    </xf>
    <xf numFmtId="0" fontId="57" fillId="0" borderId="0" xfId="0" applyFont="1" applyFill="1" applyBorder="1" applyAlignment="1" applyProtection="1">
      <alignment horizontal="right" vertical="center"/>
      <protection hidden="1"/>
    </xf>
    <xf numFmtId="0" fontId="57" fillId="0" borderId="0" xfId="0" applyFont="1" applyFill="1" applyBorder="1" applyAlignment="1" applyProtection="1">
      <alignment horizontal="left" vertical="center"/>
      <protection hidden="1"/>
    </xf>
    <xf numFmtId="0" fontId="54" fillId="2" borderId="67" xfId="0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horizontal="left" vertical="center"/>
      <protection hidden="1"/>
    </xf>
    <xf numFmtId="0" fontId="37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 horizontal="center" vertical="center"/>
      <protection hidden="1"/>
    </xf>
    <xf numFmtId="0" fontId="59" fillId="0" borderId="0" xfId="0" applyFont="1" applyFill="1" applyBorder="1" applyAlignment="1" applyProtection="1">
      <alignment horizontal="left" vertical="center"/>
      <protection hidden="1"/>
    </xf>
    <xf numFmtId="0" fontId="30" fillId="0" borderId="0" xfId="0" applyFont="1" applyBorder="1" applyAlignment="1" applyProtection="1">
      <alignment vertical="center"/>
      <protection hidden="1"/>
    </xf>
    <xf numFmtId="0" fontId="59" fillId="0" borderId="0" xfId="0" applyFont="1" applyFill="1" applyBorder="1" applyAlignment="1" applyProtection="1">
      <alignment horizontal="left" vertical="center" wrapText="1" indent="3"/>
      <protection hidden="1"/>
    </xf>
    <xf numFmtId="0" fontId="35" fillId="0" borderId="0" xfId="0" applyFont="1" applyAlignment="1" applyProtection="1">
      <alignment vertical="center"/>
      <protection hidden="1"/>
    </xf>
    <xf numFmtId="0" fontId="40" fillId="0" borderId="0" xfId="0" applyFont="1" applyFill="1" applyBorder="1" applyAlignment="1" applyProtection="1">
      <alignment vertical="center"/>
      <protection hidden="1"/>
    </xf>
    <xf numFmtId="0" fontId="40" fillId="0" borderId="0" xfId="0" applyFont="1" applyFill="1" applyBorder="1" applyAlignment="1" applyProtection="1">
      <alignment horizontal="center" vertical="center"/>
      <protection hidden="1"/>
    </xf>
    <xf numFmtId="0" fontId="50" fillId="0" borderId="0" xfId="0" applyFont="1" applyFill="1" applyBorder="1" applyAlignment="1" applyProtection="1">
      <alignment vertical="center"/>
      <protection hidden="1"/>
    </xf>
    <xf numFmtId="3" fontId="38" fillId="0" borderId="191" xfId="0" applyNumberFormat="1" applyFont="1" applyFill="1" applyBorder="1" applyAlignment="1" applyProtection="1">
      <alignment horizontal="center" vertical="center" shrinkToFit="1"/>
      <protection hidden="1"/>
    </xf>
    <xf numFmtId="3" fontId="38" fillId="0" borderId="232" xfId="0" applyNumberFormat="1" applyFont="1" applyFill="1" applyBorder="1" applyAlignment="1" applyProtection="1">
      <alignment horizontal="center" vertical="center" shrinkToFit="1"/>
      <protection hidden="1"/>
    </xf>
    <xf numFmtId="0" fontId="30" fillId="0" borderId="54" xfId="0" applyFont="1" applyFill="1" applyBorder="1" applyAlignment="1" applyProtection="1">
      <alignment horizontal="left" vertical="center" indent="3"/>
      <protection hidden="1"/>
    </xf>
    <xf numFmtId="3" fontId="38" fillId="0" borderId="233" xfId="0" applyNumberFormat="1" applyFont="1" applyFill="1" applyBorder="1" applyAlignment="1" applyProtection="1">
      <alignment horizontal="left" vertical="center" indent="3" shrinkToFit="1"/>
      <protection hidden="1"/>
    </xf>
    <xf numFmtId="3" fontId="38" fillId="2" borderId="49" xfId="0" applyNumberFormat="1" applyFont="1" applyFill="1" applyBorder="1" applyAlignment="1" applyProtection="1">
      <alignment horizontal="center" vertical="center" shrinkToFit="1"/>
      <protection locked="0"/>
    </xf>
    <xf numFmtId="3" fontId="38" fillId="2" borderId="112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0" xfId="0" applyFont="1" applyBorder="1" applyAlignment="1" applyProtection="1">
      <alignment horizontal="left" vertical="center"/>
      <protection hidden="1"/>
    </xf>
    <xf numFmtId="0" fontId="30" fillId="0" borderId="99" xfId="0" applyFont="1" applyFill="1" applyBorder="1" applyAlignment="1" applyProtection="1">
      <alignment horizontal="left" vertical="center" indent="3"/>
      <protection hidden="1"/>
    </xf>
    <xf numFmtId="3" fontId="38" fillId="0" borderId="234" xfId="0" applyNumberFormat="1" applyFont="1" applyFill="1" applyBorder="1" applyAlignment="1" applyProtection="1">
      <alignment horizontal="left" vertical="center" indent="3" shrinkToFit="1"/>
      <protection hidden="1"/>
    </xf>
    <xf numFmtId="3" fontId="38" fillId="2" borderId="235" xfId="0" applyNumberFormat="1" applyFont="1" applyFill="1" applyBorder="1" applyAlignment="1" applyProtection="1">
      <alignment horizontal="center" vertical="center" shrinkToFit="1"/>
      <protection locked="0"/>
    </xf>
    <xf numFmtId="3" fontId="38" fillId="2" borderId="236" xfId="0" applyNumberFormat="1" applyFont="1" applyFill="1" applyBorder="1" applyAlignment="1" applyProtection="1">
      <alignment horizontal="center" vertical="center" shrinkToFit="1"/>
      <protection locked="0"/>
    </xf>
    <xf numFmtId="0" fontId="50" fillId="0" borderId="24" xfId="0" applyFont="1" applyFill="1" applyBorder="1" applyAlignment="1" applyProtection="1">
      <alignment vertical="center"/>
      <protection hidden="1"/>
    </xf>
    <xf numFmtId="0" fontId="50" fillId="0" borderId="276" xfId="0" applyFont="1" applyFill="1" applyBorder="1" applyAlignment="1" applyProtection="1">
      <alignment vertical="center"/>
      <protection hidden="1"/>
    </xf>
    <xf numFmtId="3" fontId="38" fillId="2" borderId="277" xfId="0" applyNumberFormat="1" applyFont="1" applyFill="1" applyBorder="1" applyAlignment="1" applyProtection="1">
      <alignment horizontal="center" vertical="center" shrinkToFit="1"/>
      <protection locked="0"/>
    </xf>
    <xf numFmtId="3" fontId="38" fillId="2" borderId="278" xfId="0" applyNumberFormat="1" applyFont="1" applyFill="1" applyBorder="1" applyAlignment="1" applyProtection="1">
      <alignment horizontal="center" vertical="center" shrinkToFit="1"/>
      <protection locked="0"/>
    </xf>
    <xf numFmtId="0" fontId="50" fillId="0" borderId="237" xfId="0" applyFont="1" applyFill="1" applyBorder="1" applyAlignment="1" applyProtection="1">
      <alignment vertical="center"/>
      <protection hidden="1"/>
    </xf>
    <xf numFmtId="3" fontId="38" fillId="0" borderId="238" xfId="0" applyNumberFormat="1" applyFont="1" applyFill="1" applyBorder="1" applyAlignment="1" applyProtection="1">
      <alignment horizontal="center" vertical="center" shrinkToFit="1"/>
      <protection hidden="1"/>
    </xf>
    <xf numFmtId="3" fontId="38" fillId="0" borderId="239" xfId="0" applyNumberFormat="1" applyFont="1" applyFill="1" applyBorder="1" applyAlignment="1" applyProtection="1">
      <alignment horizontal="center" vertical="center" shrinkToFit="1"/>
      <protection hidden="1"/>
    </xf>
    <xf numFmtId="0" fontId="30" fillId="0" borderId="240" xfId="0" applyFont="1" applyFill="1" applyBorder="1" applyAlignment="1" applyProtection="1">
      <alignment horizontal="left" vertical="center" indent="3"/>
      <protection hidden="1"/>
    </xf>
    <xf numFmtId="3" fontId="38" fillId="0" borderId="241" xfId="0" applyNumberFormat="1" applyFont="1" applyFill="1" applyBorder="1" applyAlignment="1" applyProtection="1">
      <alignment horizontal="left" vertical="center" indent="3" shrinkToFit="1"/>
      <protection hidden="1"/>
    </xf>
    <xf numFmtId="3" fontId="38" fillId="2" borderId="242" xfId="0" applyNumberFormat="1" applyFont="1" applyFill="1" applyBorder="1" applyAlignment="1" applyProtection="1">
      <alignment horizontal="center" vertical="center" shrinkToFit="1"/>
      <protection locked="0"/>
    </xf>
    <xf numFmtId="3" fontId="38" fillId="2" borderId="243" xfId="0" applyNumberFormat="1" applyFont="1" applyFill="1" applyBorder="1" applyAlignment="1" applyProtection="1">
      <alignment horizontal="center" vertical="center" shrinkToFit="1"/>
      <protection locked="0"/>
    </xf>
    <xf numFmtId="0" fontId="45" fillId="0" borderId="0" xfId="0" applyFont="1" applyFill="1" applyBorder="1" applyAlignment="1" applyProtection="1">
      <alignment horizontal="left" vertical="center" wrapText="1"/>
      <protection hidden="1"/>
    </xf>
    <xf numFmtId="0" fontId="50" fillId="0" borderId="0" xfId="0" applyFont="1" applyAlignment="1" applyProtection="1">
      <alignment vertical="center"/>
      <protection hidden="1"/>
    </xf>
    <xf numFmtId="0" fontId="50" fillId="0" borderId="0" xfId="0" applyFont="1" applyFill="1" applyBorder="1" applyAlignment="1" applyProtection="1">
      <alignment horizontal="right" vertical="center"/>
      <protection hidden="1"/>
    </xf>
    <xf numFmtId="0" fontId="30" fillId="0" borderId="244" xfId="0" applyFont="1" applyFill="1" applyBorder="1" applyAlignment="1" applyProtection="1">
      <alignment horizontal="left" vertical="center" indent="3"/>
      <protection hidden="1"/>
    </xf>
    <xf numFmtId="3" fontId="38" fillId="0" borderId="245" xfId="0" applyNumberFormat="1" applyFont="1" applyFill="1" applyBorder="1" applyAlignment="1" applyProtection="1">
      <alignment horizontal="left" vertical="center" indent="3" shrinkToFit="1"/>
      <protection hidden="1"/>
    </xf>
    <xf numFmtId="3" fontId="38" fillId="2" borderId="246" xfId="0" applyNumberFormat="1" applyFont="1" applyFill="1" applyBorder="1" applyAlignment="1" applyProtection="1">
      <alignment horizontal="center" vertical="center" shrinkToFit="1"/>
      <protection locked="0"/>
    </xf>
    <xf numFmtId="3" fontId="38" fillId="2" borderId="247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0" xfId="0" applyFont="1" applyAlignment="1" applyProtection="1">
      <alignment vertical="center"/>
      <protection hidden="1"/>
    </xf>
    <xf numFmtId="0" fontId="38" fillId="0" borderId="0" xfId="0" applyFont="1" applyFill="1" applyBorder="1" applyAlignment="1" applyProtection="1">
      <alignment horizontal="center" vertical="center" shrinkToFit="1"/>
      <protection hidden="1"/>
    </xf>
    <xf numFmtId="0" fontId="54" fillId="0" borderId="0" xfId="0" applyFont="1" applyFill="1" applyBorder="1" applyAlignment="1" applyProtection="1">
      <alignment horizontal="center" vertical="center"/>
      <protection hidden="1"/>
    </xf>
    <xf numFmtId="0" fontId="40" fillId="0" borderId="0" xfId="0" applyFont="1" applyAlignment="1" applyProtection="1">
      <alignment vertical="center"/>
      <protection hidden="1"/>
    </xf>
    <xf numFmtId="0" fontId="57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 applyProtection="1">
      <alignment vertical="center"/>
      <protection hidden="1"/>
    </xf>
    <xf numFmtId="0" fontId="59" fillId="0" borderId="0" xfId="0" applyFont="1" applyFill="1" applyBorder="1" applyAlignment="1" applyProtection="1">
      <alignment horizontal="left"/>
      <protection hidden="1"/>
    </xf>
    <xf numFmtId="0" fontId="37" fillId="0" borderId="0" xfId="0" applyFont="1" applyBorder="1" applyAlignment="1" applyProtection="1">
      <alignment vertical="center"/>
      <protection hidden="1"/>
    </xf>
    <xf numFmtId="0" fontId="57" fillId="0" borderId="0" xfId="0" applyFont="1" applyFill="1" applyBorder="1" applyAlignment="1" applyProtection="1">
      <alignment horizontal="right" vertical="center" wrapText="1" indent="3"/>
      <protection hidden="1"/>
    </xf>
    <xf numFmtId="0" fontId="29" fillId="0" borderId="0" xfId="0" applyFont="1" applyFill="1" applyBorder="1" applyAlignment="1" applyProtection="1">
      <alignment horizontal="right" vertical="center"/>
      <protection hidden="1"/>
    </xf>
    <xf numFmtId="0" fontId="57" fillId="0" borderId="0" xfId="0" applyFont="1" applyFill="1" applyBorder="1" applyAlignment="1" applyProtection="1">
      <alignment vertical="center"/>
      <protection hidden="1"/>
    </xf>
    <xf numFmtId="0" fontId="45" fillId="0" borderId="0" xfId="0" applyFont="1" applyFill="1" applyBorder="1" applyAlignment="1" applyProtection="1">
      <alignment horizontal="left" vertical="center" indent="8"/>
      <protection hidden="1"/>
    </xf>
    <xf numFmtId="0" fontId="59" fillId="0" borderId="0" xfId="0" applyFont="1" applyFill="1" applyBorder="1" applyAlignment="1" applyProtection="1">
      <alignment horizontal="left" vertical="center" indent="8"/>
      <protection hidden="1"/>
    </xf>
    <xf numFmtId="0" fontId="57" fillId="0" borderId="0" xfId="0" applyFont="1" applyFill="1" applyBorder="1" applyAlignment="1" applyProtection="1">
      <alignment horizontal="right" vertical="top" wrapText="1"/>
      <protection hidden="1"/>
    </xf>
    <xf numFmtId="0" fontId="45" fillId="0" borderId="102" xfId="0" applyFont="1" applyFill="1" applyBorder="1" applyAlignment="1" applyProtection="1">
      <alignment vertical="center"/>
      <protection hidden="1"/>
    </xf>
    <xf numFmtId="3" fontId="38" fillId="0" borderId="227" xfId="0" applyNumberFormat="1" applyFont="1" applyFill="1" applyBorder="1" applyAlignment="1" applyProtection="1">
      <alignment horizontal="center" vertical="center"/>
      <protection hidden="1"/>
    </xf>
    <xf numFmtId="3" fontId="38" fillId="0" borderId="102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Border="1" applyAlignment="1" applyProtection="1">
      <alignment horizontal="center" vertical="center"/>
      <protection hidden="1"/>
    </xf>
    <xf numFmtId="0" fontId="38" fillId="0" borderId="54" xfId="0" applyFont="1" applyFill="1" applyBorder="1" applyAlignment="1" applyProtection="1">
      <alignment horizontal="left" vertical="center" indent="3"/>
      <protection hidden="1"/>
    </xf>
    <xf numFmtId="3" fontId="38" fillId="2" borderId="51" xfId="0" applyNumberFormat="1" applyFont="1" applyFill="1" applyBorder="1" applyAlignment="1" applyProtection="1">
      <alignment horizontal="center" vertical="center" shrinkToFit="1"/>
      <protection locked="0"/>
    </xf>
    <xf numFmtId="0" fontId="65" fillId="0" borderId="0" xfId="0" applyFont="1" applyBorder="1" applyAlignment="1" applyProtection="1">
      <alignment horizontal="left" vertical="center"/>
      <protection hidden="1"/>
    </xf>
    <xf numFmtId="0" fontId="37" fillId="0" borderId="0" xfId="0" applyFont="1" applyFill="1" applyBorder="1" applyAlignment="1" applyProtection="1">
      <alignment vertical="center" wrapText="1"/>
      <protection hidden="1"/>
    </xf>
    <xf numFmtId="0" fontId="37" fillId="0" borderId="0" xfId="0" applyFont="1" applyFill="1" applyBorder="1" applyAlignment="1" applyProtection="1">
      <alignment horizontal="left" vertical="center" indent="3"/>
      <protection hidden="1"/>
    </xf>
    <xf numFmtId="3" fontId="38" fillId="0" borderId="46" xfId="0" applyNumberFormat="1" applyFont="1" applyFill="1" applyBorder="1" applyAlignment="1" applyProtection="1">
      <alignment horizontal="center" vertical="center" shrinkToFit="1"/>
      <protection hidden="1"/>
    </xf>
    <xf numFmtId="3" fontId="38" fillId="0" borderId="41" xfId="0" applyNumberFormat="1" applyFont="1" applyFill="1" applyBorder="1" applyAlignment="1" applyProtection="1">
      <alignment horizontal="center" vertical="center" shrinkToFit="1"/>
      <protection hidden="1"/>
    </xf>
    <xf numFmtId="0" fontId="45" fillId="0" borderId="0" xfId="0" applyFont="1" applyFill="1" applyBorder="1" applyAlignment="1" applyProtection="1">
      <alignment horizontal="left" vertical="center"/>
      <protection hidden="1"/>
    </xf>
    <xf numFmtId="0" fontId="54" fillId="0" borderId="0" xfId="0" applyFont="1" applyFill="1" applyBorder="1" applyAlignment="1" applyProtection="1">
      <alignment vertical="center"/>
      <protection hidden="1"/>
    </xf>
    <xf numFmtId="0" fontId="44" fillId="2" borderId="65" xfId="0" applyFont="1" applyFill="1" applyBorder="1" applyAlignment="1" applyProtection="1">
      <alignment horizontal="left" vertical="center" wrapText="1" indent="3"/>
      <protection locked="0"/>
    </xf>
    <xf numFmtId="3" fontId="38" fillId="2" borderId="77" xfId="0" applyNumberFormat="1" applyFont="1" applyFill="1" applyBorder="1" applyAlignment="1" applyProtection="1">
      <alignment horizontal="center" vertical="center" shrinkToFit="1"/>
      <protection locked="0"/>
    </xf>
    <xf numFmtId="3" fontId="38" fillId="2" borderId="64" xfId="0" applyNumberFormat="1" applyFont="1" applyFill="1" applyBorder="1" applyAlignment="1" applyProtection="1">
      <alignment horizontal="center" vertical="center" shrinkToFit="1"/>
      <protection locked="0"/>
    </xf>
    <xf numFmtId="0" fontId="54" fillId="0" borderId="0" xfId="0" applyFont="1" applyFill="1" applyBorder="1" applyAlignment="1" applyProtection="1">
      <alignment horizontal="right" vertical="center"/>
      <protection hidden="1"/>
    </xf>
    <xf numFmtId="0" fontId="45" fillId="0" borderId="65" xfId="0" applyFont="1" applyFill="1" applyBorder="1" applyAlignment="1" applyProtection="1">
      <alignment horizontal="left" vertical="center"/>
      <protection hidden="1"/>
    </xf>
    <xf numFmtId="0" fontId="38" fillId="2" borderId="64" xfId="0" applyFont="1" applyFill="1" applyBorder="1" applyAlignment="1" applyProtection="1">
      <alignment horizontal="center" vertical="center" shrinkToFit="1"/>
      <protection locked="0"/>
    </xf>
    <xf numFmtId="0" fontId="59" fillId="0" borderId="0" xfId="0" applyFont="1" applyBorder="1" applyAlignment="1" applyProtection="1">
      <alignment vertical="center"/>
      <protection hidden="1"/>
    </xf>
    <xf numFmtId="0" fontId="66" fillId="0" borderId="0" xfId="0" applyFont="1" applyFill="1" applyBorder="1" applyAlignment="1" applyProtection="1">
      <alignment horizontal="left" vertical="center"/>
      <protection hidden="1"/>
    </xf>
    <xf numFmtId="0" fontId="67" fillId="0" borderId="7" xfId="0" applyFont="1" applyBorder="1" applyAlignment="1" applyProtection="1">
      <alignment vertical="center"/>
      <protection hidden="1"/>
    </xf>
    <xf numFmtId="0" fontId="40" fillId="0" borderId="10" xfId="0" applyFont="1" applyBorder="1" applyAlignment="1" applyProtection="1">
      <alignment horizontal="center" vertical="center" shrinkToFit="1"/>
      <protection hidden="1"/>
    </xf>
    <xf numFmtId="0" fontId="40" fillId="0" borderId="116" xfId="0" applyFont="1" applyBorder="1" applyAlignment="1" applyProtection="1">
      <alignment horizontal="center" vertical="center" shrinkToFit="1"/>
      <protection hidden="1"/>
    </xf>
    <xf numFmtId="0" fontId="40" fillId="0" borderId="36" xfId="0" applyFont="1" applyBorder="1" applyAlignment="1" applyProtection="1">
      <alignment horizontal="center" vertical="center" shrinkToFit="1"/>
      <protection hidden="1"/>
    </xf>
    <xf numFmtId="0" fontId="40" fillId="0" borderId="110" xfId="0" applyFont="1" applyBorder="1" applyAlignment="1" applyProtection="1">
      <alignment horizontal="center" vertical="center" shrinkToFit="1"/>
      <protection hidden="1"/>
    </xf>
    <xf numFmtId="0" fontId="40" fillId="2" borderId="77" xfId="0" applyFont="1" applyFill="1" applyBorder="1" applyAlignment="1" applyProtection="1">
      <alignment horizontal="center" vertical="center" shrinkToFit="1"/>
      <protection locked="0"/>
    </xf>
    <xf numFmtId="0" fontId="40" fillId="2" borderId="117" xfId="0" applyFont="1" applyFill="1" applyBorder="1" applyAlignment="1" applyProtection="1">
      <alignment horizontal="center" vertical="center" shrinkToFit="1"/>
      <protection locked="0"/>
    </xf>
    <xf numFmtId="0" fontId="40" fillId="2" borderId="69" xfId="0" applyFont="1" applyFill="1" applyBorder="1" applyAlignment="1" applyProtection="1">
      <alignment horizontal="center" vertical="center" shrinkToFit="1"/>
      <protection locked="0"/>
    </xf>
    <xf numFmtId="0" fontId="40" fillId="2" borderId="64" xfId="0" applyFont="1" applyFill="1" applyBorder="1" applyAlignment="1" applyProtection="1">
      <alignment horizontal="center" vertical="center" shrinkToFit="1"/>
      <protection locked="0"/>
    </xf>
    <xf numFmtId="0" fontId="40" fillId="2" borderId="13" xfId="0" applyFont="1" applyFill="1" applyBorder="1" applyAlignment="1" applyProtection="1">
      <alignment horizontal="center" vertical="center" shrinkToFit="1"/>
      <protection locked="0"/>
    </xf>
    <xf numFmtId="0" fontId="40" fillId="2" borderId="115" xfId="0" applyFont="1" applyFill="1" applyBorder="1" applyAlignment="1" applyProtection="1">
      <alignment horizontal="center" vertical="center" shrinkToFit="1"/>
      <protection locked="0"/>
    </xf>
    <xf numFmtId="0" fontId="40" fillId="2" borderId="35" xfId="0" applyFont="1" applyFill="1" applyBorder="1" applyAlignment="1" applyProtection="1">
      <alignment horizontal="center" vertical="center" shrinkToFit="1"/>
      <protection locked="0"/>
    </xf>
    <xf numFmtId="0" fontId="40" fillId="2" borderId="111" xfId="0" applyFont="1" applyFill="1" applyBorder="1" applyAlignment="1" applyProtection="1">
      <alignment horizontal="center" vertical="center" shrinkToFit="1"/>
      <protection locked="0"/>
    </xf>
    <xf numFmtId="0" fontId="45" fillId="0" borderId="39" xfId="0" applyFont="1" applyFill="1" applyBorder="1" applyAlignment="1" applyProtection="1">
      <alignment horizontal="left" vertical="center"/>
      <protection hidden="1"/>
    </xf>
    <xf numFmtId="3" fontId="38" fillId="2" borderId="85" xfId="0" applyNumberFormat="1" applyFont="1" applyFill="1" applyBorder="1" applyAlignment="1" applyProtection="1">
      <alignment horizontal="center" vertical="center" shrinkToFit="1"/>
      <protection locked="0"/>
    </xf>
    <xf numFmtId="0" fontId="38" fillId="2" borderId="38" xfId="0" applyFont="1" applyFill="1" applyBorder="1" applyAlignment="1" applyProtection="1">
      <alignment horizontal="center" vertical="center" shrinkToFit="1"/>
      <protection locked="0"/>
    </xf>
    <xf numFmtId="0" fontId="45" fillId="0" borderId="284" xfId="0" applyFont="1" applyFill="1" applyBorder="1" applyAlignment="1" applyProtection="1">
      <alignment horizontal="left" vertical="center"/>
      <protection hidden="1"/>
    </xf>
    <xf numFmtId="3" fontId="38" fillId="2" borderId="285" xfId="0" applyNumberFormat="1" applyFont="1" applyFill="1" applyBorder="1" applyAlignment="1" applyProtection="1">
      <alignment horizontal="center" vertical="center" shrinkToFit="1"/>
      <protection locked="0"/>
    </xf>
    <xf numFmtId="0" fontId="38" fillId="2" borderId="286" xfId="0" applyFont="1" applyFill="1" applyBorder="1" applyAlignment="1" applyProtection="1">
      <alignment horizontal="center" vertical="center" shrinkToFit="1"/>
      <protection locked="0"/>
    </xf>
    <xf numFmtId="0" fontId="45" fillId="0" borderId="0" xfId="0" applyFont="1" applyFill="1" applyBorder="1" applyAlignment="1" applyProtection="1">
      <alignment vertical="center"/>
      <protection hidden="1"/>
    </xf>
    <xf numFmtId="0" fontId="46" fillId="0" borderId="0" xfId="0" applyFont="1" applyFill="1" applyBorder="1" applyAlignment="1" applyProtection="1">
      <alignment vertical="center"/>
      <protection hidden="1"/>
    </xf>
    <xf numFmtId="0" fontId="40" fillId="0" borderId="0" xfId="0" applyFont="1" applyBorder="1" applyAlignment="1" applyProtection="1">
      <alignment vertical="center"/>
      <protection hidden="1"/>
    </xf>
    <xf numFmtId="0" fontId="45" fillId="0" borderId="30" xfId="0" applyFont="1" applyFill="1" applyBorder="1" applyAlignment="1" applyProtection="1">
      <alignment horizontal="left" vertical="center"/>
      <protection hidden="1"/>
    </xf>
    <xf numFmtId="3" fontId="38" fillId="2" borderId="13" xfId="0" applyNumberFormat="1" applyFont="1" applyFill="1" applyBorder="1" applyAlignment="1" applyProtection="1">
      <alignment horizontal="center" vertical="center" shrinkToFit="1"/>
      <protection locked="0"/>
    </xf>
    <xf numFmtId="0" fontId="38" fillId="2" borderId="111" xfId="0" applyFont="1" applyFill="1" applyBorder="1" applyAlignment="1" applyProtection="1">
      <alignment horizontal="center" vertical="center" shrinkToFit="1"/>
      <protection locked="0"/>
    </xf>
    <xf numFmtId="0" fontId="54" fillId="2" borderId="86" xfId="0" applyFont="1" applyFill="1" applyBorder="1" applyAlignment="1" applyProtection="1">
      <alignment horizontal="center" vertical="center"/>
      <protection locked="0"/>
    </xf>
    <xf numFmtId="0" fontId="50" fillId="0" borderId="0" xfId="0" applyFont="1" applyBorder="1" applyAlignment="1" applyProtection="1">
      <alignment vertical="center"/>
      <protection hidden="1"/>
    </xf>
    <xf numFmtId="0" fontId="30" fillId="0" borderId="44" xfId="0" applyFont="1" applyBorder="1" applyAlignment="1" applyProtection="1">
      <alignment vertical="center"/>
      <protection hidden="1"/>
    </xf>
    <xf numFmtId="3" fontId="38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65" fillId="0" borderId="0" xfId="0" applyFont="1" applyFill="1" applyBorder="1" applyAlignment="1" applyProtection="1">
      <alignment horizontal="left" vertical="center"/>
      <protection hidden="1"/>
    </xf>
    <xf numFmtId="0" fontId="30" fillId="2" borderId="67" xfId="0" applyFont="1" applyFill="1" applyBorder="1" applyAlignment="1" applyProtection="1">
      <alignment horizontal="center" vertical="center"/>
      <protection locked="0"/>
    </xf>
    <xf numFmtId="0" fontId="30" fillId="0" borderId="41" xfId="0" applyFont="1" applyFill="1" applyBorder="1" applyAlignment="1" applyProtection="1">
      <alignment vertical="top" wrapText="1"/>
      <protection hidden="1"/>
    </xf>
    <xf numFmtId="0" fontId="50" fillId="0" borderId="0" xfId="0" applyFont="1" applyFill="1" applyBorder="1" applyAlignment="1" applyProtection="1">
      <alignment horizontal="left" vertical="center" wrapText="1"/>
      <protection hidden="1"/>
    </xf>
    <xf numFmtId="0" fontId="30" fillId="0" borderId="0" xfId="0" applyFont="1" applyFill="1" applyBorder="1" applyAlignment="1" applyProtection="1">
      <alignment horizontal="left" vertical="center" wrapText="1"/>
      <protection hidden="1"/>
    </xf>
    <xf numFmtId="0" fontId="37" fillId="0" borderId="0" xfId="0" applyFont="1" applyFill="1" applyBorder="1" applyAlignment="1" applyProtection="1">
      <alignment horizontal="left" vertical="center" wrapText="1"/>
      <protection hidden="1"/>
    </xf>
    <xf numFmtId="0" fontId="40" fillId="0" borderId="0" xfId="0" applyFont="1" applyFill="1" applyBorder="1" applyAlignment="1" applyProtection="1">
      <alignment horizontal="left" vertical="top" shrinkToFit="1"/>
      <protection locked="0"/>
    </xf>
    <xf numFmtId="0" fontId="58" fillId="0" borderId="0" xfId="0" applyFont="1" applyFill="1" applyBorder="1" applyAlignment="1" applyProtection="1">
      <alignment horizontal="right" vertical="center"/>
      <protection hidden="1"/>
    </xf>
    <xf numFmtId="0" fontId="58" fillId="0" borderId="0" xfId="0" applyFont="1" applyFill="1" applyBorder="1" applyAlignment="1" applyProtection="1">
      <alignment horizontal="left" vertical="center" indent="5"/>
      <protection hidden="1"/>
    </xf>
    <xf numFmtId="0" fontId="58" fillId="0" borderId="30" xfId="0" applyFont="1" applyFill="1" applyBorder="1" applyAlignment="1" applyProtection="1">
      <alignment horizontal="right" vertical="center"/>
      <protection hidden="1"/>
    </xf>
    <xf numFmtId="0" fontId="58" fillId="0" borderId="30" xfId="0" applyFont="1" applyFill="1" applyBorder="1" applyAlignment="1" applyProtection="1">
      <alignment horizontal="left" vertical="center" indent="5"/>
      <protection hidden="1"/>
    </xf>
    <xf numFmtId="0" fontId="37" fillId="0" borderId="0" xfId="0" applyFont="1" applyAlignment="1" applyProtection="1">
      <alignment vertical="center"/>
      <protection hidden="1"/>
    </xf>
    <xf numFmtId="0" fontId="69" fillId="0" borderId="22" xfId="0" applyFont="1" applyFill="1" applyBorder="1" applyAlignment="1" applyProtection="1">
      <alignment horizontal="left" vertical="center" wrapText="1"/>
      <protection hidden="1"/>
    </xf>
    <xf numFmtId="0" fontId="69" fillId="0" borderId="22" xfId="0" applyFont="1" applyFill="1" applyBorder="1" applyAlignment="1" applyProtection="1">
      <alignment horizontal="right" vertical="center"/>
      <protection hidden="1"/>
    </xf>
    <xf numFmtId="3" fontId="38" fillId="0" borderId="57" xfId="0" applyNumberFormat="1" applyFont="1" applyFill="1" applyBorder="1" applyAlignment="1" applyProtection="1">
      <alignment horizontal="center" vertical="center" shrinkToFit="1"/>
      <protection hidden="1"/>
    </xf>
    <xf numFmtId="3" fontId="38" fillId="0" borderId="73" xfId="0" applyNumberFormat="1" applyFont="1" applyFill="1" applyBorder="1" applyAlignment="1" applyProtection="1">
      <alignment horizontal="center" vertical="center" shrinkToFit="1"/>
      <protection hidden="1"/>
    </xf>
    <xf numFmtId="3" fontId="40" fillId="0" borderId="73" xfId="0" applyNumberFormat="1" applyFont="1" applyFill="1" applyBorder="1" applyAlignment="1" applyProtection="1">
      <alignment horizontal="center" vertical="center"/>
      <protection hidden="1"/>
    </xf>
    <xf numFmtId="3" fontId="40" fillId="0" borderId="26" xfId="0" applyNumberFormat="1" applyFont="1" applyFill="1" applyBorder="1" applyAlignment="1" applyProtection="1">
      <alignment horizontal="center" vertical="center"/>
      <protection hidden="1"/>
    </xf>
    <xf numFmtId="0" fontId="67" fillId="0" borderId="47" xfId="0" applyFont="1" applyFill="1" applyBorder="1" applyAlignment="1" applyProtection="1">
      <alignment vertical="center" wrapText="1"/>
      <protection hidden="1"/>
    </xf>
    <xf numFmtId="0" fontId="67" fillId="0" borderId="47" xfId="0" applyFont="1" applyFill="1" applyBorder="1" applyAlignment="1" applyProtection="1">
      <alignment horizontal="right" vertical="center"/>
      <protection hidden="1"/>
    </xf>
    <xf numFmtId="3" fontId="38" fillId="0" borderId="58" xfId="0" applyNumberFormat="1" applyFont="1" applyFill="1" applyBorder="1" applyAlignment="1" applyProtection="1">
      <alignment horizontal="center" vertical="center" shrinkToFit="1"/>
      <protection hidden="1"/>
    </xf>
    <xf numFmtId="3" fontId="38" fillId="0" borderId="106" xfId="0" applyNumberFormat="1" applyFont="1" applyFill="1" applyBorder="1" applyAlignment="1" applyProtection="1">
      <alignment horizontal="center" vertical="center" shrinkToFit="1"/>
      <protection hidden="1"/>
    </xf>
    <xf numFmtId="3" fontId="40" fillId="0" borderId="106" xfId="0" applyNumberFormat="1" applyFont="1" applyFill="1" applyBorder="1" applyAlignment="1" applyProtection="1">
      <alignment horizontal="center" vertical="center"/>
      <protection hidden="1"/>
    </xf>
    <xf numFmtId="3" fontId="38" fillId="0" borderId="171" xfId="0" applyNumberFormat="1" applyFont="1" applyFill="1" applyBorder="1" applyAlignment="1" applyProtection="1">
      <alignment horizontal="center" vertical="center" shrinkToFit="1"/>
      <protection hidden="1"/>
    </xf>
    <xf numFmtId="3" fontId="40" fillId="0" borderId="60" xfId="0" applyNumberFormat="1" applyFont="1" applyFill="1" applyBorder="1" applyAlignment="1" applyProtection="1">
      <alignment horizontal="center" vertical="center"/>
      <protection hidden="1"/>
    </xf>
    <xf numFmtId="0" fontId="30" fillId="0" borderId="48" xfId="0" applyFont="1" applyFill="1" applyBorder="1" applyAlignment="1" applyProtection="1">
      <alignment horizontal="left" vertical="center" wrapText="1" indent="2"/>
      <protection hidden="1"/>
    </xf>
    <xf numFmtId="0" fontId="70" fillId="0" borderId="48" xfId="0" applyFont="1" applyFill="1" applyBorder="1" applyAlignment="1" applyProtection="1">
      <alignment horizontal="right" vertical="center"/>
      <protection hidden="1"/>
    </xf>
    <xf numFmtId="3" fontId="38" fillId="0" borderId="51" xfId="0" applyNumberFormat="1" applyFont="1" applyFill="1" applyBorder="1" applyAlignment="1" applyProtection="1">
      <alignment horizontal="center" vertical="center" shrinkToFit="1"/>
      <protection hidden="1"/>
    </xf>
    <xf numFmtId="3" fontId="38" fillId="2" borderId="94" xfId="0" applyNumberFormat="1" applyFont="1" applyFill="1" applyBorder="1" applyAlignment="1" applyProtection="1">
      <alignment horizontal="center" vertical="center" shrinkToFit="1"/>
      <protection locked="0"/>
    </xf>
    <xf numFmtId="3" fontId="40" fillId="2" borderId="94" xfId="0" applyNumberFormat="1" applyFont="1" applyFill="1" applyBorder="1" applyAlignment="1" applyProtection="1">
      <alignment horizontal="center" vertical="center"/>
      <protection locked="0"/>
    </xf>
    <xf numFmtId="3" fontId="40" fillId="2" borderId="48" xfId="0" applyNumberFormat="1" applyFont="1" applyFill="1" applyBorder="1" applyAlignment="1" applyProtection="1">
      <alignment horizontal="center" vertical="center"/>
      <protection locked="0"/>
    </xf>
    <xf numFmtId="0" fontId="37" fillId="0" borderId="48" xfId="0" applyFont="1" applyFill="1" applyBorder="1" applyAlignment="1" applyProtection="1">
      <alignment horizontal="left" vertical="center" wrapText="1" indent="2"/>
      <protection hidden="1"/>
    </xf>
    <xf numFmtId="3" fontId="40" fillId="2" borderId="94" xfId="0" applyNumberFormat="1" applyFont="1" applyFill="1" applyBorder="1" applyAlignment="1" applyProtection="1">
      <alignment horizontal="center" vertical="center" shrinkToFit="1"/>
      <protection locked="0"/>
    </xf>
    <xf numFmtId="3" fontId="40" fillId="2" borderId="94" xfId="0" applyNumberFormat="1" applyFont="1" applyFill="1" applyBorder="1" applyAlignment="1" applyProtection="1">
      <alignment horizontal="center" vertical="center" wrapText="1"/>
      <protection locked="0"/>
    </xf>
    <xf numFmtId="3" fontId="38" fillId="2" borderId="94" xfId="0" applyNumberFormat="1" applyFont="1" applyFill="1" applyBorder="1" applyAlignment="1" applyProtection="1">
      <alignment horizontal="center" wrapText="1"/>
      <protection locked="0"/>
    </xf>
    <xf numFmtId="3" fontId="38" fillId="2" borderId="48" xfId="0" applyNumberFormat="1" applyFont="1" applyFill="1" applyBorder="1" applyAlignment="1" applyProtection="1">
      <alignment horizontal="center" wrapText="1"/>
      <protection locked="0"/>
    </xf>
    <xf numFmtId="0" fontId="37" fillId="0" borderId="50" xfId="0" applyFont="1" applyFill="1" applyBorder="1" applyAlignment="1" applyProtection="1">
      <alignment horizontal="left" vertical="center" wrapText="1" indent="2"/>
      <protection hidden="1"/>
    </xf>
    <xf numFmtId="0" fontId="70" fillId="0" borderId="200" xfId="0" applyFont="1" applyFill="1" applyBorder="1" applyAlignment="1" applyProtection="1">
      <alignment horizontal="right" vertical="center"/>
      <protection hidden="1"/>
    </xf>
    <xf numFmtId="3" fontId="38" fillId="0" borderId="59" xfId="0" applyNumberFormat="1" applyFont="1" applyFill="1" applyBorder="1" applyAlignment="1" applyProtection="1">
      <alignment horizontal="center" vertical="center" shrinkToFit="1"/>
      <protection hidden="1"/>
    </xf>
    <xf numFmtId="3" fontId="38" fillId="2" borderId="160" xfId="0" applyNumberFormat="1" applyFont="1" applyFill="1" applyBorder="1" applyAlignment="1" applyProtection="1">
      <alignment horizontal="center" vertical="center" shrinkToFit="1"/>
      <protection locked="0"/>
    </xf>
    <xf numFmtId="3" fontId="40" fillId="2" borderId="160" xfId="0" applyNumberFormat="1" applyFont="1" applyFill="1" applyBorder="1" applyAlignment="1" applyProtection="1">
      <alignment horizontal="center" vertical="center"/>
      <protection locked="0"/>
    </xf>
    <xf numFmtId="3" fontId="40" fillId="2" borderId="50" xfId="0" applyNumberFormat="1" applyFont="1" applyFill="1" applyBorder="1" applyAlignment="1" applyProtection="1">
      <alignment horizontal="center" vertical="center"/>
      <protection locked="0"/>
    </xf>
    <xf numFmtId="0" fontId="71" fillId="0" borderId="60" xfId="0" applyFont="1" applyFill="1" applyBorder="1" applyAlignment="1" applyProtection="1">
      <alignment vertical="center" wrapText="1"/>
      <protection hidden="1"/>
    </xf>
    <xf numFmtId="0" fontId="67" fillId="0" borderId="60" xfId="0" applyFont="1" applyFill="1" applyBorder="1" applyAlignment="1" applyProtection="1">
      <alignment horizontal="right" vertical="center"/>
      <protection hidden="1"/>
    </xf>
    <xf numFmtId="3" fontId="38" fillId="0" borderId="61" xfId="0" applyNumberFormat="1" applyFont="1" applyFill="1" applyBorder="1" applyAlignment="1" applyProtection="1">
      <alignment horizontal="center" vertical="center" shrinkToFit="1"/>
      <protection hidden="1"/>
    </xf>
    <xf numFmtId="0" fontId="30" fillId="0" borderId="62" xfId="0" applyFont="1" applyFill="1" applyBorder="1" applyAlignment="1" applyProtection="1">
      <alignment horizontal="left" vertical="center" wrapText="1" indent="2"/>
      <protection hidden="1"/>
    </xf>
    <xf numFmtId="0" fontId="30" fillId="0" borderId="62" xfId="0" applyFont="1" applyFill="1" applyBorder="1" applyAlignment="1" applyProtection="1">
      <alignment horizontal="right" vertical="center"/>
      <protection hidden="1"/>
    </xf>
    <xf numFmtId="3" fontId="38" fillId="0" borderId="63" xfId="0" applyNumberFormat="1" applyFont="1" applyFill="1" applyBorder="1" applyAlignment="1" applyProtection="1">
      <alignment horizontal="center" vertical="center" shrinkToFit="1"/>
      <protection hidden="1"/>
    </xf>
    <xf numFmtId="3" fontId="38" fillId="2" borderId="108" xfId="0" applyNumberFormat="1" applyFont="1" applyFill="1" applyBorder="1" applyAlignment="1" applyProtection="1">
      <alignment horizontal="center" vertical="center" shrinkToFit="1"/>
      <protection locked="0"/>
    </xf>
    <xf numFmtId="3" fontId="40" fillId="2" borderId="108" xfId="0" applyNumberFormat="1" applyFont="1" applyFill="1" applyBorder="1" applyAlignment="1" applyProtection="1">
      <alignment horizontal="center" vertical="center"/>
      <protection locked="0"/>
    </xf>
    <xf numFmtId="3" fontId="40" fillId="2" borderId="62" xfId="0" applyNumberFormat="1" applyFont="1" applyFill="1" applyBorder="1" applyAlignment="1" applyProtection="1">
      <alignment horizontal="center" vertical="center"/>
      <protection locked="0"/>
    </xf>
    <xf numFmtId="0" fontId="45" fillId="0" borderId="0" xfId="0" applyFont="1" applyFill="1" applyAlignment="1" applyProtection="1">
      <alignment horizontal="left" vertical="center"/>
      <protection hidden="1"/>
    </xf>
    <xf numFmtId="0" fontId="45" fillId="0" borderId="0" xfId="0" applyFont="1" applyFill="1" applyBorder="1" applyAlignment="1" applyProtection="1">
      <alignment horizontal="right" vertical="center"/>
      <protection hidden="1"/>
    </xf>
    <xf numFmtId="0" fontId="72" fillId="0" borderId="0" xfId="0" applyFont="1" applyFill="1" applyAlignment="1" applyProtection="1">
      <alignment horizontal="center" vertical="center"/>
      <protection hidden="1"/>
    </xf>
    <xf numFmtId="0" fontId="73" fillId="0" borderId="7" xfId="0" applyFont="1" applyFill="1" applyBorder="1" applyAlignment="1" applyProtection="1">
      <alignment vertical="center" wrapText="1"/>
      <protection hidden="1"/>
    </xf>
    <xf numFmtId="0" fontId="37" fillId="0" borderId="0" xfId="0" applyFont="1" applyFill="1" applyAlignment="1" applyProtection="1">
      <alignment horizontal="left" vertical="center" indent="2"/>
      <protection hidden="1"/>
    </xf>
    <xf numFmtId="0" fontId="57" fillId="0" borderId="0" xfId="0" applyFont="1" applyAlignment="1" applyProtection="1">
      <protection hidden="1"/>
    </xf>
    <xf numFmtId="0" fontId="57" fillId="0" borderId="0" xfId="0" applyFont="1" applyBorder="1" applyAlignment="1" applyProtection="1">
      <alignment horizontal="right"/>
      <protection hidden="1"/>
    </xf>
    <xf numFmtId="0" fontId="58" fillId="0" borderId="0" xfId="0" applyFont="1" applyFill="1" applyBorder="1" applyAlignment="1" applyProtection="1">
      <alignment horizontal="left" vertical="center" indent="6"/>
      <protection hidden="1"/>
    </xf>
    <xf numFmtId="0" fontId="57" fillId="0" borderId="0" xfId="0" applyFont="1" applyFill="1" applyBorder="1" applyAlignment="1">
      <alignment vertical="center"/>
    </xf>
    <xf numFmtId="0" fontId="58" fillId="0" borderId="9" xfId="0" applyFont="1" applyFill="1" applyBorder="1" applyAlignment="1" applyProtection="1">
      <alignment horizontal="left" vertical="center" indent="6"/>
      <protection hidden="1"/>
    </xf>
    <xf numFmtId="0" fontId="50" fillId="0" borderId="5" xfId="0" applyFont="1" applyFill="1" applyBorder="1" applyAlignment="1" applyProtection="1">
      <alignment horizontal="center" vertical="center" wrapText="1"/>
      <protection hidden="1"/>
    </xf>
    <xf numFmtId="0" fontId="50" fillId="0" borderId="96" xfId="0" applyFont="1" applyFill="1" applyBorder="1" applyAlignment="1" applyProtection="1">
      <alignment horizontal="center" vertical="center" wrapText="1"/>
      <protection hidden="1"/>
    </xf>
    <xf numFmtId="0" fontId="50" fillId="0" borderId="89" xfId="0" applyFont="1" applyFill="1" applyBorder="1" applyAlignment="1" applyProtection="1">
      <alignment horizontal="center" vertical="center" wrapText="1"/>
      <protection hidden="1"/>
    </xf>
    <xf numFmtId="0" fontId="50" fillId="0" borderId="52" xfId="0" applyFont="1" applyFill="1" applyBorder="1" applyAlignment="1" applyProtection="1">
      <alignment horizontal="center" vertical="center" wrapText="1"/>
      <protection hidden="1"/>
    </xf>
    <xf numFmtId="0" fontId="69" fillId="0" borderId="8" xfId="0" applyFont="1" applyFill="1" applyBorder="1" applyAlignment="1" applyProtection="1">
      <alignment horizontal="left" vertical="center" wrapText="1"/>
      <protection hidden="1"/>
    </xf>
    <xf numFmtId="3" fontId="38" fillId="0" borderId="100" xfId="0" applyNumberFormat="1" applyFont="1" applyFill="1" applyBorder="1" applyAlignment="1" applyProtection="1">
      <alignment horizontal="center" vertical="center" shrinkToFit="1"/>
      <protection hidden="1"/>
    </xf>
    <xf numFmtId="3" fontId="38" fillId="0" borderId="22" xfId="0" applyNumberFormat="1" applyFont="1" applyFill="1" applyBorder="1" applyAlignment="1" applyProtection="1">
      <alignment horizontal="center" vertical="center" shrinkToFit="1"/>
      <protection hidden="1"/>
    </xf>
    <xf numFmtId="3" fontId="38" fillId="0" borderId="53" xfId="0" applyNumberFormat="1" applyFont="1" applyFill="1" applyBorder="1" applyAlignment="1" applyProtection="1">
      <alignment horizontal="center" vertical="center" wrapText="1"/>
      <protection hidden="1"/>
    </xf>
    <xf numFmtId="0" fontId="67" fillId="0" borderId="19" xfId="0" applyFont="1" applyFill="1" applyBorder="1" applyAlignment="1" applyProtection="1">
      <alignment vertical="center" wrapText="1"/>
      <protection hidden="1"/>
    </xf>
    <xf numFmtId="3" fontId="38" fillId="0" borderId="97" xfId="0" applyNumberFormat="1" applyFont="1" applyFill="1" applyBorder="1" applyAlignment="1" applyProtection="1">
      <alignment horizontal="center" vertical="center" shrinkToFit="1"/>
      <protection hidden="1"/>
    </xf>
    <xf numFmtId="3" fontId="38" fillId="0" borderId="76" xfId="0" applyNumberFormat="1" applyFont="1" applyFill="1" applyBorder="1" applyAlignment="1" applyProtection="1">
      <alignment horizontal="center" vertical="center" shrinkToFit="1"/>
      <protection hidden="1"/>
    </xf>
    <xf numFmtId="3" fontId="38" fillId="0" borderId="19" xfId="0" applyNumberFormat="1" applyFont="1" applyFill="1" applyBorder="1" applyAlignment="1" applyProtection="1">
      <alignment horizontal="center" vertical="center" shrinkToFit="1"/>
      <protection hidden="1"/>
    </xf>
    <xf numFmtId="0" fontId="67" fillId="0" borderId="60" xfId="0" applyFont="1" applyFill="1" applyBorder="1" applyAlignment="1" applyProtection="1">
      <alignment vertical="center" wrapText="1"/>
      <protection hidden="1"/>
    </xf>
    <xf numFmtId="3" fontId="38" fillId="0" borderId="60" xfId="0" applyNumberFormat="1" applyFont="1" applyFill="1" applyBorder="1" applyAlignment="1" applyProtection="1">
      <alignment horizontal="center" vertical="center" shrinkToFit="1"/>
      <protection hidden="1"/>
    </xf>
    <xf numFmtId="3" fontId="38" fillId="2" borderId="48" xfId="0" applyNumberFormat="1" applyFont="1" applyFill="1" applyBorder="1" applyAlignment="1" applyProtection="1">
      <alignment horizontal="center" vertical="center" shrinkToFit="1"/>
      <protection locked="0"/>
    </xf>
    <xf numFmtId="0" fontId="30" fillId="0" borderId="54" xfId="0" applyFont="1" applyFill="1" applyBorder="1" applyAlignment="1" applyProtection="1">
      <alignment horizontal="left" vertical="center" wrapText="1" indent="2"/>
      <protection hidden="1"/>
    </xf>
    <xf numFmtId="0" fontId="30" fillId="0" borderId="55" xfId="0" applyFont="1" applyFill="1" applyBorder="1" applyAlignment="1" applyProtection="1">
      <alignment horizontal="left" vertical="center" wrapText="1" indent="2"/>
      <protection hidden="1"/>
    </xf>
    <xf numFmtId="3" fontId="38" fillId="0" borderId="98" xfId="0" applyNumberFormat="1" applyFont="1" applyFill="1" applyBorder="1" applyAlignment="1" applyProtection="1">
      <alignment horizontal="center" vertical="center" shrinkToFit="1"/>
      <protection hidden="1"/>
    </xf>
    <xf numFmtId="3" fontId="38" fillId="2" borderId="101" xfId="0" applyNumberFormat="1" applyFont="1" applyFill="1" applyBorder="1" applyAlignment="1" applyProtection="1">
      <alignment horizontal="center" vertical="center" shrinkToFit="1"/>
      <protection locked="0"/>
    </xf>
    <xf numFmtId="3" fontId="38" fillId="2" borderId="99" xfId="0" applyNumberFormat="1" applyFont="1" applyFill="1" applyBorder="1" applyAlignment="1" applyProtection="1">
      <alignment horizontal="center" vertical="center" shrinkToFit="1"/>
      <protection locked="0"/>
    </xf>
    <xf numFmtId="0" fontId="37" fillId="0" borderId="54" xfId="0" applyFont="1" applyFill="1" applyBorder="1" applyAlignment="1" applyProtection="1">
      <alignment horizontal="left" vertical="center" wrapText="1" indent="2"/>
      <protection hidden="1"/>
    </xf>
    <xf numFmtId="0" fontId="30" fillId="0" borderId="107" xfId="0" applyFont="1" applyFill="1" applyBorder="1" applyAlignment="1" applyProtection="1">
      <alignment horizontal="left" vertical="center" wrapText="1" indent="2"/>
      <protection hidden="1"/>
    </xf>
    <xf numFmtId="3" fontId="38" fillId="0" borderId="104" xfId="0" applyNumberFormat="1" applyFont="1" applyFill="1" applyBorder="1" applyAlignment="1" applyProtection="1">
      <alignment horizontal="center" vertical="center" shrinkToFit="1"/>
      <protection hidden="1"/>
    </xf>
    <xf numFmtId="3" fontId="38" fillId="2" borderId="105" xfId="0" applyNumberFormat="1" applyFont="1" applyFill="1" applyBorder="1" applyAlignment="1" applyProtection="1">
      <alignment horizontal="center" vertical="center" shrinkToFit="1"/>
      <protection locked="0"/>
    </xf>
    <xf numFmtId="3" fontId="38" fillId="2" borderId="103" xfId="0" applyNumberFormat="1" applyFont="1" applyFill="1" applyBorder="1" applyAlignment="1" applyProtection="1">
      <alignment horizontal="center" vertical="center" shrinkToFit="1"/>
      <protection locked="0"/>
    </xf>
    <xf numFmtId="0" fontId="67" fillId="0" borderId="0" xfId="0" applyFont="1" applyFill="1" applyBorder="1" applyAlignment="1" applyProtection="1">
      <alignment vertical="center" wrapText="1"/>
      <protection hidden="1"/>
    </xf>
    <xf numFmtId="3" fontId="38" fillId="0" borderId="90" xfId="0" applyNumberFormat="1" applyFont="1" applyFill="1" applyBorder="1" applyAlignment="1" applyProtection="1">
      <alignment horizontal="center" vertical="center" shrinkToFit="1"/>
      <protection hidden="1"/>
    </xf>
    <xf numFmtId="0" fontId="37" fillId="0" borderId="149" xfId="0" applyFont="1" applyFill="1" applyBorder="1" applyAlignment="1" applyProtection="1">
      <alignment horizontal="left" vertical="center" wrapText="1" indent="2"/>
      <protection hidden="1"/>
    </xf>
    <xf numFmtId="3" fontId="38" fillId="2" borderId="107" xfId="0" applyNumberFormat="1" applyFont="1" applyFill="1" applyBorder="1" applyAlignment="1" applyProtection="1">
      <alignment horizontal="center" vertical="center" shrinkToFit="1"/>
      <protection locked="0"/>
    </xf>
    <xf numFmtId="0" fontId="71" fillId="0" borderId="0" xfId="0" applyFont="1" applyFill="1" applyBorder="1" applyAlignment="1" applyProtection="1">
      <alignment vertical="center" wrapText="1"/>
      <protection hidden="1"/>
    </xf>
    <xf numFmtId="0" fontId="37" fillId="0" borderId="48" xfId="0" applyFont="1" applyFill="1" applyBorder="1" applyAlignment="1" applyProtection="1">
      <alignment horizontal="left" vertical="center" indent="2"/>
      <protection hidden="1"/>
    </xf>
    <xf numFmtId="0" fontId="37" fillId="0" borderId="189" xfId="0" applyFont="1" applyFill="1" applyBorder="1" applyAlignment="1" applyProtection="1">
      <alignment horizontal="left" vertical="center" indent="2"/>
      <protection hidden="1"/>
    </xf>
    <xf numFmtId="0" fontId="30" fillId="0" borderId="174" xfId="0" applyFont="1" applyFill="1" applyBorder="1" applyAlignment="1" applyProtection="1">
      <alignment horizontal="left" vertical="center" wrapText="1" indent="2"/>
      <protection hidden="1"/>
    </xf>
    <xf numFmtId="3" fontId="38" fillId="2" borderId="62" xfId="0" applyNumberFormat="1" applyFont="1" applyFill="1" applyBorder="1" applyAlignment="1" applyProtection="1">
      <alignment horizontal="center" vertical="center" shrinkToFit="1"/>
      <protection locked="0"/>
    </xf>
    <xf numFmtId="3" fontId="3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0" fillId="0" borderId="0" xfId="0" applyFont="1" applyBorder="1" applyAlignment="1" applyProtection="1">
      <alignment vertical="center"/>
      <protection hidden="1"/>
    </xf>
    <xf numFmtId="0" fontId="72" fillId="0" borderId="0" xfId="0" applyFont="1" applyBorder="1" applyAlignment="1" applyProtection="1">
      <alignment horizontal="center" vertical="center"/>
      <protection hidden="1"/>
    </xf>
    <xf numFmtId="0" fontId="73" fillId="0" borderId="0" xfId="0" applyFont="1" applyFill="1" applyBorder="1" applyAlignment="1" applyProtection="1">
      <alignment vertical="center" wrapText="1"/>
      <protection hidden="1"/>
    </xf>
    <xf numFmtId="0" fontId="73" fillId="0" borderId="0" xfId="0" applyFont="1" applyFill="1" applyBorder="1" applyAlignment="1" applyProtection="1">
      <alignment vertical="center"/>
      <protection hidden="1"/>
    </xf>
    <xf numFmtId="0" fontId="65" fillId="0" borderId="0" xfId="0" applyFont="1" applyFill="1" applyAlignment="1" applyProtection="1">
      <alignment horizontal="left" vertical="center" wrapText="1"/>
      <protection hidden="1"/>
    </xf>
    <xf numFmtId="0" fontId="57" fillId="0" borderId="5" xfId="0" applyFont="1" applyFill="1" applyBorder="1" applyAlignment="1" applyProtection="1">
      <alignment horizontal="center" vertical="center" wrapText="1"/>
      <protection hidden="1"/>
    </xf>
    <xf numFmtId="0" fontId="57" fillId="0" borderId="6" xfId="0" applyFont="1" applyFill="1" applyBorder="1" applyAlignment="1" applyProtection="1">
      <alignment horizontal="center" vertical="center" wrapText="1"/>
      <protection hidden="1"/>
    </xf>
    <xf numFmtId="0" fontId="45" fillId="0" borderId="96" xfId="0" applyFont="1" applyFill="1" applyBorder="1" applyAlignment="1" applyProtection="1">
      <alignment horizontal="center" vertical="center" wrapText="1"/>
      <protection hidden="1"/>
    </xf>
    <xf numFmtId="0" fontId="45" fillId="0" borderId="89" xfId="0" applyFont="1" applyFill="1" applyBorder="1" applyAlignment="1" applyProtection="1">
      <alignment horizontal="center" vertical="center" wrapText="1"/>
      <protection hidden="1"/>
    </xf>
    <xf numFmtId="0" fontId="45" fillId="0" borderId="5" xfId="0" applyFont="1" applyFill="1" applyBorder="1" applyAlignment="1" applyProtection="1">
      <alignment horizontal="center" vertical="center" wrapText="1"/>
      <protection hidden="1"/>
    </xf>
    <xf numFmtId="0" fontId="56" fillId="0" borderId="26" xfId="0" applyFont="1" applyFill="1" applyBorder="1" applyAlignment="1" applyProtection="1">
      <alignment horizontal="left" vertical="center" wrapText="1"/>
      <protection hidden="1"/>
    </xf>
    <xf numFmtId="3" fontId="38" fillId="0" borderId="27" xfId="0" applyNumberFormat="1" applyFont="1" applyFill="1" applyBorder="1" applyAlignment="1" applyProtection="1">
      <alignment horizontal="center" vertical="center" shrinkToFit="1"/>
      <protection hidden="1"/>
    </xf>
    <xf numFmtId="3" fontId="38" fillId="0" borderId="26" xfId="0" applyNumberFormat="1" applyFont="1" applyFill="1" applyBorder="1" applyAlignment="1" applyProtection="1">
      <alignment horizontal="center" vertical="center" shrinkToFit="1"/>
      <protection hidden="1"/>
    </xf>
    <xf numFmtId="0" fontId="45" fillId="0" borderId="0" xfId="0" applyFont="1" applyFill="1" applyBorder="1" applyAlignment="1" applyProtection="1">
      <alignment horizontal="left" vertical="center" wrapText="1" indent="2"/>
      <protection hidden="1"/>
    </xf>
    <xf numFmtId="3" fontId="38" fillId="2" borderId="90" xfId="0" applyNumberFormat="1" applyFont="1" applyFill="1" applyBorder="1" applyAlignment="1" applyProtection="1">
      <alignment horizontal="center" vertical="center" shrinkToFit="1"/>
      <protection locked="0"/>
    </xf>
    <xf numFmtId="3" fontId="38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45" fillId="0" borderId="65" xfId="0" applyFont="1" applyFill="1" applyBorder="1" applyAlignment="1" applyProtection="1">
      <alignment horizontal="left" vertical="center" wrapText="1" indent="2"/>
      <protection hidden="1"/>
    </xf>
    <xf numFmtId="3" fontId="38" fillId="0" borderId="77" xfId="0" applyNumberFormat="1" applyFont="1" applyFill="1" applyBorder="1" applyAlignment="1" applyProtection="1">
      <alignment horizontal="center" vertical="center" shrinkToFit="1"/>
      <protection hidden="1"/>
    </xf>
    <xf numFmtId="3" fontId="38" fillId="2" borderId="67" xfId="0" applyNumberFormat="1" applyFont="1" applyFill="1" applyBorder="1" applyAlignment="1" applyProtection="1">
      <alignment horizontal="center" vertical="center" shrinkToFit="1"/>
      <protection locked="0"/>
    </xf>
    <xf numFmtId="3" fontId="38" fillId="2" borderId="65" xfId="0" applyNumberFormat="1" applyFont="1" applyFill="1" applyBorder="1" applyAlignment="1" applyProtection="1">
      <alignment horizontal="center" vertical="center" shrinkToFit="1"/>
      <protection locked="0"/>
    </xf>
    <xf numFmtId="0" fontId="45" fillId="0" borderId="30" xfId="0" applyFont="1" applyFill="1" applyBorder="1" applyAlignment="1" applyProtection="1">
      <alignment horizontal="left" vertical="center" wrapText="1" indent="2"/>
      <protection hidden="1"/>
    </xf>
    <xf numFmtId="3" fontId="38" fillId="0" borderId="13" xfId="0" applyNumberFormat="1" applyFont="1" applyFill="1" applyBorder="1" applyAlignment="1" applyProtection="1">
      <alignment horizontal="center" vertical="center" shrinkToFit="1"/>
      <protection hidden="1"/>
    </xf>
    <xf numFmtId="3" fontId="38" fillId="2" borderId="93" xfId="0" applyNumberFormat="1" applyFont="1" applyFill="1" applyBorder="1" applyAlignment="1" applyProtection="1">
      <alignment horizontal="center" vertical="center" shrinkToFit="1"/>
      <protection locked="0"/>
    </xf>
    <xf numFmtId="3" fontId="38" fillId="2" borderId="30" xfId="0" applyNumberFormat="1" applyFont="1" applyFill="1" applyBorder="1" applyAlignment="1" applyProtection="1">
      <alignment horizontal="center" vertical="center" shrinkToFit="1"/>
      <protection locked="0"/>
    </xf>
    <xf numFmtId="0" fontId="74" fillId="0" borderId="0" xfId="0" applyFont="1" applyBorder="1" applyAlignment="1" applyProtection="1">
      <alignment vertical="top" wrapText="1"/>
      <protection hidden="1"/>
    </xf>
    <xf numFmtId="0" fontId="45" fillId="0" borderId="0" xfId="0" applyFont="1" applyFill="1" applyAlignment="1" applyProtection="1">
      <alignment horizontal="left" vertical="center" indent="4"/>
      <protection hidden="1"/>
    </xf>
    <xf numFmtId="0" fontId="45" fillId="0" borderId="0" xfId="0" applyFont="1" applyFill="1" applyAlignment="1" applyProtection="1">
      <alignment horizontal="justify" vertical="center"/>
      <protection hidden="1"/>
    </xf>
    <xf numFmtId="0" fontId="70" fillId="0" borderId="0" xfId="0" applyFont="1" applyAlignment="1" applyProtection="1">
      <alignment horizontal="center" vertical="center" shrinkToFit="1"/>
      <protection hidden="1"/>
    </xf>
    <xf numFmtId="0" fontId="72" fillId="0" borderId="0" xfId="0" applyFont="1" applyAlignment="1" applyProtection="1">
      <alignment horizontal="center" vertical="center"/>
      <protection hidden="1"/>
    </xf>
    <xf numFmtId="0" fontId="58" fillId="0" borderId="0" xfId="0" applyFont="1" applyFill="1" applyAlignment="1">
      <alignment horizontal="left" indent="19"/>
    </xf>
    <xf numFmtId="0" fontId="58" fillId="0" borderId="0" xfId="0" applyFont="1" applyFill="1" applyBorder="1" applyAlignment="1">
      <alignment horizontal="left" indent="12"/>
    </xf>
    <xf numFmtId="0" fontId="54" fillId="0" borderId="13" xfId="0" applyFont="1" applyFill="1" applyBorder="1" applyAlignment="1">
      <alignment horizontal="center" wrapText="1"/>
    </xf>
    <xf numFmtId="0" fontId="54" fillId="0" borderId="71" xfId="0" applyFont="1" applyFill="1" applyBorder="1" applyAlignment="1">
      <alignment horizontal="center" wrapText="1"/>
    </xf>
    <xf numFmtId="0" fontId="54" fillId="0" borderId="72" xfId="0" applyFont="1" applyFill="1" applyBorder="1" applyAlignment="1">
      <alignment horizontal="center" wrapText="1"/>
    </xf>
    <xf numFmtId="0" fontId="54" fillId="0" borderId="30" xfId="0" applyFont="1" applyFill="1" applyBorder="1" applyAlignment="1">
      <alignment horizontal="center" wrapText="1"/>
    </xf>
    <xf numFmtId="0" fontId="54" fillId="0" borderId="144" xfId="0" applyFont="1" applyFill="1" applyBorder="1" applyAlignment="1">
      <alignment horizontal="center" wrapText="1"/>
    </xf>
    <xf numFmtId="0" fontId="54" fillId="0" borderId="145" xfId="0" applyFont="1" applyFill="1" applyBorder="1" applyAlignment="1">
      <alignment horizontal="center" wrapText="1"/>
    </xf>
    <xf numFmtId="0" fontId="54" fillId="0" borderId="129" xfId="0" applyFont="1" applyFill="1" applyBorder="1" applyAlignment="1">
      <alignment horizontal="center" wrapText="1"/>
    </xf>
    <xf numFmtId="0" fontId="50" fillId="0" borderId="19" xfId="0" applyFont="1" applyFill="1" applyBorder="1" applyAlignment="1">
      <alignment horizontal="left" vertical="center" wrapText="1" indent="2"/>
    </xf>
    <xf numFmtId="3" fontId="38" fillId="0" borderId="97" xfId="0" applyNumberFormat="1" applyFont="1" applyFill="1" applyBorder="1" applyAlignment="1" applyProtection="1">
      <alignment horizontal="center" vertical="center" wrapText="1"/>
      <protection hidden="1"/>
    </xf>
    <xf numFmtId="3" fontId="38" fillId="0" borderId="76" xfId="0" applyNumberFormat="1" applyFont="1" applyFill="1" applyBorder="1" applyAlignment="1" applyProtection="1">
      <alignment horizontal="center" vertical="center" wrapText="1"/>
      <protection hidden="1"/>
    </xf>
    <xf numFmtId="3" fontId="38" fillId="0" borderId="20" xfId="0" applyNumberFormat="1" applyFont="1" applyFill="1" applyBorder="1" applyAlignment="1" applyProtection="1">
      <alignment horizontal="center" vertical="center" wrapText="1"/>
      <protection hidden="1"/>
    </xf>
    <xf numFmtId="3" fontId="38" fillId="0" borderId="36" xfId="0" applyNumberFormat="1" applyFont="1" applyFill="1" applyBorder="1" applyAlignment="1" applyProtection="1">
      <alignment horizontal="center" vertical="center" wrapText="1"/>
      <protection hidden="1"/>
    </xf>
    <xf numFmtId="3" fontId="38" fillId="2" borderId="130" xfId="0" applyNumberFormat="1" applyFont="1" applyFill="1" applyBorder="1" applyAlignment="1" applyProtection="1">
      <alignment horizontal="center" vertical="center" wrapText="1"/>
      <protection locked="0"/>
    </xf>
    <xf numFmtId="3" fontId="38" fillId="2" borderId="110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65" xfId="0" applyFont="1" applyFill="1" applyBorder="1" applyAlignment="1">
      <alignment horizontal="left" vertical="center" wrapText="1" indent="2"/>
    </xf>
    <xf numFmtId="3" fontId="38" fillId="0" borderId="77" xfId="0" applyNumberFormat="1" applyFont="1" applyFill="1" applyBorder="1" applyAlignment="1" applyProtection="1">
      <alignment horizontal="center" vertical="center" wrapText="1"/>
      <protection hidden="1"/>
    </xf>
    <xf numFmtId="3" fontId="38" fillId="0" borderId="67" xfId="0" applyNumberFormat="1" applyFont="1" applyFill="1" applyBorder="1" applyAlignment="1" applyProtection="1">
      <alignment horizontal="center" vertical="center" wrapText="1"/>
      <protection hidden="1"/>
    </xf>
    <xf numFmtId="3" fontId="38" fillId="0" borderId="68" xfId="0" applyNumberFormat="1" applyFont="1" applyFill="1" applyBorder="1" applyAlignment="1" applyProtection="1">
      <alignment horizontal="center" vertical="center" wrapText="1"/>
      <protection hidden="1"/>
    </xf>
    <xf numFmtId="3" fontId="38" fillId="0" borderId="69" xfId="0" applyNumberFormat="1" applyFont="1" applyFill="1" applyBorder="1" applyAlignment="1" applyProtection="1">
      <alignment horizontal="center" vertical="center" wrapText="1"/>
      <protection hidden="1"/>
    </xf>
    <xf numFmtId="3" fontId="38" fillId="2" borderId="67" xfId="0" applyNumberFormat="1" applyFont="1" applyFill="1" applyBorder="1" applyAlignment="1" applyProtection="1">
      <alignment horizontal="center" vertical="center" wrapText="1"/>
      <protection locked="0"/>
    </xf>
    <xf numFmtId="3" fontId="38" fillId="2" borderId="117" xfId="0" applyNumberFormat="1" applyFont="1" applyFill="1" applyBorder="1" applyAlignment="1" applyProtection="1">
      <alignment horizontal="center" vertical="center" wrapText="1"/>
      <protection locked="0"/>
    </xf>
    <xf numFmtId="3" fontId="38" fillId="2" borderId="64" xfId="0" applyNumberFormat="1" applyFont="1" applyFill="1" applyBorder="1" applyAlignment="1" applyProtection="1">
      <alignment horizontal="center" vertical="center" wrapText="1"/>
      <protection locked="0"/>
    </xf>
    <xf numFmtId="3" fontId="38" fillId="0" borderId="67" xfId="0" applyNumberFormat="1" applyFont="1" applyFill="1" applyBorder="1" applyAlignment="1" applyProtection="1">
      <alignment horizontal="center" vertical="center" shrinkToFit="1"/>
      <protection hidden="1"/>
    </xf>
    <xf numFmtId="0" fontId="45" fillId="0" borderId="65" xfId="0" applyFont="1" applyFill="1" applyBorder="1" applyAlignment="1">
      <alignment horizontal="left" vertical="center" wrapText="1" indent="2"/>
    </xf>
    <xf numFmtId="0" fontId="45" fillId="0" borderId="195" xfId="0" applyFont="1" applyFill="1" applyBorder="1" applyAlignment="1" applyProtection="1">
      <alignment horizontal="left" vertical="center" wrapText="1" indent="2"/>
      <protection hidden="1"/>
    </xf>
    <xf numFmtId="3" fontId="38" fillId="0" borderId="85" xfId="0" applyNumberFormat="1" applyFont="1" applyFill="1" applyBorder="1" applyAlignment="1" applyProtection="1">
      <alignment horizontal="center" vertical="center" wrapText="1"/>
      <protection hidden="1"/>
    </xf>
    <xf numFmtId="3" fontId="38" fillId="0" borderId="86" xfId="0" applyNumberFormat="1" applyFont="1" applyFill="1" applyBorder="1" applyAlignment="1" applyProtection="1">
      <alignment horizontal="center" vertical="center" wrapText="1"/>
      <protection hidden="1"/>
    </xf>
    <xf numFmtId="3" fontId="38" fillId="0" borderId="148" xfId="0" applyNumberFormat="1" applyFont="1" applyFill="1" applyBorder="1" applyAlignment="1" applyProtection="1">
      <alignment horizontal="center" vertical="center" wrapText="1"/>
      <protection hidden="1"/>
    </xf>
    <xf numFmtId="3" fontId="38" fillId="0" borderId="87" xfId="0" applyNumberFormat="1" applyFont="1" applyFill="1" applyBorder="1" applyAlignment="1" applyProtection="1">
      <alignment horizontal="center" vertical="center" wrapText="1"/>
      <protection hidden="1"/>
    </xf>
    <xf numFmtId="3" fontId="38" fillId="2" borderId="86" xfId="0" applyNumberFormat="1" applyFont="1" applyFill="1" applyBorder="1" applyAlignment="1" applyProtection="1">
      <alignment horizontal="center" vertical="center" wrapText="1"/>
      <protection locked="0"/>
    </xf>
    <xf numFmtId="3" fontId="38" fillId="2" borderId="151" xfId="0" applyNumberFormat="1" applyFont="1" applyFill="1" applyBorder="1" applyAlignment="1" applyProtection="1">
      <alignment horizontal="center" vertical="center" wrapText="1"/>
      <protection locked="0"/>
    </xf>
    <xf numFmtId="3" fontId="38" fillId="2" borderId="38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153" xfId="0" applyFont="1" applyFill="1" applyBorder="1" applyAlignment="1">
      <alignment horizontal="left" vertical="center" wrapText="1" indent="2"/>
    </xf>
    <xf numFmtId="3" fontId="38" fillId="0" borderId="154" xfId="0" applyNumberFormat="1" applyFont="1" applyFill="1" applyBorder="1" applyAlignment="1" applyProtection="1">
      <alignment horizontal="center" vertical="center" wrapText="1"/>
      <protection hidden="1"/>
    </xf>
    <xf numFmtId="3" fontId="38" fillId="0" borderId="155" xfId="0" applyNumberFormat="1" applyFont="1" applyFill="1" applyBorder="1" applyAlignment="1" applyProtection="1">
      <alignment horizontal="center" vertical="center" wrapText="1"/>
      <protection hidden="1"/>
    </xf>
    <xf numFmtId="3" fontId="38" fillId="0" borderId="156" xfId="0" applyNumberFormat="1" applyFont="1" applyFill="1" applyBorder="1" applyAlignment="1" applyProtection="1">
      <alignment horizontal="center" vertical="center" wrapText="1"/>
      <protection hidden="1"/>
    </xf>
    <xf numFmtId="3" fontId="38" fillId="0" borderId="157" xfId="0" applyNumberFormat="1" applyFont="1" applyFill="1" applyBorder="1" applyAlignment="1" applyProtection="1">
      <alignment horizontal="center" vertical="center" wrapText="1"/>
      <protection hidden="1"/>
    </xf>
    <xf numFmtId="3" fontId="38" fillId="2" borderId="155" xfId="0" applyNumberFormat="1" applyFont="1" applyFill="1" applyBorder="1" applyAlignment="1" applyProtection="1">
      <alignment horizontal="center" vertical="center" wrapText="1"/>
      <protection locked="0"/>
    </xf>
    <xf numFmtId="3" fontId="38" fillId="2" borderId="158" xfId="0" applyNumberFormat="1" applyFont="1" applyFill="1" applyBorder="1" applyAlignment="1" applyProtection="1">
      <alignment horizontal="center" vertical="center" wrapText="1"/>
      <protection locked="0"/>
    </xf>
    <xf numFmtId="3" fontId="38" fillId="2" borderId="159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0" xfId="0" applyFont="1" applyFill="1" applyAlignment="1" applyProtection="1">
      <alignment horizontal="justify"/>
      <protection hidden="1"/>
    </xf>
    <xf numFmtId="0" fontId="72" fillId="0" borderId="0" xfId="0" applyFont="1" applyFill="1" applyAlignment="1" applyProtection="1">
      <alignment horizontal="left"/>
      <protection hidden="1"/>
    </xf>
    <xf numFmtId="0" fontId="75" fillId="0" borderId="0" xfId="0" applyFont="1" applyFill="1" applyAlignment="1" applyProtection="1">
      <alignment vertical="center" wrapText="1"/>
      <protection hidden="1"/>
    </xf>
    <xf numFmtId="0" fontId="58" fillId="0" borderId="0" xfId="0" applyFont="1" applyFill="1" applyAlignment="1" applyProtection="1">
      <alignment horizontal="left"/>
      <protection hidden="1"/>
    </xf>
    <xf numFmtId="0" fontId="58" fillId="0" borderId="0" xfId="0" applyFont="1" applyFill="1" applyAlignment="1" applyProtection="1">
      <protection hidden="1"/>
    </xf>
    <xf numFmtId="0" fontId="58" fillId="0" borderId="0" xfId="0" applyFont="1" applyFill="1" applyAlignment="1" applyProtection="1">
      <alignment horizontal="left" vertical="top"/>
      <protection hidden="1"/>
    </xf>
    <xf numFmtId="0" fontId="29" fillId="0" borderId="5" xfId="0" applyFont="1" applyFill="1" applyBorder="1" applyAlignment="1" applyProtection="1">
      <alignment horizontal="center" vertical="center" wrapText="1"/>
      <protection hidden="1"/>
    </xf>
    <xf numFmtId="0" fontId="29" fillId="0" borderId="96" xfId="0" applyFont="1" applyFill="1" applyBorder="1" applyAlignment="1" applyProtection="1">
      <alignment horizontal="center" vertical="center" wrapText="1"/>
      <protection hidden="1"/>
    </xf>
    <xf numFmtId="0" fontId="69" fillId="0" borderId="26" xfId="0" applyFont="1" applyFill="1" applyBorder="1" applyAlignment="1" applyProtection="1">
      <alignment horizontal="center" vertical="center" wrapText="1"/>
      <protection hidden="1"/>
    </xf>
    <xf numFmtId="3" fontId="54" fillId="0" borderId="27" xfId="0" applyNumberFormat="1" applyFont="1" applyFill="1" applyBorder="1" applyAlignment="1" applyProtection="1">
      <alignment horizontal="center" vertical="center" wrapText="1"/>
      <protection hidden="1"/>
    </xf>
    <xf numFmtId="3" fontId="54" fillId="0" borderId="127" xfId="0" applyNumberFormat="1" applyFont="1" applyFill="1" applyBorder="1" applyAlignment="1" applyProtection="1">
      <alignment horizontal="center" vertical="center" wrapText="1"/>
      <protection hidden="1"/>
    </xf>
    <xf numFmtId="3" fontId="78" fillId="0" borderId="137" xfId="0" applyNumberFormat="1" applyFont="1" applyFill="1" applyBorder="1" applyAlignment="1" applyProtection="1">
      <alignment horizontal="center" vertical="center" wrapText="1"/>
      <protection hidden="1"/>
    </xf>
    <xf numFmtId="3" fontId="78" fillId="0" borderId="140" xfId="0" applyNumberFormat="1" applyFont="1" applyFill="1" applyBorder="1" applyAlignment="1" applyProtection="1">
      <alignment horizontal="center" vertical="center" wrapText="1"/>
      <protection hidden="1"/>
    </xf>
    <xf numFmtId="0" fontId="45" fillId="0" borderId="0" xfId="0" applyFont="1" applyFill="1" applyBorder="1" applyAlignment="1" applyProtection="1">
      <alignment horizontal="center" vertical="center" wrapText="1"/>
      <protection hidden="1"/>
    </xf>
    <xf numFmtId="3" fontId="38" fillId="0" borderId="46" xfId="0" applyNumberFormat="1" applyFont="1" applyFill="1" applyBorder="1" applyAlignment="1" applyProtection="1">
      <alignment horizontal="center" vertical="center" wrapText="1"/>
      <protection hidden="1"/>
    </xf>
    <xf numFmtId="3" fontId="38" fillId="2" borderId="134" xfId="0" applyNumberFormat="1" applyFont="1" applyFill="1" applyBorder="1" applyAlignment="1" applyProtection="1">
      <alignment horizontal="center" vertical="center" wrapText="1"/>
      <protection locked="0"/>
    </xf>
    <xf numFmtId="3" fontId="79" fillId="0" borderId="135" xfId="0" applyNumberFormat="1" applyFont="1" applyFill="1" applyBorder="1" applyAlignment="1" applyProtection="1">
      <alignment horizontal="center" vertical="center" wrapText="1"/>
      <protection hidden="1"/>
    </xf>
    <xf numFmtId="3" fontId="79" fillId="0" borderId="136" xfId="0" applyNumberFormat="1" applyFont="1" applyFill="1" applyBorder="1" applyAlignment="1" applyProtection="1">
      <alignment horizontal="center" vertical="center" wrapText="1"/>
      <protection hidden="1"/>
    </xf>
    <xf numFmtId="0" fontId="45" fillId="0" borderId="65" xfId="0" applyFont="1" applyFill="1" applyBorder="1" applyAlignment="1" applyProtection="1">
      <alignment horizontal="center" vertical="center" wrapText="1"/>
      <protection hidden="1"/>
    </xf>
    <xf numFmtId="3" fontId="38" fillId="2" borderId="146" xfId="0" applyNumberFormat="1" applyFont="1" applyFill="1" applyBorder="1" applyAlignment="1" applyProtection="1">
      <alignment horizontal="center" vertical="center" wrapText="1"/>
      <protection locked="0"/>
    </xf>
    <xf numFmtId="3" fontId="79" fillId="0" borderId="138" xfId="0" applyNumberFormat="1" applyFont="1" applyFill="1" applyBorder="1" applyAlignment="1" applyProtection="1">
      <alignment horizontal="center" vertical="center" wrapText="1"/>
      <protection hidden="1"/>
    </xf>
    <xf numFmtId="3" fontId="79" fillId="0" borderId="141" xfId="0" applyNumberFormat="1" applyFont="1" applyFill="1" applyBorder="1" applyAlignment="1" applyProtection="1">
      <alignment horizontal="center" vertical="center" wrapText="1"/>
      <protection hidden="1"/>
    </xf>
    <xf numFmtId="0" fontId="45" fillId="0" borderId="78" xfId="0" applyFont="1" applyFill="1" applyBorder="1" applyAlignment="1" applyProtection="1">
      <alignment horizontal="center" vertical="center" wrapText="1"/>
      <protection hidden="1"/>
    </xf>
    <xf numFmtId="3" fontId="38" fillId="0" borderId="79" xfId="0" applyNumberFormat="1" applyFont="1" applyFill="1" applyBorder="1" applyAlignment="1" applyProtection="1">
      <alignment horizontal="center" vertical="center" wrapText="1"/>
      <protection hidden="1"/>
    </xf>
    <xf numFmtId="3" fontId="38" fillId="2" borderId="147" xfId="0" applyNumberFormat="1" applyFont="1" applyFill="1" applyBorder="1" applyAlignment="1" applyProtection="1">
      <alignment horizontal="center" vertical="center" wrapText="1"/>
      <protection locked="0"/>
    </xf>
    <xf numFmtId="3" fontId="79" fillId="0" borderId="139" xfId="0" applyNumberFormat="1" applyFont="1" applyFill="1" applyBorder="1" applyAlignment="1" applyProtection="1">
      <alignment horizontal="center" vertical="center" wrapText="1"/>
      <protection hidden="1"/>
    </xf>
    <xf numFmtId="3" fontId="79" fillId="0" borderId="142" xfId="0" applyNumberFormat="1" applyFont="1" applyFill="1" applyBorder="1" applyAlignment="1" applyProtection="1">
      <alignment horizontal="center" vertical="center" wrapText="1"/>
      <protection hidden="1"/>
    </xf>
    <xf numFmtId="0" fontId="80" fillId="0" borderId="0" xfId="0" applyFont="1" applyProtection="1">
      <protection hidden="1"/>
    </xf>
    <xf numFmtId="0" fontId="80" fillId="0" borderId="0" xfId="0" applyFont="1" applyAlignment="1">
      <alignment horizontal="left"/>
    </xf>
    <xf numFmtId="0" fontId="60" fillId="0" borderId="0" xfId="0" applyFont="1" applyAlignment="1" applyProtection="1">
      <alignment horizontal="center"/>
      <protection hidden="1"/>
    </xf>
    <xf numFmtId="0" fontId="35" fillId="0" borderId="0" xfId="0" applyFont="1" applyProtection="1">
      <protection hidden="1"/>
    </xf>
    <xf numFmtId="0" fontId="59" fillId="0" borderId="0" xfId="0" applyFont="1" applyFill="1" applyAlignment="1" applyProtection="1">
      <alignment horizontal="left" indent="5"/>
      <protection hidden="1"/>
    </xf>
    <xf numFmtId="0" fontId="59" fillId="0" borderId="0" xfId="0" applyFont="1" applyFill="1" applyBorder="1" applyAlignment="1" applyProtection="1">
      <alignment horizontal="left" vertical="center" indent="5"/>
      <protection hidden="1"/>
    </xf>
    <xf numFmtId="0" fontId="57" fillId="0" borderId="23" xfId="0" applyFont="1" applyFill="1" applyBorder="1" applyAlignment="1" applyProtection="1">
      <alignment horizontal="center" vertical="center" wrapText="1"/>
      <protection hidden="1"/>
    </xf>
    <xf numFmtId="0" fontId="46" fillId="0" borderId="13" xfId="0" applyFont="1" applyFill="1" applyBorder="1" applyAlignment="1" applyProtection="1">
      <alignment horizontal="center" vertical="center" wrapText="1"/>
      <protection hidden="1"/>
    </xf>
    <xf numFmtId="0" fontId="46" fillId="0" borderId="71" xfId="0" applyFont="1" applyFill="1" applyBorder="1" applyAlignment="1" applyProtection="1">
      <alignment horizontal="center" vertical="center" wrapText="1"/>
      <protection hidden="1"/>
    </xf>
    <xf numFmtId="0" fontId="46" fillId="0" borderId="30" xfId="0" applyFont="1" applyFill="1" applyBorder="1" applyAlignment="1" applyProtection="1">
      <alignment horizontal="center" vertical="center" wrapText="1"/>
      <protection hidden="1"/>
    </xf>
    <xf numFmtId="0" fontId="46" fillId="0" borderId="145" xfId="0" applyFont="1" applyFill="1" applyBorder="1" applyAlignment="1" applyProtection="1">
      <alignment horizontal="center" vertical="center" wrapText="1"/>
      <protection hidden="1"/>
    </xf>
    <xf numFmtId="0" fontId="46" fillId="0" borderId="129" xfId="0" applyFont="1" applyFill="1" applyBorder="1" applyAlignment="1" applyProtection="1">
      <alignment horizontal="center" vertical="center" wrapText="1"/>
      <protection hidden="1"/>
    </xf>
    <xf numFmtId="0" fontId="46" fillId="0" borderId="256" xfId="0" applyFont="1" applyFill="1" applyBorder="1" applyAlignment="1" applyProtection="1">
      <alignment horizontal="center" vertical="center" wrapText="1"/>
      <protection hidden="1"/>
    </xf>
    <xf numFmtId="0" fontId="46" fillId="0" borderId="272" xfId="0" applyFont="1" applyFill="1" applyBorder="1" applyAlignment="1" applyProtection="1">
      <alignment horizontal="center" vertical="center" wrapText="1"/>
      <protection hidden="1"/>
    </xf>
    <xf numFmtId="0" fontId="46" fillId="0" borderId="196" xfId="0" applyFont="1" applyFill="1" applyBorder="1" applyAlignment="1" applyProtection="1">
      <alignment horizontal="center" vertical="center" wrapText="1"/>
      <protection hidden="1"/>
    </xf>
    <xf numFmtId="0" fontId="56" fillId="0" borderId="26" xfId="0" applyFont="1" applyFill="1" applyBorder="1" applyAlignment="1" applyProtection="1">
      <alignment horizontal="left" vertical="center" wrapText="1" indent="1"/>
      <protection hidden="1"/>
    </xf>
    <xf numFmtId="3" fontId="37" fillId="0" borderId="27" xfId="0" applyNumberFormat="1" applyFont="1" applyFill="1" applyBorder="1" applyAlignment="1" applyProtection="1">
      <alignment horizontal="center" vertical="center" shrinkToFit="1"/>
      <protection hidden="1"/>
    </xf>
    <xf numFmtId="3" fontId="37" fillId="0" borderId="73" xfId="0" applyNumberFormat="1" applyFont="1" applyFill="1" applyBorder="1" applyAlignment="1" applyProtection="1">
      <alignment horizontal="center" vertical="center" shrinkToFit="1"/>
      <protection hidden="1"/>
    </xf>
    <xf numFmtId="3" fontId="37" fillId="0" borderId="26" xfId="0" applyNumberFormat="1" applyFont="1" applyFill="1" applyBorder="1" applyAlignment="1" applyProtection="1">
      <alignment horizontal="center" vertical="center" shrinkToFit="1"/>
      <protection hidden="1"/>
    </xf>
    <xf numFmtId="3" fontId="37" fillId="0" borderId="34" xfId="0" applyNumberFormat="1" applyFont="1" applyFill="1" applyBorder="1" applyAlignment="1" applyProtection="1">
      <alignment horizontal="center" vertical="center" shrinkToFit="1"/>
      <protection hidden="1"/>
    </xf>
    <xf numFmtId="3" fontId="37" fillId="0" borderId="248" xfId="0" applyNumberFormat="1" applyFont="1" applyFill="1" applyBorder="1" applyAlignment="1" applyProtection="1">
      <alignment horizontal="center" vertical="center" shrinkToFit="1"/>
      <protection hidden="1"/>
    </xf>
    <xf numFmtId="3" fontId="37" fillId="0" borderId="207" xfId="0" applyNumberFormat="1" applyFont="1" applyFill="1" applyBorder="1" applyAlignment="1" applyProtection="1">
      <alignment horizontal="center" vertical="center" shrinkToFit="1"/>
      <protection hidden="1"/>
    </xf>
    <xf numFmtId="3" fontId="37" fillId="0" borderId="206" xfId="0" applyNumberFormat="1" applyFont="1" applyFill="1" applyBorder="1" applyAlignment="1" applyProtection="1">
      <alignment horizontal="center" vertical="center" shrinkToFit="1"/>
      <protection hidden="1"/>
    </xf>
    <xf numFmtId="0" fontId="45" fillId="0" borderId="65" xfId="0" applyFont="1" applyFill="1" applyBorder="1" applyAlignment="1" applyProtection="1">
      <alignment horizontal="left" vertical="center" wrapText="1" indent="1"/>
      <protection hidden="1"/>
    </xf>
    <xf numFmtId="3" fontId="38" fillId="0" borderId="21" xfId="0" applyNumberFormat="1" applyFont="1" applyFill="1" applyBorder="1" applyAlignment="1" applyProtection="1">
      <alignment horizontal="center" vertical="center" shrinkToFit="1"/>
      <protection hidden="1"/>
    </xf>
    <xf numFmtId="3" fontId="38" fillId="0" borderId="257" xfId="0" applyNumberFormat="1" applyFont="1" applyFill="1" applyBorder="1" applyAlignment="1" applyProtection="1">
      <alignment horizontal="center" vertical="center" shrinkToFit="1"/>
      <protection hidden="1"/>
    </xf>
    <xf numFmtId="3" fontId="38" fillId="2" borderId="209" xfId="0" applyNumberFormat="1" applyFont="1" applyFill="1" applyBorder="1" applyAlignment="1" applyProtection="1">
      <alignment horizontal="center" vertical="center" shrinkToFit="1"/>
      <protection locked="0"/>
    </xf>
    <xf numFmtId="3" fontId="38" fillId="0" borderId="208" xfId="0" applyNumberFormat="1" applyFont="1" applyFill="1" applyBorder="1" applyAlignment="1" applyProtection="1">
      <alignment horizontal="center" vertical="center" shrinkToFit="1"/>
      <protection hidden="1"/>
    </xf>
    <xf numFmtId="3" fontId="38" fillId="2" borderId="76" xfId="0" applyNumberFormat="1" applyFont="1" applyFill="1" applyBorder="1" applyAlignment="1" applyProtection="1">
      <alignment horizontal="center" vertical="center" shrinkToFit="1"/>
      <protection locked="0"/>
    </xf>
    <xf numFmtId="3" fontId="38" fillId="2" borderId="134" xfId="0" applyNumberFormat="1" applyFont="1" applyFill="1" applyBorder="1" applyAlignment="1" applyProtection="1">
      <alignment horizontal="center" vertical="center" shrinkToFit="1"/>
      <protection locked="0"/>
    </xf>
    <xf numFmtId="3" fontId="38" fillId="0" borderId="69" xfId="0" applyNumberFormat="1" applyFont="1" applyFill="1" applyBorder="1" applyAlignment="1" applyProtection="1">
      <alignment horizontal="center" vertical="center" shrinkToFit="1"/>
      <protection hidden="1"/>
    </xf>
    <xf numFmtId="3" fontId="38" fillId="0" borderId="258" xfId="0" applyNumberFormat="1" applyFont="1" applyFill="1" applyBorder="1" applyAlignment="1" applyProtection="1">
      <alignment horizontal="center" vertical="center" shrinkToFit="1"/>
      <protection hidden="1"/>
    </xf>
    <xf numFmtId="3" fontId="38" fillId="2" borderId="211" xfId="0" applyNumberFormat="1" applyFont="1" applyFill="1" applyBorder="1" applyAlignment="1" applyProtection="1">
      <alignment horizontal="center" vertical="center" shrinkToFit="1"/>
      <protection locked="0"/>
    </xf>
    <xf numFmtId="3" fontId="38" fillId="0" borderId="210" xfId="0" applyNumberFormat="1" applyFont="1" applyFill="1" applyBorder="1" applyAlignment="1" applyProtection="1">
      <alignment horizontal="center" vertical="center" shrinkToFit="1"/>
      <protection hidden="1"/>
    </xf>
    <xf numFmtId="3" fontId="38" fillId="0" borderId="225" xfId="0" applyNumberFormat="1" applyFont="1" applyFill="1" applyBorder="1" applyAlignment="1" applyProtection="1">
      <alignment horizontal="center" vertical="center" shrinkToFit="1"/>
      <protection hidden="1"/>
    </xf>
    <xf numFmtId="3" fontId="38" fillId="0" borderId="259" xfId="0" applyNumberFormat="1" applyFont="1" applyFill="1" applyBorder="1" applyAlignment="1" applyProtection="1">
      <alignment horizontal="center" vertical="center" shrinkToFit="1"/>
      <protection hidden="1"/>
    </xf>
    <xf numFmtId="3" fontId="38" fillId="0" borderId="260" xfId="0" applyNumberFormat="1" applyFont="1" applyFill="1" applyBorder="1" applyAlignment="1" applyProtection="1">
      <alignment horizontal="center" vertical="center" shrinkToFit="1"/>
      <protection hidden="1"/>
    </xf>
    <xf numFmtId="3" fontId="38" fillId="0" borderId="261" xfId="0" applyNumberFormat="1" applyFont="1" applyFill="1" applyBorder="1" applyAlignment="1" applyProtection="1">
      <alignment horizontal="center" vertical="center" shrinkToFit="1"/>
      <protection hidden="1"/>
    </xf>
    <xf numFmtId="3" fontId="38" fillId="0" borderId="262" xfId="0" applyNumberFormat="1" applyFont="1" applyFill="1" applyBorder="1" applyAlignment="1" applyProtection="1">
      <alignment horizontal="center" vertical="center" shrinkToFit="1"/>
      <protection hidden="1"/>
    </xf>
    <xf numFmtId="3" fontId="38" fillId="0" borderId="263" xfId="0" applyNumberFormat="1" applyFont="1" applyFill="1" applyBorder="1" applyAlignment="1" applyProtection="1">
      <alignment horizontal="center" vertical="center" shrinkToFit="1"/>
      <protection hidden="1"/>
    </xf>
    <xf numFmtId="3" fontId="38" fillId="0" borderId="273" xfId="0" applyNumberFormat="1" applyFont="1" applyFill="1" applyBorder="1" applyAlignment="1" applyProtection="1">
      <alignment horizontal="center" vertical="center" shrinkToFit="1"/>
      <protection hidden="1"/>
    </xf>
    <xf numFmtId="3" fontId="38" fillId="0" borderId="264" xfId="0" applyNumberFormat="1" applyFont="1" applyFill="1" applyBorder="1" applyAlignment="1" applyProtection="1">
      <alignment horizontal="center" vertical="center" shrinkToFit="1"/>
      <protection hidden="1"/>
    </xf>
    <xf numFmtId="3" fontId="38" fillId="0" borderId="86" xfId="0" applyNumberFormat="1" applyFont="1" applyFill="1" applyBorder="1" applyAlignment="1" applyProtection="1">
      <alignment horizontal="center" vertical="center" shrinkToFit="1"/>
      <protection hidden="1"/>
    </xf>
    <xf numFmtId="3" fontId="38" fillId="0" borderId="87" xfId="0" applyNumberFormat="1" applyFont="1" applyFill="1" applyBorder="1" applyAlignment="1" applyProtection="1">
      <alignment horizontal="center" vertical="center" shrinkToFit="1"/>
      <protection hidden="1"/>
    </xf>
    <xf numFmtId="3" fontId="38" fillId="0" borderId="38" xfId="0" applyNumberFormat="1" applyFont="1" applyFill="1" applyBorder="1" applyAlignment="1" applyProtection="1">
      <alignment horizontal="center" vertical="center" shrinkToFit="1"/>
      <protection hidden="1"/>
    </xf>
    <xf numFmtId="0" fontId="52" fillId="0" borderId="54" xfId="0" applyFont="1" applyFill="1" applyBorder="1" applyAlignment="1" applyProtection="1">
      <alignment horizontal="left" vertical="center" wrapText="1" indent="3"/>
      <protection hidden="1"/>
    </xf>
    <xf numFmtId="3" fontId="38" fillId="0" borderId="49" xfId="0" applyNumberFormat="1" applyFont="1" applyFill="1" applyBorder="1" applyAlignment="1" applyProtection="1">
      <alignment horizontal="center" vertical="center" shrinkToFit="1"/>
      <protection hidden="1"/>
    </xf>
    <xf numFmtId="3" fontId="38" fillId="0" borderId="265" xfId="0" applyNumberFormat="1" applyFont="1" applyFill="1" applyBorder="1" applyAlignment="1" applyProtection="1">
      <alignment horizontal="center" vertical="center" shrinkToFit="1"/>
      <protection hidden="1"/>
    </xf>
    <xf numFmtId="3" fontId="38" fillId="2" borderId="274" xfId="0" applyNumberFormat="1" applyFont="1" applyFill="1" applyBorder="1" applyAlignment="1" applyProtection="1">
      <alignment horizontal="center" vertical="center" shrinkToFit="1"/>
      <protection locked="0"/>
    </xf>
    <xf numFmtId="3" fontId="38" fillId="0" borderId="221" xfId="0" applyNumberFormat="1" applyFont="1" applyFill="1" applyBorder="1" applyAlignment="1" applyProtection="1">
      <alignment horizontal="center" vertical="center" shrinkToFit="1"/>
      <protection hidden="1"/>
    </xf>
    <xf numFmtId="0" fontId="52" fillId="0" borderId="48" xfId="0" applyFont="1" applyFill="1" applyBorder="1" applyAlignment="1" applyProtection="1">
      <alignment horizontal="left" vertical="center" wrapText="1" indent="3"/>
      <protection hidden="1"/>
    </xf>
    <xf numFmtId="0" fontId="52" fillId="0" borderId="23" xfId="0" applyFont="1" applyFill="1" applyBorder="1" applyAlignment="1" applyProtection="1">
      <alignment horizontal="left" vertical="center" wrapText="1" indent="3"/>
      <protection hidden="1"/>
    </xf>
    <xf numFmtId="3" fontId="38" fillId="2" borderId="41" xfId="0" applyNumberFormat="1" applyFont="1" applyFill="1" applyBorder="1" applyAlignment="1" applyProtection="1">
      <alignment horizontal="center" vertical="center" shrinkToFit="1"/>
      <protection locked="0"/>
    </xf>
    <xf numFmtId="0" fontId="45" fillId="0" borderId="261" xfId="0" applyFont="1" applyFill="1" applyBorder="1" applyAlignment="1" applyProtection="1">
      <alignment horizontal="left" vertical="center" wrapText="1" indent="1"/>
      <protection hidden="1"/>
    </xf>
    <xf numFmtId="0" fontId="52" fillId="0" borderId="266" xfId="0" applyFont="1" applyFill="1" applyBorder="1" applyAlignment="1" applyProtection="1">
      <alignment horizontal="left" vertical="center" wrapText="1" indent="3"/>
      <protection hidden="1"/>
    </xf>
    <xf numFmtId="3" fontId="38" fillId="0" borderId="279" xfId="0" applyNumberFormat="1" applyFont="1" applyFill="1" applyBorder="1" applyAlignment="1" applyProtection="1">
      <alignment horizontal="center" vertical="center" shrinkToFit="1"/>
      <protection hidden="1"/>
    </xf>
    <xf numFmtId="3" fontId="38" fillId="2" borderId="280" xfId="0" applyNumberFormat="1" applyFont="1" applyFill="1" applyBorder="1" applyAlignment="1" applyProtection="1">
      <alignment horizontal="center" vertical="center" shrinkToFit="1"/>
      <protection locked="0"/>
    </xf>
    <xf numFmtId="3" fontId="38" fillId="0" borderId="281" xfId="0" applyNumberFormat="1" applyFont="1" applyFill="1" applyBorder="1" applyAlignment="1" applyProtection="1">
      <alignment horizontal="center" vertical="center" shrinkToFit="1"/>
      <protection hidden="1"/>
    </xf>
    <xf numFmtId="0" fontId="45" fillId="0" borderId="267" xfId="0" applyFont="1" applyFill="1" applyBorder="1" applyAlignment="1" applyProtection="1">
      <alignment horizontal="left" vertical="center" wrapText="1" indent="1"/>
      <protection hidden="1"/>
    </xf>
    <xf numFmtId="3" fontId="38" fillId="0" borderId="222" xfId="0" applyNumberFormat="1" applyFont="1" applyFill="1" applyBorder="1" applyAlignment="1" applyProtection="1">
      <alignment horizontal="center" vertical="center" shrinkToFit="1"/>
      <protection hidden="1"/>
    </xf>
    <xf numFmtId="3" fontId="38" fillId="2" borderId="95" xfId="0" applyNumberFormat="1" applyFont="1" applyFill="1" applyBorder="1" applyAlignment="1" applyProtection="1">
      <alignment horizontal="center" vertical="center" shrinkToFit="1"/>
      <protection locked="0"/>
    </xf>
    <xf numFmtId="3" fontId="38" fillId="2" borderId="109" xfId="0" applyNumberFormat="1" applyFont="1" applyFill="1" applyBorder="1" applyAlignment="1" applyProtection="1">
      <alignment horizontal="center" vertical="center" shrinkToFit="1"/>
      <protection locked="0"/>
    </xf>
    <xf numFmtId="3" fontId="38" fillId="0" borderId="163" xfId="0" applyNumberFormat="1" applyFont="1" applyFill="1" applyBorder="1" applyAlignment="1" applyProtection="1">
      <alignment horizontal="center" vertical="center" shrinkToFit="1"/>
      <protection hidden="1"/>
    </xf>
    <xf numFmtId="3" fontId="38" fillId="0" borderId="268" xfId="0" applyNumberFormat="1" applyFont="1" applyFill="1" applyBorder="1" applyAlignment="1" applyProtection="1">
      <alignment horizontal="center" vertical="center" shrinkToFit="1"/>
      <protection hidden="1"/>
    </xf>
    <xf numFmtId="3" fontId="38" fillId="2" borderId="275" xfId="0" applyNumberFormat="1" applyFont="1" applyFill="1" applyBorder="1" applyAlignment="1" applyProtection="1">
      <alignment horizontal="center" vertical="center" shrinkToFit="1"/>
      <protection locked="0"/>
    </xf>
    <xf numFmtId="3" fontId="38" fillId="2" borderId="282" xfId="0" applyNumberFormat="1" applyFont="1" applyFill="1" applyBorder="1" applyAlignment="1" applyProtection="1">
      <alignment horizontal="center" vertical="center" shrinkToFit="1"/>
      <protection locked="0"/>
    </xf>
    <xf numFmtId="3" fontId="38" fillId="2" borderId="283" xfId="0" applyNumberFormat="1" applyFont="1" applyFill="1" applyBorder="1" applyAlignment="1" applyProtection="1">
      <alignment horizontal="center" vertical="center" shrinkToFit="1"/>
      <protection locked="0"/>
    </xf>
    <xf numFmtId="0" fontId="45" fillId="0" borderId="269" xfId="0" applyFont="1" applyFill="1" applyBorder="1" applyAlignment="1" applyProtection="1">
      <alignment horizontal="left" vertical="center" wrapText="1" indent="1"/>
      <protection hidden="1"/>
    </xf>
    <xf numFmtId="0" fontId="45" fillId="0" borderId="132" xfId="0" applyFont="1" applyFill="1" applyBorder="1" applyAlignment="1" applyProtection="1">
      <alignment horizontal="left" vertical="center" wrapText="1" indent="1"/>
      <protection hidden="1"/>
    </xf>
    <xf numFmtId="0" fontId="45" fillId="0" borderId="3" xfId="0" applyFont="1" applyFill="1" applyBorder="1" applyAlignment="1" applyProtection="1">
      <alignment horizontal="left" vertical="center" wrapText="1" indent="1"/>
      <protection hidden="1"/>
    </xf>
    <xf numFmtId="3" fontId="38" fillId="0" borderId="35" xfId="0" applyNumberFormat="1" applyFont="1" applyFill="1" applyBorder="1" applyAlignment="1" applyProtection="1">
      <alignment horizontal="center" vertical="center" shrinkToFit="1"/>
      <protection hidden="1"/>
    </xf>
    <xf numFmtId="3" fontId="38" fillId="0" borderId="256" xfId="0" applyNumberFormat="1" applyFont="1" applyFill="1" applyBorder="1" applyAlignment="1" applyProtection="1">
      <alignment horizontal="center" vertical="center" shrinkToFit="1"/>
      <protection hidden="1"/>
    </xf>
    <xf numFmtId="3" fontId="38" fillId="2" borderId="205" xfId="0" applyNumberFormat="1" applyFont="1" applyFill="1" applyBorder="1" applyAlignment="1" applyProtection="1">
      <alignment horizontal="center" vertical="center" shrinkToFit="1"/>
      <protection locked="0"/>
    </xf>
    <xf numFmtId="3" fontId="38" fillId="0" borderId="196" xfId="0" applyNumberFormat="1" applyFont="1" applyFill="1" applyBorder="1" applyAlignment="1" applyProtection="1">
      <alignment horizontal="center" vertical="center" shrinkToFit="1"/>
      <protection hidden="1"/>
    </xf>
    <xf numFmtId="3" fontId="38" fillId="2" borderId="80" xfId="0" applyNumberFormat="1" applyFont="1" applyFill="1" applyBorder="1" applyAlignment="1" applyProtection="1">
      <alignment horizontal="center" vertical="center" shrinkToFit="1"/>
      <protection locked="0"/>
    </xf>
    <xf numFmtId="3" fontId="38" fillId="0" borderId="81" xfId="0" applyNumberFormat="1" applyFont="1" applyFill="1" applyBorder="1" applyAlignment="1" applyProtection="1">
      <alignment horizontal="center" vertical="center" shrinkToFit="1"/>
      <protection hidden="1"/>
    </xf>
    <xf numFmtId="3" fontId="38" fillId="2" borderId="88" xfId="0" applyNumberFormat="1" applyFont="1" applyFill="1" applyBorder="1" applyAlignment="1" applyProtection="1">
      <alignment horizontal="center" vertical="center" shrinkToFit="1"/>
      <protection locked="0"/>
    </xf>
    <xf numFmtId="0" fontId="70" fillId="0" borderId="0" xfId="0" applyFont="1" applyAlignment="1" applyProtection="1">
      <alignment vertical="center"/>
      <protection hidden="1"/>
    </xf>
    <xf numFmtId="0" fontId="83" fillId="0" borderId="0" xfId="0" applyFont="1" applyAlignment="1" applyProtection="1">
      <alignment horizontal="center" vertical="center"/>
      <protection hidden="1"/>
    </xf>
    <xf numFmtId="0" fontId="84" fillId="0" borderId="0" xfId="0" applyFont="1" applyAlignment="1" applyProtection="1">
      <alignment horizontal="center" vertical="center"/>
      <protection hidden="1"/>
    </xf>
    <xf numFmtId="0" fontId="56" fillId="0" borderId="0" xfId="0" applyFont="1" applyBorder="1" applyAlignment="1" applyProtection="1">
      <alignment vertical="center" wrapText="1"/>
      <protection hidden="1"/>
    </xf>
    <xf numFmtId="0" fontId="75" fillId="0" borderId="0" xfId="0" applyFont="1" applyBorder="1" applyAlignment="1" applyProtection="1">
      <alignment vertical="center" wrapText="1"/>
      <protection hidden="1"/>
    </xf>
    <xf numFmtId="0" fontId="38" fillId="0" borderId="0" xfId="0" applyFont="1" applyFill="1" applyBorder="1" applyAlignment="1" applyProtection="1">
      <alignment vertical="center"/>
      <protection hidden="1"/>
    </xf>
    <xf numFmtId="0" fontId="86" fillId="0" borderId="0" xfId="0" applyFont="1" applyBorder="1" applyAlignment="1" applyProtection="1">
      <alignment vertical="center" wrapText="1"/>
      <protection hidden="1"/>
    </xf>
    <xf numFmtId="0" fontId="86" fillId="0" borderId="44" xfId="0" applyFont="1" applyBorder="1" applyAlignment="1" applyProtection="1">
      <alignment vertical="center" wrapText="1"/>
      <protection hidden="1"/>
    </xf>
    <xf numFmtId="0" fontId="56" fillId="0" borderId="44" xfId="0" applyFont="1" applyBorder="1" applyAlignment="1" applyProtection="1">
      <alignment vertical="center" wrapText="1"/>
      <protection hidden="1"/>
    </xf>
    <xf numFmtId="0" fontId="85" fillId="0" borderId="0" xfId="0" applyFont="1" applyBorder="1" applyAlignment="1" applyProtection="1">
      <alignment vertical="center" wrapText="1"/>
      <protection hidden="1"/>
    </xf>
    <xf numFmtId="0" fontId="59" fillId="0" borderId="0" xfId="0" applyFont="1" applyFill="1" applyBorder="1" applyAlignment="1">
      <alignment vertical="center" wrapText="1"/>
    </xf>
    <xf numFmtId="0" fontId="59" fillId="0" borderId="0" xfId="0" applyFont="1" applyFill="1" applyBorder="1" applyAlignment="1" applyProtection="1">
      <alignment vertical="center" wrapText="1"/>
      <protection hidden="1"/>
    </xf>
    <xf numFmtId="0" fontId="46" fillId="0" borderId="93" xfId="0" applyFont="1" applyFill="1" applyBorder="1" applyAlignment="1" applyProtection="1">
      <alignment horizontal="center" vertical="center" wrapText="1"/>
      <protection hidden="1"/>
    </xf>
    <xf numFmtId="0" fontId="46" fillId="0" borderId="205" xfId="0" applyFont="1" applyFill="1" applyBorder="1" applyAlignment="1" applyProtection="1">
      <alignment horizontal="center" vertical="center" wrapText="1"/>
      <protection hidden="1"/>
    </xf>
    <xf numFmtId="0" fontId="72" fillId="0" borderId="26" xfId="0" applyFont="1" applyFill="1" applyBorder="1" applyAlignment="1" applyProtection="1">
      <alignment horizontal="center" vertical="center" wrapText="1"/>
      <protection hidden="1"/>
    </xf>
    <xf numFmtId="3" fontId="46" fillId="0" borderId="27" xfId="0" applyNumberFormat="1" applyFont="1" applyFill="1" applyBorder="1" applyAlignment="1" applyProtection="1">
      <alignment horizontal="center" vertical="center" shrinkToFit="1"/>
      <protection hidden="1"/>
    </xf>
    <xf numFmtId="3" fontId="46" fillId="0" borderId="73" xfId="0" applyNumberFormat="1" applyFont="1" applyFill="1" applyBorder="1" applyAlignment="1" applyProtection="1">
      <alignment horizontal="center" vertical="center" shrinkToFit="1"/>
      <protection hidden="1"/>
    </xf>
    <xf numFmtId="3" fontId="46" fillId="0" borderId="26" xfId="0" applyNumberFormat="1" applyFont="1" applyFill="1" applyBorder="1" applyAlignment="1" applyProtection="1">
      <alignment horizontal="center" vertical="center" shrinkToFit="1"/>
      <protection hidden="1"/>
    </xf>
    <xf numFmtId="3" fontId="46" fillId="0" borderId="206" xfId="0" applyNumberFormat="1" applyFont="1" applyFill="1" applyBorder="1" applyAlignment="1" applyProtection="1">
      <alignment horizontal="center" vertical="center" shrinkToFit="1"/>
      <protection hidden="1"/>
    </xf>
    <xf numFmtId="3" fontId="46" fillId="0" borderId="207" xfId="0" applyNumberFormat="1" applyFont="1" applyFill="1" applyBorder="1" applyAlignment="1" applyProtection="1">
      <alignment horizontal="center" vertical="center" shrinkToFit="1"/>
      <protection hidden="1"/>
    </xf>
    <xf numFmtId="0" fontId="46" fillId="0" borderId="0" xfId="0" applyFont="1" applyAlignment="1" applyProtection="1">
      <alignment horizontal="right" vertical="center"/>
      <protection hidden="1"/>
    </xf>
    <xf numFmtId="0" fontId="46" fillId="0" borderId="0" xfId="0" applyFont="1" applyFill="1" applyBorder="1" applyAlignment="1" applyProtection="1">
      <alignment horizontal="left" vertical="center" wrapText="1"/>
      <protection hidden="1"/>
    </xf>
    <xf numFmtId="0" fontId="87" fillId="0" borderId="0" xfId="0" applyFont="1" applyFill="1" applyBorder="1" applyAlignment="1" applyProtection="1">
      <alignment horizontal="center" vertical="center" wrapText="1"/>
      <protection hidden="1"/>
    </xf>
    <xf numFmtId="0" fontId="46" fillId="0" borderId="65" xfId="0" applyFont="1" applyBorder="1" applyAlignment="1" applyProtection="1">
      <alignment horizontal="right" vertical="center"/>
      <protection hidden="1"/>
    </xf>
    <xf numFmtId="0" fontId="46" fillId="0" borderId="65" xfId="0" applyFont="1" applyFill="1" applyBorder="1" applyAlignment="1" applyProtection="1">
      <alignment horizontal="left" vertical="center" wrapText="1"/>
      <protection hidden="1"/>
    </xf>
    <xf numFmtId="0" fontId="87" fillId="0" borderId="65" xfId="0" applyFont="1" applyFill="1" applyBorder="1" applyAlignment="1" applyProtection="1">
      <alignment horizontal="center" vertical="center" wrapText="1"/>
      <protection hidden="1"/>
    </xf>
    <xf numFmtId="3" fontId="38" fillId="0" borderId="65" xfId="0" applyNumberFormat="1" applyFont="1" applyFill="1" applyBorder="1" applyAlignment="1" applyProtection="1">
      <alignment horizontal="center" vertical="center" shrinkToFit="1"/>
      <protection hidden="1"/>
    </xf>
    <xf numFmtId="0" fontId="46" fillId="0" borderId="65" xfId="0" applyFont="1" applyFill="1" applyBorder="1" applyAlignment="1" applyProtection="1">
      <alignment horizontal="right" vertical="center"/>
      <protection hidden="1"/>
    </xf>
    <xf numFmtId="0" fontId="46" fillId="0" borderId="28" xfId="0" applyFont="1" applyBorder="1" applyAlignment="1" applyProtection="1">
      <alignment horizontal="right" vertical="center"/>
      <protection hidden="1"/>
    </xf>
    <xf numFmtId="0" fontId="46" fillId="0" borderId="28" xfId="0" applyFont="1" applyFill="1" applyBorder="1" applyAlignment="1" applyProtection="1">
      <alignment horizontal="left" vertical="center" wrapText="1"/>
      <protection hidden="1"/>
    </xf>
    <xf numFmtId="0" fontId="87" fillId="0" borderId="28" xfId="0" applyFont="1" applyFill="1" applyBorder="1" applyAlignment="1" applyProtection="1">
      <alignment horizontal="center" vertical="center" wrapText="1"/>
      <protection hidden="1"/>
    </xf>
    <xf numFmtId="3" fontId="38" fillId="0" borderId="29" xfId="0" applyNumberFormat="1" applyFont="1" applyFill="1" applyBorder="1" applyAlignment="1" applyProtection="1">
      <alignment horizontal="center" vertical="center" shrinkToFit="1"/>
      <protection hidden="1"/>
    </xf>
    <xf numFmtId="3" fontId="38" fillId="2" borderId="91" xfId="0" applyNumberFormat="1" applyFont="1" applyFill="1" applyBorder="1" applyAlignment="1" applyProtection="1">
      <alignment horizontal="center" vertical="center" shrinkToFit="1"/>
      <protection locked="0"/>
    </xf>
    <xf numFmtId="3" fontId="38" fillId="2" borderId="28" xfId="0" applyNumberFormat="1" applyFont="1" applyFill="1" applyBorder="1" applyAlignment="1" applyProtection="1">
      <alignment horizontal="center" vertical="center" shrinkToFit="1"/>
      <protection locked="0"/>
    </xf>
    <xf numFmtId="3" fontId="38" fillId="0" borderId="212" xfId="0" applyNumberFormat="1" applyFont="1" applyFill="1" applyBorder="1" applyAlignment="1" applyProtection="1">
      <alignment horizontal="center" vertical="center" shrinkToFit="1"/>
      <protection hidden="1"/>
    </xf>
    <xf numFmtId="3" fontId="38" fillId="2" borderId="213" xfId="0" applyNumberFormat="1" applyFont="1" applyFill="1" applyBorder="1" applyAlignment="1" applyProtection="1">
      <alignment horizontal="center" vertical="center" shrinkToFit="1"/>
      <protection locked="0"/>
    </xf>
    <xf numFmtId="3" fontId="38" fillId="0" borderId="28" xfId="0" applyNumberFormat="1" applyFont="1" applyFill="1" applyBorder="1" applyAlignment="1" applyProtection="1">
      <alignment horizontal="center" vertical="center" shrinkToFit="1"/>
      <protection hidden="1"/>
    </xf>
    <xf numFmtId="0" fontId="46" fillId="0" borderId="24" xfId="0" applyFont="1" applyBorder="1" applyAlignment="1" applyProtection="1">
      <alignment horizontal="right" vertical="center"/>
      <protection hidden="1"/>
    </xf>
    <xf numFmtId="0" fontId="46" fillId="0" borderId="24" xfId="0" applyFont="1" applyFill="1" applyBorder="1" applyAlignment="1" applyProtection="1">
      <alignment horizontal="left" vertical="center" wrapText="1"/>
      <protection hidden="1"/>
    </xf>
    <xf numFmtId="0" fontId="87" fillId="0" borderId="24" xfId="0" applyFont="1" applyFill="1" applyBorder="1" applyAlignment="1" applyProtection="1">
      <alignment horizontal="center" vertical="center" wrapText="1"/>
      <protection hidden="1"/>
    </xf>
    <xf numFmtId="3" fontId="38" fillId="0" borderId="25" xfId="0" applyNumberFormat="1" applyFont="1" applyFill="1" applyBorder="1" applyAlignment="1" applyProtection="1">
      <alignment horizontal="center" vertical="center" shrinkToFit="1"/>
      <protection hidden="1"/>
    </xf>
    <xf numFmtId="3" fontId="38" fillId="2" borderId="92" xfId="0" applyNumberFormat="1" applyFont="1" applyFill="1" applyBorder="1" applyAlignment="1" applyProtection="1">
      <alignment horizontal="center" vertical="center" shrinkToFit="1"/>
      <protection locked="0"/>
    </xf>
    <xf numFmtId="3" fontId="38" fillId="2" borderId="24" xfId="0" applyNumberFormat="1" applyFont="1" applyFill="1" applyBorder="1" applyAlignment="1" applyProtection="1">
      <alignment horizontal="center" vertical="center" shrinkToFit="1"/>
      <protection locked="0"/>
    </xf>
    <xf numFmtId="3" fontId="38" fillId="0" borderId="214" xfId="0" applyNumberFormat="1" applyFont="1" applyFill="1" applyBorder="1" applyAlignment="1" applyProtection="1">
      <alignment horizontal="center" vertical="center" shrinkToFit="1"/>
      <protection hidden="1"/>
    </xf>
    <xf numFmtId="3" fontId="38" fillId="2" borderId="215" xfId="0" applyNumberFormat="1" applyFont="1" applyFill="1" applyBorder="1" applyAlignment="1" applyProtection="1">
      <alignment horizontal="center" vertical="center" shrinkToFit="1"/>
      <protection locked="0"/>
    </xf>
    <xf numFmtId="3" fontId="38" fillId="0" borderId="24" xfId="0" applyNumberFormat="1" applyFont="1" applyFill="1" applyBorder="1" applyAlignment="1" applyProtection="1">
      <alignment horizontal="center" vertical="center" shrinkToFit="1"/>
      <protection hidden="1"/>
    </xf>
    <xf numFmtId="0" fontId="46" fillId="0" borderId="30" xfId="0" applyFont="1" applyBorder="1" applyAlignment="1" applyProtection="1">
      <alignment horizontal="right" vertical="center"/>
      <protection hidden="1"/>
    </xf>
    <xf numFmtId="0" fontId="46" fillId="0" borderId="30" xfId="0" applyFont="1" applyFill="1" applyBorder="1" applyAlignment="1" applyProtection="1">
      <alignment horizontal="left" vertical="center" wrapText="1"/>
      <protection hidden="1"/>
    </xf>
    <xf numFmtId="0" fontId="87" fillId="0" borderId="30" xfId="0" applyFont="1" applyFill="1" applyBorder="1" applyAlignment="1" applyProtection="1">
      <alignment horizontal="center" vertical="center" wrapText="1"/>
      <protection hidden="1"/>
    </xf>
    <xf numFmtId="3" fontId="38" fillId="0" borderId="30" xfId="0" applyNumberFormat="1" applyFont="1" applyFill="1" applyBorder="1" applyAlignment="1" applyProtection="1">
      <alignment horizontal="center" vertical="center" shrinkToFit="1"/>
      <protection hidden="1"/>
    </xf>
    <xf numFmtId="0" fontId="72" fillId="0" borderId="0" xfId="0" applyFont="1" applyFill="1" applyBorder="1" applyAlignment="1" applyProtection="1">
      <alignment horizontal="center" vertical="center" wrapText="1"/>
      <protection hidden="1"/>
    </xf>
    <xf numFmtId="0" fontId="57" fillId="0" borderId="0" xfId="0" applyFont="1" applyAlignment="1" applyProtection="1">
      <alignment vertical="center"/>
      <protection hidden="1"/>
    </xf>
    <xf numFmtId="0" fontId="70" fillId="0" borderId="0" xfId="0" applyFont="1" applyAlignment="1" applyProtection="1">
      <alignment horizontal="center" vertical="center"/>
      <protection hidden="1"/>
    </xf>
    <xf numFmtId="0" fontId="45" fillId="0" borderId="0" xfId="0" applyFont="1" applyAlignment="1" applyProtection="1">
      <alignment horizontal="right" vertical="center"/>
      <protection hidden="1"/>
    </xf>
    <xf numFmtId="0" fontId="37" fillId="0" borderId="0" xfId="0" applyFont="1" applyAlignment="1" applyProtection="1">
      <alignment vertical="center"/>
      <protection locked="0"/>
    </xf>
    <xf numFmtId="0" fontId="61" fillId="0" borderId="0" xfId="0" applyFont="1" applyFill="1" applyBorder="1" applyAlignment="1" applyProtection="1">
      <alignment vertical="center"/>
      <protection hidden="1"/>
    </xf>
    <xf numFmtId="0" fontId="37" fillId="0" borderId="0" xfId="0" applyFont="1" applyAlignment="1" applyProtection="1">
      <alignment horizontal="center" vertical="center"/>
      <protection hidden="1"/>
    </xf>
    <xf numFmtId="0" fontId="59" fillId="0" borderId="0" xfId="0" applyFont="1" applyFill="1" applyBorder="1" applyAlignment="1" applyProtection="1">
      <alignment horizontal="center" vertical="center"/>
      <protection hidden="1"/>
    </xf>
    <xf numFmtId="0" fontId="57" fillId="0" borderId="37" xfId="0" applyFont="1" applyFill="1" applyBorder="1" applyAlignment="1" applyProtection="1">
      <alignment horizontal="center" vertical="center"/>
      <protection hidden="1"/>
    </xf>
    <xf numFmtId="0" fontId="71" fillId="0" borderId="72" xfId="0" applyFont="1" applyFill="1" applyBorder="1" applyAlignment="1" applyProtection="1">
      <alignment horizontal="center" vertical="center" wrapText="1"/>
      <protection hidden="1"/>
    </xf>
    <xf numFmtId="0" fontId="38" fillId="0" borderId="0" xfId="0" applyFont="1" applyAlignment="1" applyProtection="1">
      <alignment horizontal="center" vertical="center"/>
      <protection hidden="1"/>
    </xf>
    <xf numFmtId="0" fontId="38" fillId="0" borderId="0" xfId="0" applyFont="1" applyAlignment="1" applyProtection="1">
      <alignment horizontal="center" vertical="center"/>
      <protection locked="0"/>
    </xf>
    <xf numFmtId="0" fontId="38" fillId="0" borderId="31" xfId="0" applyFont="1" applyFill="1" applyBorder="1" applyAlignment="1" applyProtection="1">
      <alignment horizontal="center" vertical="center" shrinkToFit="1"/>
      <protection hidden="1"/>
    </xf>
    <xf numFmtId="0" fontId="37" fillId="0" borderId="0" xfId="0" applyFont="1" applyAlignment="1" applyProtection="1">
      <alignment horizontal="center" vertical="center"/>
      <protection locked="0"/>
    </xf>
    <xf numFmtId="0" fontId="38" fillId="2" borderId="0" xfId="0" applyFont="1" applyFill="1" applyBorder="1" applyAlignment="1" applyProtection="1">
      <alignment horizontal="left" vertical="center" shrinkToFit="1"/>
      <protection locked="0"/>
    </xf>
    <xf numFmtId="0" fontId="87" fillId="0" borderId="0" xfId="0" applyFont="1" applyBorder="1" applyAlignment="1" applyProtection="1">
      <alignment horizontal="center" vertical="center"/>
      <protection hidden="1"/>
    </xf>
    <xf numFmtId="0" fontId="38" fillId="2" borderId="21" xfId="0" applyFont="1" applyFill="1" applyBorder="1" applyAlignment="1" applyProtection="1">
      <alignment horizontal="center" vertical="center" shrinkToFit="1"/>
      <protection locked="0"/>
    </xf>
    <xf numFmtId="0" fontId="38" fillId="2" borderId="65" xfId="0" applyFont="1" applyFill="1" applyBorder="1" applyAlignment="1" applyProtection="1">
      <alignment horizontal="left" vertical="center" shrinkToFit="1"/>
      <protection locked="0"/>
    </xf>
    <xf numFmtId="0" fontId="38" fillId="0" borderId="65" xfId="0" applyFont="1" applyFill="1" applyBorder="1" applyAlignment="1" applyProtection="1">
      <alignment horizontal="center" vertical="center" wrapText="1"/>
      <protection hidden="1"/>
    </xf>
    <xf numFmtId="0" fontId="87" fillId="0" borderId="68" xfId="0" applyFont="1" applyBorder="1" applyAlignment="1" applyProtection="1">
      <alignment horizontal="center" vertical="center"/>
      <protection hidden="1"/>
    </xf>
    <xf numFmtId="0" fontId="38" fillId="2" borderId="69" xfId="0" applyFont="1" applyFill="1" applyBorder="1" applyAlignment="1" applyProtection="1">
      <alignment horizontal="center" vertical="center" shrinkToFit="1"/>
      <protection locked="0"/>
    </xf>
    <xf numFmtId="0" fontId="74" fillId="0" borderId="0" xfId="0" applyFont="1" applyFill="1" applyBorder="1" applyAlignment="1" applyProtection="1">
      <alignment vertical="center" wrapText="1"/>
      <protection hidden="1"/>
    </xf>
    <xf numFmtId="0" fontId="87" fillId="0" borderId="68" xfId="0" applyFont="1" applyBorder="1" applyAlignment="1" applyProtection="1">
      <alignment horizontal="center" vertical="center" shrinkToFit="1"/>
      <protection hidden="1"/>
    </xf>
    <xf numFmtId="0" fontId="64" fillId="0" borderId="0" xfId="0" applyFont="1" applyAlignment="1" applyProtection="1">
      <alignment horizontal="left" vertical="center" indent="1"/>
      <protection locked="0"/>
    </xf>
    <xf numFmtId="0" fontId="64" fillId="0" borderId="0" xfId="0" applyFont="1" applyAlignment="1" applyProtection="1">
      <alignment horizontal="center" vertical="center"/>
      <protection locked="0"/>
    </xf>
    <xf numFmtId="0" fontId="89" fillId="0" borderId="0" xfId="0" applyFont="1" applyFill="1" applyBorder="1" applyAlignment="1" applyProtection="1">
      <alignment vertical="center" wrapText="1"/>
      <protection locked="0"/>
    </xf>
    <xf numFmtId="3" fontId="38" fillId="2" borderId="69" xfId="0" applyNumberFormat="1" applyFont="1" applyFill="1" applyBorder="1" applyAlignment="1" applyProtection="1">
      <alignment horizontal="center" vertical="center" shrinkToFit="1"/>
      <protection locked="0"/>
    </xf>
    <xf numFmtId="0" fontId="64" fillId="0" borderId="0" xfId="0" quotePrefix="1" applyFont="1" applyAlignment="1" applyProtection="1">
      <alignment horizontal="center" vertical="center"/>
      <protection locked="0"/>
    </xf>
    <xf numFmtId="0" fontId="64" fillId="0" borderId="0" xfId="0" applyFont="1" applyAlignment="1" applyProtection="1">
      <alignment vertical="center"/>
      <protection locked="0"/>
    </xf>
    <xf numFmtId="0" fontId="38" fillId="2" borderId="78" xfId="0" applyFont="1" applyFill="1" applyBorder="1" applyAlignment="1" applyProtection="1">
      <alignment horizontal="left" vertical="center" shrinkToFit="1"/>
      <protection locked="0"/>
    </xf>
    <xf numFmtId="0" fontId="38" fillId="0" borderId="78" xfId="0" applyFont="1" applyFill="1" applyBorder="1" applyAlignment="1" applyProtection="1">
      <alignment horizontal="center" vertical="center" wrapText="1"/>
      <protection hidden="1"/>
    </xf>
    <xf numFmtId="0" fontId="87" fillId="0" borderId="82" xfId="0" applyFont="1" applyBorder="1" applyAlignment="1" applyProtection="1">
      <alignment horizontal="center" vertical="center"/>
      <protection hidden="1"/>
    </xf>
    <xf numFmtId="3" fontId="38" fillId="2" borderId="81" xfId="0" applyNumberFormat="1" applyFont="1" applyFill="1" applyBorder="1" applyAlignment="1" applyProtection="1">
      <alignment horizontal="center" vertical="center" shrinkToFit="1"/>
      <protection locked="0"/>
    </xf>
    <xf numFmtId="0" fontId="64" fillId="0" borderId="0" xfId="0" applyFont="1" applyFill="1" applyBorder="1" applyAlignment="1" applyProtection="1">
      <alignment horizontal="center" vertical="center" wrapText="1"/>
      <protection hidden="1"/>
    </xf>
    <xf numFmtId="3" fontId="64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37" fillId="0" borderId="0" xfId="0" applyFont="1" applyFill="1" applyAlignment="1" applyProtection="1">
      <alignment vertical="center"/>
      <protection locked="0"/>
    </xf>
    <xf numFmtId="0" fontId="64" fillId="0" borderId="0" xfId="0" applyFont="1" applyFill="1" applyBorder="1" applyAlignment="1" applyProtection="1">
      <alignment horizontal="left" vertical="center" wrapText="1"/>
      <protection hidden="1"/>
    </xf>
    <xf numFmtId="0" fontId="37" fillId="0" borderId="0" xfId="0" applyFont="1" applyFill="1" applyAlignment="1" applyProtection="1">
      <alignment horizontal="center" vertical="center"/>
      <protection hidden="1"/>
    </xf>
    <xf numFmtId="0" fontId="59" fillId="0" borderId="0" xfId="0" applyFont="1" applyFill="1" applyAlignment="1" applyProtection="1">
      <alignment horizontal="left" vertical="center" indent="9"/>
      <protection hidden="1"/>
    </xf>
    <xf numFmtId="0" fontId="59" fillId="0" borderId="30" xfId="0" applyFont="1" applyFill="1" applyBorder="1" applyAlignment="1" applyProtection="1">
      <alignment horizontal="left" vertical="center" indent="9"/>
      <protection hidden="1"/>
    </xf>
    <xf numFmtId="0" fontId="46" fillId="0" borderId="13" xfId="0" applyFont="1" applyFill="1" applyBorder="1" applyAlignment="1" applyProtection="1">
      <alignment horizontal="center" wrapText="1"/>
      <protection hidden="1"/>
    </xf>
    <xf numFmtId="0" fontId="46" fillId="0" borderId="71" xfId="0" applyFont="1" applyFill="1" applyBorder="1" applyAlignment="1" applyProtection="1">
      <alignment horizontal="center" wrapText="1"/>
      <protection hidden="1"/>
    </xf>
    <xf numFmtId="0" fontId="46" fillId="0" borderId="30" xfId="0" applyFont="1" applyFill="1" applyBorder="1" applyAlignment="1" applyProtection="1">
      <alignment horizontal="center" wrapText="1"/>
      <protection hidden="1"/>
    </xf>
    <xf numFmtId="0" fontId="46" fillId="0" borderId="35" xfId="0" applyFont="1" applyFill="1" applyBorder="1" applyAlignment="1" applyProtection="1">
      <alignment horizontal="center" wrapText="1"/>
      <protection hidden="1"/>
    </xf>
    <xf numFmtId="0" fontId="46" fillId="0" borderId="72" xfId="0" applyFont="1" applyFill="1" applyBorder="1" applyAlignment="1" applyProtection="1">
      <alignment horizontal="center" wrapText="1"/>
      <protection hidden="1"/>
    </xf>
    <xf numFmtId="0" fontId="46" fillId="0" borderId="129" xfId="0" applyFont="1" applyFill="1" applyBorder="1" applyAlignment="1" applyProtection="1">
      <alignment horizontal="center" wrapText="1"/>
      <protection hidden="1"/>
    </xf>
    <xf numFmtId="0" fontId="90" fillId="0" borderId="187" xfId="0" applyFont="1" applyFill="1" applyBorder="1" applyAlignment="1" applyProtection="1">
      <alignment vertical="center" wrapText="1"/>
      <protection hidden="1"/>
    </xf>
    <xf numFmtId="3" fontId="38" fillId="0" borderId="34" xfId="0" applyNumberFormat="1" applyFont="1" applyFill="1" applyBorder="1" applyAlignment="1" applyProtection="1">
      <alignment horizontal="center" vertical="center" shrinkToFit="1"/>
      <protection hidden="1"/>
    </xf>
    <xf numFmtId="3" fontId="38" fillId="0" borderId="188" xfId="0" applyNumberFormat="1" applyFont="1" applyFill="1" applyBorder="1" applyAlignment="1" applyProtection="1">
      <alignment horizontal="center" vertical="center" shrinkToFit="1"/>
      <protection hidden="1"/>
    </xf>
    <xf numFmtId="0" fontId="37" fillId="0" borderId="189" xfId="0" applyFont="1" applyFill="1" applyBorder="1" applyAlignment="1" applyProtection="1">
      <alignment horizontal="left" vertical="center" wrapText="1" indent="3"/>
      <protection hidden="1"/>
    </xf>
    <xf numFmtId="3" fontId="38" fillId="2" borderId="152" xfId="0" applyNumberFormat="1" applyFont="1" applyFill="1" applyBorder="1" applyAlignment="1" applyProtection="1">
      <alignment horizontal="center" vertical="center" shrinkToFit="1"/>
      <protection locked="0"/>
    </xf>
    <xf numFmtId="0" fontId="37" fillId="0" borderId="54" xfId="0" applyFont="1" applyFill="1" applyBorder="1" applyAlignment="1" applyProtection="1">
      <alignment horizontal="left" vertical="center" wrapText="1" indent="3"/>
      <protection hidden="1"/>
    </xf>
    <xf numFmtId="3" fontId="38" fillId="0" borderId="94" xfId="0" applyNumberFormat="1" applyFont="1" applyFill="1" applyBorder="1" applyAlignment="1" applyProtection="1">
      <alignment horizontal="center" vertical="center" shrinkToFit="1"/>
      <protection hidden="1"/>
    </xf>
    <xf numFmtId="3" fontId="38" fillId="0" borderId="48" xfId="0" applyNumberFormat="1" applyFont="1" applyFill="1" applyBorder="1" applyAlignment="1" applyProtection="1">
      <alignment horizontal="center" vertical="center" shrinkToFit="1"/>
      <protection hidden="1"/>
    </xf>
    <xf numFmtId="3" fontId="38" fillId="2" borderId="190" xfId="0" applyNumberFormat="1" applyFont="1" applyFill="1" applyBorder="1" applyAlignment="1" applyProtection="1">
      <alignment horizontal="center" vertical="center" shrinkToFit="1"/>
      <protection locked="0"/>
    </xf>
    <xf numFmtId="0" fontId="37" fillId="0" borderId="48" xfId="0" applyFont="1" applyFill="1" applyBorder="1" applyAlignment="1" applyProtection="1">
      <alignment horizontal="left" vertical="center" wrapText="1" indent="3"/>
      <protection hidden="1"/>
    </xf>
    <xf numFmtId="0" fontId="45" fillId="0" borderId="189" xfId="0" applyFont="1" applyFill="1" applyBorder="1" applyAlignment="1" applyProtection="1">
      <alignment horizontal="left" vertical="center" wrapText="1" indent="1"/>
      <protection hidden="1"/>
    </xf>
    <xf numFmtId="3" fontId="38" fillId="0" borderId="192" xfId="0" applyNumberFormat="1" applyFont="1" applyFill="1" applyBorder="1" applyAlignment="1" applyProtection="1">
      <alignment horizontal="center" vertical="center" shrinkToFit="1"/>
      <protection hidden="1"/>
    </xf>
    <xf numFmtId="0" fontId="37" fillId="0" borderId="174" xfId="0" applyFont="1" applyFill="1" applyBorder="1" applyAlignment="1" applyProtection="1">
      <alignment horizontal="left" vertical="center" wrapText="1" indent="3"/>
      <protection hidden="1"/>
    </xf>
    <xf numFmtId="3" fontId="38" fillId="0" borderId="108" xfId="0" applyNumberFormat="1" applyFont="1" applyFill="1" applyBorder="1" applyAlignment="1" applyProtection="1">
      <alignment horizontal="center" vertical="center" shrinkToFit="1"/>
      <protection hidden="1"/>
    </xf>
    <xf numFmtId="3" fontId="38" fillId="0" borderId="62" xfId="0" applyNumberFormat="1" applyFont="1" applyFill="1" applyBorder="1" applyAlignment="1" applyProtection="1">
      <alignment horizontal="center" vertical="center" shrinkToFit="1"/>
      <protection hidden="1"/>
    </xf>
    <xf numFmtId="3" fontId="38" fillId="0" borderId="193" xfId="0" applyNumberFormat="1" applyFont="1" applyFill="1" applyBorder="1" applyAlignment="1" applyProtection="1">
      <alignment horizontal="center" vertical="center" shrinkToFit="1"/>
      <protection hidden="1"/>
    </xf>
    <xf numFmtId="3" fontId="38" fillId="2" borderId="194" xfId="0" applyNumberFormat="1" applyFont="1" applyFill="1" applyBorder="1" applyAlignment="1" applyProtection="1">
      <alignment horizontal="center" vertical="center" shrinkToFit="1"/>
      <protection locked="0"/>
    </xf>
    <xf numFmtId="0" fontId="64" fillId="0" borderId="0" xfId="0" applyFont="1" applyAlignment="1" applyProtection="1">
      <alignment vertical="center"/>
      <protection hidden="1"/>
    </xf>
    <xf numFmtId="0" fontId="59" fillId="0" borderId="0" xfId="0" applyFont="1" applyFill="1" applyAlignment="1" applyProtection="1">
      <alignment horizontal="left" vertical="center" indent="10"/>
      <protection hidden="1"/>
    </xf>
    <xf numFmtId="0" fontId="61" fillId="0" borderId="0" xfId="0" applyFont="1" applyFill="1" applyBorder="1" applyAlignment="1">
      <alignment horizontal="center" vertical="center"/>
    </xf>
    <xf numFmtId="0" fontId="59" fillId="0" borderId="30" xfId="0" applyFont="1" applyFill="1" applyBorder="1" applyAlignment="1" applyProtection="1">
      <alignment horizontal="left" vertical="center" indent="10"/>
      <protection hidden="1"/>
    </xf>
    <xf numFmtId="3" fontId="38" fillId="0" borderId="36" xfId="0" applyNumberFormat="1" applyFont="1" applyFill="1" applyBorder="1" applyAlignment="1" applyProtection="1">
      <alignment horizontal="center" vertical="center" shrinkToFit="1"/>
      <protection hidden="1"/>
    </xf>
    <xf numFmtId="3" fontId="38" fillId="2" borderId="130" xfId="0" applyNumberFormat="1" applyFont="1" applyFill="1" applyBorder="1" applyAlignment="1" applyProtection="1">
      <alignment horizontal="center" vertical="center" shrinkToFit="1"/>
      <protection locked="0"/>
    </xf>
    <xf numFmtId="3" fontId="38" fillId="2" borderId="116" xfId="0" applyNumberFormat="1" applyFont="1" applyFill="1" applyBorder="1" applyAlignment="1" applyProtection="1">
      <alignment horizontal="center" vertical="center" shrinkToFit="1"/>
      <protection locked="0"/>
    </xf>
    <xf numFmtId="3" fontId="38" fillId="2" borderId="110" xfId="0" applyNumberFormat="1" applyFont="1" applyFill="1" applyBorder="1" applyAlignment="1" applyProtection="1">
      <alignment horizontal="center" vertical="center" shrinkToFit="1"/>
      <protection locked="0"/>
    </xf>
    <xf numFmtId="0" fontId="57" fillId="0" borderId="132" xfId="0" applyFont="1" applyFill="1" applyBorder="1" applyAlignment="1" applyProtection="1">
      <alignment horizontal="center" vertical="center" wrapText="1"/>
      <protection hidden="1"/>
    </xf>
    <xf numFmtId="3" fontId="38" fillId="0" borderId="85" xfId="0" applyNumberFormat="1" applyFont="1" applyFill="1" applyBorder="1" applyAlignment="1" applyProtection="1">
      <alignment horizontal="center" vertical="center" shrinkToFit="1"/>
      <protection hidden="1"/>
    </xf>
    <xf numFmtId="3" fontId="38" fillId="0" borderId="39" xfId="0" applyNumberFormat="1" applyFont="1" applyFill="1" applyBorder="1" applyAlignment="1" applyProtection="1">
      <alignment horizontal="center" vertical="center" shrinkToFit="1"/>
      <protection hidden="1"/>
    </xf>
    <xf numFmtId="3" fontId="38" fillId="0" borderId="148" xfId="0" applyNumberFormat="1" applyFont="1" applyFill="1" applyBorder="1" applyAlignment="1" applyProtection="1">
      <alignment horizontal="center" vertical="center" shrinkToFit="1"/>
      <protection hidden="1"/>
    </xf>
    <xf numFmtId="3" fontId="38" fillId="2" borderId="117" xfId="0" applyNumberFormat="1" applyFont="1" applyFill="1" applyBorder="1" applyAlignment="1" applyProtection="1">
      <alignment horizontal="center" vertical="center" shrinkToFit="1"/>
      <protection locked="0"/>
    </xf>
    <xf numFmtId="3" fontId="38" fillId="0" borderId="152" xfId="0" applyNumberFormat="1" applyFont="1" applyFill="1" applyBorder="1" applyAlignment="1" applyProtection="1">
      <alignment horizontal="center" vertical="center" shrinkToFit="1"/>
      <protection hidden="1"/>
    </xf>
    <xf numFmtId="0" fontId="57" fillId="0" borderId="70" xfId="0" applyFont="1" applyFill="1" applyBorder="1" applyAlignment="1" applyProtection="1">
      <alignment horizontal="center" vertical="center" wrapText="1"/>
      <protection hidden="1"/>
    </xf>
    <xf numFmtId="3" fontId="38" fillId="0" borderId="72" xfId="0" applyNumberFormat="1" applyFont="1" applyFill="1" applyBorder="1" applyAlignment="1" applyProtection="1">
      <alignment horizontal="center" vertical="center" shrinkToFit="1"/>
      <protection hidden="1"/>
    </xf>
    <xf numFmtId="0" fontId="91" fillId="0" borderId="0" xfId="0" applyFont="1" applyFill="1" applyAlignment="1" applyProtection="1">
      <alignment horizontal="center" vertical="center"/>
      <protection hidden="1"/>
    </xf>
    <xf numFmtId="0" fontId="92" fillId="0" borderId="0" xfId="0" applyFont="1" applyFill="1" applyBorder="1" applyAlignment="1" applyProtection="1">
      <alignment horizontal="center" vertical="center" wrapText="1"/>
      <protection hidden="1"/>
    </xf>
    <xf numFmtId="0" fontId="93" fillId="0" borderId="0" xfId="0" applyFont="1" applyAlignment="1" applyProtection="1">
      <alignment horizontal="center" vertical="center"/>
      <protection hidden="1"/>
    </xf>
    <xf numFmtId="0" fontId="45" fillId="0" borderId="23" xfId="0" applyFont="1" applyFill="1" applyBorder="1" applyAlignment="1" applyProtection="1">
      <alignment horizontal="left" vertical="center" wrapText="1" indent="2"/>
      <protection hidden="1"/>
    </xf>
    <xf numFmtId="3" fontId="38" fillId="0" borderId="74" xfId="0" applyNumberFormat="1" applyFont="1" applyFill="1" applyBorder="1" applyAlignment="1" applyProtection="1">
      <alignment horizontal="center" vertical="center" shrinkToFit="1"/>
      <protection hidden="1"/>
    </xf>
    <xf numFmtId="3" fontId="38" fillId="0" borderId="75" xfId="0" applyNumberFormat="1" applyFont="1" applyFill="1" applyBorder="1" applyAlignment="1" applyProtection="1">
      <alignment horizontal="center" vertical="center" shrinkToFit="1"/>
      <protection hidden="1"/>
    </xf>
    <xf numFmtId="3" fontId="38" fillId="0" borderId="15" xfId="0" applyNumberFormat="1" applyFont="1" applyFill="1" applyBorder="1" applyAlignment="1" applyProtection="1">
      <alignment horizontal="center" vertical="center" shrinkToFit="1"/>
      <protection hidden="1"/>
    </xf>
    <xf numFmtId="0" fontId="45" fillId="0" borderId="132" xfId="0" applyFont="1" applyFill="1" applyBorder="1" applyAlignment="1" applyProtection="1">
      <alignment horizontal="left" vertical="center" wrapText="1" indent="2"/>
      <protection hidden="1"/>
    </xf>
    <xf numFmtId="3" fontId="38" fillId="2" borderId="86" xfId="0" applyNumberFormat="1" applyFont="1" applyFill="1" applyBorder="1" applyAlignment="1" applyProtection="1">
      <alignment horizontal="center" vertical="center" shrinkToFit="1"/>
      <protection locked="0"/>
    </xf>
    <xf numFmtId="3" fontId="38" fillId="2" borderId="151" xfId="0" applyNumberFormat="1" applyFont="1" applyFill="1" applyBorder="1" applyAlignment="1" applyProtection="1">
      <alignment horizontal="center" vertical="center" shrinkToFit="1"/>
      <protection locked="0"/>
    </xf>
    <xf numFmtId="3" fontId="38" fillId="2" borderId="38" xfId="0" applyNumberFormat="1" applyFont="1" applyFill="1" applyBorder="1" applyAlignment="1" applyProtection="1">
      <alignment horizontal="center" vertical="center" shrinkToFit="1"/>
      <protection locked="0"/>
    </xf>
    <xf numFmtId="0" fontId="45" fillId="0" borderId="70" xfId="0" applyFont="1" applyFill="1" applyBorder="1" applyAlignment="1" applyProtection="1">
      <alignment horizontal="left" vertical="center" wrapText="1" indent="2"/>
      <protection hidden="1"/>
    </xf>
    <xf numFmtId="3" fontId="38" fillId="0" borderId="79" xfId="0" applyNumberFormat="1" applyFont="1" applyFill="1" applyBorder="1" applyAlignment="1" applyProtection="1">
      <alignment horizontal="center" vertical="center" shrinkToFit="1"/>
      <protection hidden="1"/>
    </xf>
    <xf numFmtId="3" fontId="38" fillId="0" borderId="80" xfId="0" applyNumberFormat="1" applyFont="1" applyFill="1" applyBorder="1" applyAlignment="1" applyProtection="1">
      <alignment horizontal="center" vertical="center" shrinkToFit="1"/>
      <protection hidden="1"/>
    </xf>
    <xf numFmtId="3" fontId="38" fillId="0" borderId="78" xfId="0" applyNumberFormat="1" applyFont="1" applyFill="1" applyBorder="1" applyAlignment="1" applyProtection="1">
      <alignment horizontal="center" vertical="center" shrinkToFit="1"/>
      <protection hidden="1"/>
    </xf>
    <xf numFmtId="3" fontId="38" fillId="2" borderId="128" xfId="0" applyNumberFormat="1" applyFont="1" applyFill="1" applyBorder="1" applyAlignment="1" applyProtection="1">
      <alignment horizontal="center" vertical="center" shrinkToFit="1"/>
      <protection locked="0"/>
    </xf>
    <xf numFmtId="0" fontId="75" fillId="0" borderId="0" xfId="0" applyFont="1" applyFill="1" applyBorder="1" applyAlignment="1" applyProtection="1">
      <alignment vertical="center" wrapText="1"/>
      <protection hidden="1"/>
    </xf>
    <xf numFmtId="3" fontId="38" fillId="0" borderId="130" xfId="0" applyNumberFormat="1" applyFont="1" applyFill="1" applyBorder="1" applyAlignment="1" applyProtection="1">
      <alignment horizontal="center" vertical="center" shrinkToFit="1"/>
      <protection hidden="1"/>
    </xf>
    <xf numFmtId="0" fontId="70" fillId="0" borderId="0" xfId="0" applyFont="1" applyFill="1" applyAlignment="1" applyProtection="1">
      <alignment horizontal="center" vertical="center"/>
      <protection hidden="1"/>
    </xf>
    <xf numFmtId="0" fontId="83" fillId="0" borderId="0" xfId="0" applyFont="1" applyFill="1" applyBorder="1" applyAlignment="1" applyProtection="1">
      <alignment horizontal="center" vertical="center" wrapText="1"/>
      <protection hidden="1"/>
    </xf>
    <xf numFmtId="0" fontId="59" fillId="0" borderId="0" xfId="0" applyFont="1" applyFill="1" applyAlignment="1" applyProtection="1">
      <alignment horizontal="left" vertical="center"/>
      <protection hidden="1"/>
    </xf>
    <xf numFmtId="0" fontId="61" fillId="0" borderId="0" xfId="0" applyFont="1" applyFill="1" applyBorder="1" applyAlignment="1">
      <alignment vertical="center"/>
    </xf>
    <xf numFmtId="0" fontId="57" fillId="0" borderId="7" xfId="0" applyFont="1" applyFill="1" applyBorder="1" applyAlignment="1" applyProtection="1">
      <alignment horizontal="center" vertical="center" wrapText="1"/>
      <protection hidden="1"/>
    </xf>
    <xf numFmtId="0" fontId="57" fillId="0" borderId="30" xfId="0" applyFont="1" applyFill="1" applyBorder="1" applyAlignment="1" applyProtection="1">
      <alignment horizontal="center" vertical="center" wrapText="1"/>
      <protection hidden="1"/>
    </xf>
    <xf numFmtId="0" fontId="46" fillId="0" borderId="176" xfId="0" applyFont="1" applyFill="1" applyBorder="1" applyAlignment="1" applyProtection="1">
      <alignment horizontal="center" vertical="center" wrapText="1"/>
      <protection hidden="1"/>
    </xf>
    <xf numFmtId="0" fontId="46" fillId="0" borderId="177" xfId="0" applyFont="1" applyFill="1" applyBorder="1" applyAlignment="1" applyProtection="1">
      <alignment horizontal="center" vertical="center" wrapText="1"/>
      <protection hidden="1"/>
    </xf>
    <xf numFmtId="0" fontId="46" fillId="0" borderId="144" xfId="0" applyFont="1" applyFill="1" applyBorder="1" applyAlignment="1" applyProtection="1">
      <alignment horizontal="center" vertical="center" wrapText="1"/>
      <protection hidden="1"/>
    </xf>
    <xf numFmtId="0" fontId="90" fillId="0" borderId="26" xfId="0" applyFont="1" applyFill="1" applyBorder="1" applyAlignment="1" applyProtection="1">
      <alignment horizontal="left" vertical="center"/>
      <protection hidden="1"/>
    </xf>
    <xf numFmtId="0" fontId="90" fillId="0" borderId="26" xfId="0" applyFont="1" applyFill="1" applyBorder="1" applyAlignment="1" applyProtection="1">
      <alignment horizontal="left" vertical="center" wrapText="1"/>
      <protection hidden="1"/>
    </xf>
    <xf numFmtId="3" fontId="46" fillId="0" borderId="27" xfId="0" applyNumberFormat="1" applyFont="1" applyFill="1" applyBorder="1" applyAlignment="1" applyProtection="1">
      <alignment horizontal="center" vertical="center" wrapText="1"/>
      <protection hidden="1"/>
    </xf>
    <xf numFmtId="3" fontId="46" fillId="0" borderId="178" xfId="0" applyNumberFormat="1" applyFont="1" applyFill="1" applyBorder="1" applyAlignment="1" applyProtection="1">
      <alignment horizontal="center" vertical="center" wrapText="1"/>
      <protection hidden="1"/>
    </xf>
    <xf numFmtId="3" fontId="46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71" fillId="0" borderId="60" xfId="0" applyFont="1" applyFill="1" applyBorder="1" applyAlignment="1" applyProtection="1">
      <alignment horizontal="left" vertical="center" indent="2"/>
      <protection hidden="1"/>
    </xf>
    <xf numFmtId="0" fontId="56" fillId="0" borderId="60" xfId="0" applyFont="1" applyFill="1" applyBorder="1" applyAlignment="1" applyProtection="1">
      <alignment horizontal="left" vertical="center" wrapText="1" indent="5"/>
      <protection hidden="1"/>
    </xf>
    <xf numFmtId="3" fontId="38" fillId="0" borderId="172" xfId="0" applyNumberFormat="1" applyFont="1" applyFill="1" applyBorder="1" applyAlignment="1" applyProtection="1">
      <alignment horizontal="center" vertical="center" shrinkToFit="1"/>
      <protection hidden="1"/>
    </xf>
    <xf numFmtId="0" fontId="37" fillId="0" borderId="60" xfId="0" applyFont="1" applyFill="1" applyBorder="1" applyAlignment="1" applyProtection="1">
      <alignment horizontal="left" vertical="center" wrapText="1" indent="5"/>
      <protection hidden="1"/>
    </xf>
    <xf numFmtId="0" fontId="45" fillId="0" borderId="60" xfId="0" applyFont="1" applyFill="1" applyBorder="1" applyAlignment="1" applyProtection="1">
      <alignment horizontal="left" vertical="center" wrapText="1" indent="9"/>
      <protection hidden="1"/>
    </xf>
    <xf numFmtId="3" fontId="38" fillId="2" borderId="172" xfId="0" applyNumberFormat="1" applyFont="1" applyFill="1" applyBorder="1" applyAlignment="1" applyProtection="1">
      <alignment horizontal="center" vertical="center" shrinkToFit="1"/>
      <protection locked="0"/>
    </xf>
    <xf numFmtId="3" fontId="38" fillId="2" borderId="60" xfId="0" applyNumberFormat="1" applyFont="1" applyFill="1" applyBorder="1" applyAlignment="1" applyProtection="1">
      <alignment horizontal="center" vertical="center" shrinkToFit="1"/>
      <protection locked="0"/>
    </xf>
    <xf numFmtId="3" fontId="38" fillId="2" borderId="226" xfId="0" applyNumberFormat="1" applyFont="1" applyFill="1" applyBorder="1" applyAlignment="1" applyProtection="1">
      <alignment horizontal="center" vertical="center" shrinkToFit="1"/>
      <protection locked="0"/>
    </xf>
    <xf numFmtId="3" fontId="38" fillId="2" borderId="191" xfId="0" applyNumberFormat="1" applyFont="1" applyFill="1" applyBorder="1" applyAlignment="1" applyProtection="1">
      <alignment horizontal="center" vertical="center" shrinkToFit="1"/>
      <protection locked="0"/>
    </xf>
    <xf numFmtId="0" fontId="74" fillId="0" borderId="0" xfId="0" applyFont="1" applyAlignment="1" applyProtection="1">
      <alignment vertical="center"/>
      <protection hidden="1"/>
    </xf>
    <xf numFmtId="3" fontId="38" fillId="2" borderId="16" xfId="0" applyNumberFormat="1" applyFont="1" applyFill="1" applyBorder="1" applyAlignment="1" applyProtection="1">
      <alignment horizontal="center" vertical="center" shrinkToFit="1"/>
      <protection locked="0"/>
    </xf>
    <xf numFmtId="0" fontId="45" fillId="0" borderId="60" xfId="0" applyFont="1" applyFill="1" applyBorder="1" applyAlignment="1" applyProtection="1">
      <alignment horizontal="center" vertical="center" shrinkToFit="1"/>
      <protection hidden="1"/>
    </xf>
    <xf numFmtId="0" fontId="37" fillId="0" borderId="179" xfId="0" applyFont="1" applyFill="1" applyBorder="1" applyAlignment="1" applyProtection="1">
      <alignment horizontal="left" vertical="center" wrapText="1" indent="5"/>
      <protection hidden="1"/>
    </xf>
    <xf numFmtId="0" fontId="45" fillId="0" borderId="179" xfId="0" applyFont="1" applyFill="1" applyBorder="1" applyAlignment="1" applyProtection="1">
      <alignment horizontal="left" vertical="center" wrapText="1" indent="9"/>
      <protection hidden="1"/>
    </xf>
    <xf numFmtId="3" fontId="38" fillId="0" borderId="181" xfId="0" applyNumberFormat="1" applyFont="1" applyFill="1" applyBorder="1" applyAlignment="1" applyProtection="1">
      <alignment horizontal="center" vertical="center" shrinkToFit="1"/>
      <protection hidden="1"/>
    </xf>
    <xf numFmtId="3" fontId="38" fillId="2" borderId="173" xfId="0" applyNumberFormat="1" applyFont="1" applyFill="1" applyBorder="1" applyAlignment="1" applyProtection="1">
      <alignment horizontal="center" vertical="center" shrinkToFit="1"/>
      <protection locked="0"/>
    </xf>
    <xf numFmtId="3" fontId="38" fillId="2" borderId="179" xfId="0" applyNumberFormat="1" applyFont="1" applyFill="1" applyBorder="1" applyAlignment="1" applyProtection="1">
      <alignment horizontal="center" vertical="center" shrinkToFit="1"/>
      <protection locked="0"/>
    </xf>
    <xf numFmtId="3" fontId="38" fillId="0" borderId="224" xfId="0" applyNumberFormat="1" applyFont="1" applyFill="1" applyBorder="1" applyAlignment="1" applyProtection="1">
      <alignment horizontal="center" vertical="center" shrinkToFit="1"/>
      <protection hidden="1"/>
    </xf>
    <xf numFmtId="3" fontId="38" fillId="2" borderId="224" xfId="0" applyNumberFormat="1" applyFont="1" applyFill="1" applyBorder="1" applyAlignment="1" applyProtection="1">
      <alignment horizontal="center" vertical="center" shrinkToFit="1"/>
      <protection locked="0"/>
    </xf>
    <xf numFmtId="0" fontId="71" fillId="0" borderId="44" xfId="0" applyFont="1" applyFill="1" applyBorder="1" applyAlignment="1" applyProtection="1">
      <alignment horizontal="left" vertical="center" indent="2"/>
      <protection hidden="1"/>
    </xf>
    <xf numFmtId="0" fontId="95" fillId="0" borderId="44" xfId="0" applyFont="1" applyFill="1" applyBorder="1" applyAlignment="1" applyProtection="1">
      <alignment horizontal="center" vertical="center" wrapText="1"/>
      <protection hidden="1"/>
    </xf>
    <xf numFmtId="3" fontId="38" fillId="0" borderId="150" xfId="0" applyNumberFormat="1" applyFont="1" applyFill="1" applyBorder="1" applyAlignment="1" applyProtection="1">
      <alignment horizontal="center" vertical="center" shrinkToFit="1"/>
      <protection hidden="1"/>
    </xf>
    <xf numFmtId="3" fontId="38" fillId="2" borderId="180" xfId="0" applyNumberFormat="1" applyFont="1" applyFill="1" applyBorder="1" applyAlignment="1" applyProtection="1">
      <alignment horizontal="center" vertical="center" shrinkToFit="1"/>
      <protection locked="0"/>
    </xf>
    <xf numFmtId="3" fontId="38" fillId="2" borderId="44" xfId="0" applyNumberFormat="1" applyFont="1" applyFill="1" applyBorder="1" applyAlignment="1" applyProtection="1">
      <alignment horizontal="center" vertical="center" shrinkToFit="1"/>
      <protection locked="0"/>
    </xf>
    <xf numFmtId="0" fontId="71" fillId="0" borderId="182" xfId="0" applyFont="1" applyFill="1" applyBorder="1" applyAlignment="1" applyProtection="1">
      <alignment horizontal="left" vertical="center" indent="2"/>
      <protection hidden="1"/>
    </xf>
    <xf numFmtId="0" fontId="95" fillId="0" borderId="182" xfId="0" applyFont="1" applyFill="1" applyBorder="1" applyAlignment="1" applyProtection="1">
      <alignment horizontal="center" vertical="center" wrapText="1"/>
      <protection hidden="1"/>
    </xf>
    <xf numFmtId="3" fontId="38" fillId="0" borderId="183" xfId="0" applyNumberFormat="1" applyFont="1" applyFill="1" applyBorder="1" applyAlignment="1" applyProtection="1">
      <alignment horizontal="center" vertical="center" shrinkToFit="1"/>
      <protection hidden="1"/>
    </xf>
    <xf numFmtId="3" fontId="38" fillId="2" borderId="184" xfId="0" applyNumberFormat="1" applyFont="1" applyFill="1" applyBorder="1" applyAlignment="1" applyProtection="1">
      <alignment horizontal="center" vertical="center" shrinkToFit="1"/>
      <protection locked="0"/>
    </xf>
    <xf numFmtId="3" fontId="38" fillId="2" borderId="182" xfId="0" applyNumberFormat="1" applyFont="1" applyFill="1" applyBorder="1" applyAlignment="1" applyProtection="1">
      <alignment horizontal="center" vertical="center" shrinkToFit="1"/>
      <protection locked="0"/>
    </xf>
    <xf numFmtId="0" fontId="44" fillId="0" borderId="48" xfId="0" applyFont="1" applyFill="1" applyBorder="1" applyAlignment="1" applyProtection="1">
      <alignment horizontal="left" vertical="center" wrapText="1" indent="4"/>
      <protection hidden="1"/>
    </xf>
    <xf numFmtId="0" fontId="44" fillId="0" borderId="54" xfId="0" applyFont="1" applyFill="1" applyBorder="1" applyAlignment="1" applyProtection="1">
      <alignment horizontal="left" vertical="center" wrapText="1" indent="6"/>
      <protection hidden="1"/>
    </xf>
    <xf numFmtId="3" fontId="38" fillId="0" borderId="21" xfId="0" applyNumberFormat="1" applyFont="1" applyFill="1" applyBorder="1" applyAlignment="1" applyProtection="1">
      <alignment horizontal="center" vertical="center" shrinkToFit="1"/>
      <protection locked="0"/>
    </xf>
    <xf numFmtId="3" fontId="3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4" fillId="0" borderId="62" xfId="0" applyFont="1" applyFill="1" applyBorder="1" applyAlignment="1" applyProtection="1">
      <alignment horizontal="left" vertical="center" wrapText="1" indent="4"/>
      <protection hidden="1"/>
    </xf>
    <xf numFmtId="0" fontId="44" fillId="0" borderId="174" xfId="0" applyFont="1" applyFill="1" applyBorder="1" applyAlignment="1" applyProtection="1">
      <alignment horizontal="left" vertical="center" wrapText="1" indent="6"/>
      <protection hidden="1"/>
    </xf>
    <xf numFmtId="3" fontId="38" fillId="2" borderId="175" xfId="0" applyNumberFormat="1" applyFont="1" applyFill="1" applyBorder="1" applyAlignment="1" applyProtection="1">
      <alignment horizontal="center" vertical="center" shrinkToFit="1"/>
      <protection locked="0"/>
    </xf>
    <xf numFmtId="3" fontId="38" fillId="0" borderId="35" xfId="0" applyNumberFormat="1" applyFont="1" applyFill="1" applyBorder="1" applyAlignment="1" applyProtection="1">
      <alignment horizontal="center" vertical="center" shrinkToFit="1"/>
      <protection locked="0"/>
    </xf>
    <xf numFmtId="3" fontId="38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59" fillId="0" borderId="30" xfId="0" applyFont="1" applyFill="1" applyBorder="1" applyAlignment="1" applyProtection="1">
      <alignment horizontal="left" vertical="center"/>
      <protection hidden="1"/>
    </xf>
    <xf numFmtId="0" fontId="59" fillId="0" borderId="0" xfId="0" applyFont="1" applyFill="1" applyAlignment="1" applyProtection="1">
      <alignment horizontal="left"/>
      <protection hidden="1"/>
    </xf>
    <xf numFmtId="0" fontId="58" fillId="0" borderId="0" xfId="0" applyFont="1" applyFill="1" applyAlignment="1">
      <alignment horizontal="left"/>
    </xf>
    <xf numFmtId="0" fontId="58" fillId="0" borderId="0" xfId="0" applyFont="1" applyFill="1" applyBorder="1" applyAlignment="1">
      <alignment horizontal="left"/>
    </xf>
    <xf numFmtId="0" fontId="58" fillId="0" borderId="0" xfId="0" applyFont="1" applyFill="1" applyBorder="1" applyAlignment="1" applyProtection="1">
      <alignment horizontal="left"/>
      <protection hidden="1"/>
    </xf>
    <xf numFmtId="0" fontId="58" fillId="0" borderId="9" xfId="0" applyFont="1" applyFill="1" applyBorder="1" applyAlignment="1" applyProtection="1">
      <alignment horizontal="left" vertical="center"/>
      <protection hidden="1"/>
    </xf>
    <xf numFmtId="0" fontId="58" fillId="0" borderId="30" xfId="0" applyFont="1" applyFill="1" applyBorder="1" applyAlignment="1" applyProtection="1">
      <alignment horizontal="left" vertical="center"/>
      <protection hidden="1"/>
    </xf>
    <xf numFmtId="0" fontId="57" fillId="0" borderId="0" xfId="0" applyFont="1" applyFill="1" applyBorder="1" applyAlignment="1">
      <alignment vertical="center" wrapText="1"/>
    </xf>
    <xf numFmtId="0" fontId="38" fillId="0" borderId="48" xfId="0" applyFont="1" applyFill="1" applyBorder="1" applyAlignment="1" applyProtection="1">
      <alignment horizontal="left" vertical="center" wrapText="1" indent="3"/>
      <protection hidden="1"/>
    </xf>
    <xf numFmtId="0" fontId="74" fillId="0" borderId="0" xfId="0" applyFont="1" applyAlignment="1" applyProtection="1">
      <alignment vertical="center" wrapText="1"/>
      <protection hidden="1"/>
    </xf>
    <xf numFmtId="0" fontId="95" fillId="0" borderId="0" xfId="0" applyFont="1" applyFill="1" applyBorder="1" applyAlignment="1" applyProtection="1">
      <alignment horizontal="left" vertical="center"/>
      <protection hidden="1"/>
    </xf>
    <xf numFmtId="0" fontId="97" fillId="0" borderId="0" xfId="0" applyFont="1" applyFill="1" applyBorder="1" applyAlignment="1" applyProtection="1">
      <alignment vertical="center"/>
      <protection hidden="1"/>
    </xf>
    <xf numFmtId="0" fontId="38" fillId="0" borderId="0" xfId="0" applyFont="1" applyFill="1" applyBorder="1" applyAlignment="1" applyProtection="1">
      <alignment wrapText="1"/>
      <protection hidden="1"/>
    </xf>
    <xf numFmtId="0" fontId="38" fillId="0" borderId="0" xfId="0" applyFont="1" applyFill="1" applyBorder="1" applyAlignment="1" applyProtection="1">
      <alignment horizontal="center" wrapText="1"/>
      <protection hidden="1"/>
    </xf>
    <xf numFmtId="0" fontId="38" fillId="0" borderId="0" xfId="0" applyNumberFormat="1" applyFont="1" applyFill="1" applyBorder="1" applyAlignment="1" applyProtection="1">
      <alignment horizontal="center" vertical="center"/>
      <protection locked="0" hidden="1"/>
    </xf>
    <xf numFmtId="0" fontId="38" fillId="0" borderId="0" xfId="0" applyFont="1" applyFill="1" applyBorder="1" applyAlignment="1" applyProtection="1">
      <alignment vertical="top"/>
      <protection hidden="1"/>
    </xf>
    <xf numFmtId="0" fontId="38" fillId="0" borderId="0" xfId="0" applyFont="1" applyFill="1" applyAlignment="1" applyProtection="1">
      <alignment wrapText="1"/>
      <protection hidden="1"/>
    </xf>
    <xf numFmtId="0" fontId="38" fillId="0" borderId="0" xfId="0" applyFont="1" applyFill="1" applyBorder="1" applyAlignment="1" applyProtection="1">
      <protection hidden="1"/>
    </xf>
    <xf numFmtId="0" fontId="40" fillId="0" borderId="0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horizontal="left" vertical="center" wrapText="1"/>
      <protection hidden="1"/>
    </xf>
    <xf numFmtId="1" fontId="0" fillId="0" borderId="0" xfId="0" applyNumberFormat="1" applyFill="1"/>
    <xf numFmtId="3" fontId="38" fillId="0" borderId="197" xfId="0" applyNumberFormat="1" applyFont="1" applyFill="1" applyBorder="1" applyAlignment="1" applyProtection="1">
      <alignment horizontal="center" vertical="center" shrinkToFit="1"/>
      <protection hidden="1"/>
    </xf>
    <xf numFmtId="3" fontId="46" fillId="0" borderId="34" xfId="0" applyNumberFormat="1" applyFont="1" applyFill="1" applyBorder="1" applyAlignment="1" applyProtection="1">
      <alignment horizontal="center" vertical="center" wrapText="1"/>
      <protection hidden="1"/>
    </xf>
    <xf numFmtId="1" fontId="98" fillId="0" borderId="0" xfId="0" applyNumberFormat="1" applyFont="1"/>
    <xf numFmtId="3" fontId="46" fillId="0" borderId="34" xfId="0" applyNumberFormat="1" applyFont="1" applyFill="1" applyBorder="1" applyAlignment="1" applyProtection="1">
      <alignment vertical="center" wrapText="1"/>
      <protection hidden="1"/>
    </xf>
    <xf numFmtId="3" fontId="46" fillId="0" borderId="26" xfId="0" applyNumberFormat="1" applyFont="1" applyFill="1" applyBorder="1" applyAlignment="1" applyProtection="1">
      <alignment vertical="center" wrapText="1"/>
      <protection hidden="1"/>
    </xf>
    <xf numFmtId="0" fontId="30" fillId="0" borderId="0" xfId="0" applyFont="1" applyAlignment="1">
      <alignment horizontal="left" vertical="center" indent="3"/>
    </xf>
    <xf numFmtId="0" fontId="99" fillId="0" borderId="0" xfId="0" applyFont="1" applyAlignment="1">
      <alignment horizontal="right"/>
    </xf>
    <xf numFmtId="0" fontId="38" fillId="0" borderId="0" xfId="0" applyFont="1" applyFill="1" applyBorder="1" applyAlignment="1" applyProtection="1">
      <alignment horizontal="center" vertical="center"/>
      <protection locked="0" hidden="1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right"/>
    </xf>
    <xf numFmtId="3" fontId="92" fillId="0" borderId="0" xfId="0" applyNumberFormat="1" applyFont="1" applyFill="1" applyBorder="1" applyAlignment="1" applyProtection="1">
      <alignment horizontal="center" vertical="center" wrapText="1"/>
      <protection hidden="1"/>
    </xf>
    <xf numFmtId="3" fontId="74" fillId="0" borderId="21" xfId="0" applyNumberFormat="1" applyFont="1" applyFill="1" applyBorder="1" applyAlignment="1" applyProtection="1">
      <alignment vertical="center" wrapText="1"/>
      <protection hidden="1"/>
    </xf>
    <xf numFmtId="0" fontId="37" fillId="0" borderId="21" xfId="0" applyFont="1" applyBorder="1" applyAlignment="1" applyProtection="1">
      <alignment vertical="center"/>
      <protection hidden="1"/>
    </xf>
    <xf numFmtId="3" fontId="96" fillId="0" borderId="152" xfId="0" applyNumberFormat="1" applyFont="1" applyFill="1" applyBorder="1" applyAlignment="1" applyProtection="1">
      <alignment vertical="center" wrapText="1"/>
      <protection hidden="1"/>
    </xf>
    <xf numFmtId="3" fontId="96" fillId="0" borderId="72" xfId="0" applyNumberFormat="1" applyFont="1" applyFill="1" applyBorder="1" applyAlignment="1" applyProtection="1">
      <alignment vertical="center" wrapText="1"/>
      <protection hidden="1"/>
    </xf>
    <xf numFmtId="0" fontId="57" fillId="0" borderId="7" xfId="0" applyFont="1" applyFill="1" applyBorder="1" applyAlignment="1" applyProtection="1">
      <alignment horizontal="center" vertical="center" wrapText="1"/>
      <protection hidden="1"/>
    </xf>
    <xf numFmtId="0" fontId="57" fillId="0" borderId="30" xfId="0" applyFont="1" applyFill="1" applyBorder="1" applyAlignment="1" applyProtection="1">
      <alignment horizontal="center" vertical="center" wrapText="1"/>
      <protection hidden="1"/>
    </xf>
    <xf numFmtId="0" fontId="57" fillId="0" borderId="7" xfId="0" applyFont="1" applyFill="1" applyBorder="1" applyAlignment="1" applyProtection="1">
      <alignment horizontal="center" vertical="center" wrapText="1"/>
      <protection hidden="1"/>
    </xf>
    <xf numFmtId="0" fontId="57" fillId="0" borderId="30" xfId="0" applyFont="1" applyFill="1" applyBorder="1" applyAlignment="1" applyProtection="1">
      <alignment horizontal="center" vertical="center" wrapText="1"/>
      <protection hidden="1"/>
    </xf>
    <xf numFmtId="0" fontId="59" fillId="0" borderId="0" xfId="0" applyFont="1" applyFill="1" applyAlignment="1" applyProtection="1">
      <alignment horizontal="center" vertical="center"/>
      <protection hidden="1"/>
    </xf>
    <xf numFmtId="0" fontId="59" fillId="0" borderId="0" xfId="0" applyFont="1" applyFill="1" applyBorder="1" applyAlignment="1" applyProtection="1">
      <alignment horizontal="center" vertical="center" wrapText="1"/>
      <protection hidden="1"/>
    </xf>
    <xf numFmtId="3" fontId="38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57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57" fillId="0" borderId="30" xfId="0" applyNumberFormat="1" applyFont="1" applyFill="1" applyBorder="1" applyAlignment="1" applyProtection="1">
      <alignment horizontal="center" vertical="center" wrapText="1"/>
      <protection hidden="1"/>
    </xf>
    <xf numFmtId="0" fontId="90" fillId="0" borderId="288" xfId="0" applyFont="1" applyFill="1" applyBorder="1" applyAlignment="1" applyProtection="1">
      <alignment vertical="center" wrapText="1"/>
      <protection hidden="1"/>
    </xf>
    <xf numFmtId="3" fontId="100" fillId="0" borderId="288" xfId="0" applyNumberFormat="1" applyFont="1" applyFill="1" applyBorder="1" applyAlignment="1" applyProtection="1">
      <alignment horizontal="center" vertical="center" shrinkToFit="1"/>
      <protection hidden="1"/>
    </xf>
    <xf numFmtId="3" fontId="38" fillId="0" borderId="288" xfId="0" applyNumberFormat="1" applyFont="1" applyFill="1" applyBorder="1" applyAlignment="1" applyProtection="1">
      <alignment horizontal="center" vertical="center" shrinkToFit="1"/>
      <protection hidden="1"/>
    </xf>
    <xf numFmtId="0" fontId="46" fillId="0" borderId="0" xfId="0" applyFont="1" applyFill="1" applyBorder="1" applyAlignment="1" applyProtection="1">
      <alignment horizontal="center" vertical="center" wrapText="1"/>
      <protection hidden="1"/>
    </xf>
    <xf numFmtId="0" fontId="46" fillId="0" borderId="78" xfId="0" applyFont="1" applyFill="1" applyBorder="1" applyAlignment="1" applyProtection="1">
      <alignment horizontal="center" vertical="center" wrapText="1"/>
      <protection hidden="1"/>
    </xf>
    <xf numFmtId="0" fontId="38" fillId="0" borderId="48" xfId="0" applyFont="1" applyFill="1" applyBorder="1" applyAlignment="1" applyProtection="1">
      <alignment horizontal="left" vertical="center" indent="3"/>
      <protection hidden="1"/>
    </xf>
    <xf numFmtId="0" fontId="72" fillId="0" borderId="132" xfId="0" applyFont="1" applyFill="1" applyBorder="1" applyAlignment="1" applyProtection="1">
      <alignment horizontal="center" vertical="center"/>
      <protection hidden="1"/>
    </xf>
    <xf numFmtId="0" fontId="72" fillId="0" borderId="289" xfId="0" applyFont="1" applyFill="1" applyBorder="1" applyAlignment="1" applyProtection="1">
      <alignment horizontal="center" vertical="center"/>
      <protection hidden="1"/>
    </xf>
    <xf numFmtId="0" fontId="48" fillId="0" borderId="0" xfId="0" applyFont="1" applyFill="1" applyBorder="1" applyAlignment="1">
      <alignment horizontal="center" vertical="center"/>
    </xf>
    <xf numFmtId="0" fontId="72" fillId="0" borderId="0" xfId="0" applyFont="1" applyFill="1" applyBorder="1" applyAlignment="1" applyProtection="1">
      <alignment horizontal="left" vertical="center"/>
      <protection hidden="1"/>
    </xf>
    <xf numFmtId="3" fontId="53" fillId="0" borderId="0" xfId="0" applyNumberFormat="1" applyFont="1" applyFill="1" applyBorder="1" applyAlignment="1" applyProtection="1">
      <alignment horizontal="left" vertical="center" wrapText="1" indent="1"/>
      <protection hidden="1"/>
    </xf>
    <xf numFmtId="3" fontId="72" fillId="0" borderId="0" xfId="0" applyNumberFormat="1" applyFont="1" applyFill="1" applyBorder="1" applyAlignment="1" applyProtection="1">
      <alignment horizontal="left" vertical="center" indent="4"/>
      <protection hidden="1"/>
    </xf>
    <xf numFmtId="0" fontId="57" fillId="0" borderId="0" xfId="0" applyFont="1" applyFill="1" applyAlignment="1" applyProtection="1">
      <protection hidden="1"/>
    </xf>
    <xf numFmtId="0" fontId="101" fillId="0" borderId="0" xfId="0" applyFont="1"/>
    <xf numFmtId="0" fontId="102" fillId="0" borderId="0" xfId="0" applyFont="1"/>
    <xf numFmtId="0" fontId="99" fillId="0" borderId="0" xfId="0" applyFont="1"/>
    <xf numFmtId="0" fontId="102" fillId="36" borderId="0" xfId="0" applyFont="1" applyFill="1"/>
    <xf numFmtId="1" fontId="103" fillId="0" borderId="0" xfId="0" applyNumberFormat="1" applyFont="1"/>
    <xf numFmtId="0" fontId="103" fillId="0" borderId="0" xfId="0" applyFont="1"/>
    <xf numFmtId="0" fontId="48" fillId="0" borderId="164" xfId="0" applyFont="1" applyFill="1" applyBorder="1" applyAlignment="1">
      <alignment vertical="center"/>
    </xf>
    <xf numFmtId="0" fontId="48" fillId="0" borderId="165" xfId="0" applyFont="1" applyFill="1" applyBorder="1" applyAlignment="1">
      <alignment vertical="center"/>
    </xf>
    <xf numFmtId="0" fontId="48" fillId="0" borderId="166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 applyProtection="1">
      <alignment vertical="center"/>
      <protection hidden="1"/>
    </xf>
    <xf numFmtId="0" fontId="37" fillId="0" borderId="99" xfId="0" applyFont="1" applyFill="1" applyBorder="1" applyAlignment="1" applyProtection="1">
      <alignment horizontal="left" vertical="center" wrapText="1" indent="3"/>
      <protection hidden="1"/>
    </xf>
    <xf numFmtId="0" fontId="45" fillId="0" borderId="290" xfId="0" applyFont="1" applyFill="1" applyBorder="1" applyAlignment="1" applyProtection="1">
      <alignment horizontal="left" vertical="center" wrapText="1" indent="1"/>
      <protection hidden="1"/>
    </xf>
    <xf numFmtId="3" fontId="38" fillId="0" borderId="291" xfId="0" applyNumberFormat="1" applyFont="1" applyFill="1" applyBorder="1" applyAlignment="1" applyProtection="1">
      <alignment horizontal="center" vertical="center" shrinkToFit="1"/>
      <protection hidden="1"/>
    </xf>
    <xf numFmtId="0" fontId="37" fillId="0" borderId="55" xfId="0" applyFont="1" applyFill="1" applyBorder="1" applyAlignment="1" applyProtection="1">
      <alignment horizontal="left" vertical="center" wrapText="1" indent="3"/>
      <protection hidden="1"/>
    </xf>
    <xf numFmtId="3" fontId="38" fillId="0" borderId="21" xfId="0" applyNumberFormat="1" applyFont="1" applyFill="1" applyBorder="1" applyAlignment="1" applyProtection="1">
      <alignment horizontal="center" vertical="center" shrinkToFit="1"/>
      <protection hidden="1"/>
    </xf>
    <xf numFmtId="3" fontId="38" fillId="0" borderId="105" xfId="0" applyNumberFormat="1" applyFont="1" applyFill="1" applyBorder="1" applyAlignment="1" applyProtection="1">
      <alignment horizontal="center" vertical="center" shrinkToFit="1"/>
      <protection hidden="1"/>
    </xf>
    <xf numFmtId="3" fontId="38" fillId="0" borderId="107" xfId="0" applyNumberFormat="1" applyFont="1" applyFill="1" applyBorder="1" applyAlignment="1" applyProtection="1">
      <alignment horizontal="center" vertical="center" shrinkToFit="1"/>
      <protection hidden="1"/>
    </xf>
    <xf numFmtId="3" fontId="38" fillId="0" borderId="292" xfId="0" applyNumberFormat="1" applyFont="1" applyFill="1" applyBorder="1" applyAlignment="1" applyProtection="1">
      <alignment horizontal="center" vertical="center" shrinkToFit="1"/>
      <protection hidden="1"/>
    </xf>
    <xf numFmtId="3" fontId="38" fillId="2" borderId="293" xfId="0" applyNumberFormat="1" applyFont="1" applyFill="1" applyBorder="1" applyAlignment="1" applyProtection="1">
      <alignment horizontal="center" vertical="center" shrinkToFit="1"/>
      <protection locked="0"/>
    </xf>
    <xf numFmtId="0" fontId="44" fillId="2" borderId="64" xfId="0" applyFont="1" applyFill="1" applyBorder="1" applyAlignment="1" applyProtection="1">
      <alignment horizontal="center" vertical="center" shrinkToFit="1"/>
      <protection locked="0" hidden="1"/>
    </xf>
    <xf numFmtId="0" fontId="44" fillId="2" borderId="66" xfId="0" applyFont="1" applyFill="1" applyBorder="1" applyAlignment="1" applyProtection="1">
      <alignment horizontal="center" vertical="center" shrinkToFit="1"/>
      <protection locked="0" hidden="1"/>
    </xf>
    <xf numFmtId="0" fontId="44" fillId="2" borderId="64" xfId="0" applyFont="1" applyFill="1" applyBorder="1" applyAlignment="1" applyProtection="1">
      <alignment horizontal="left" vertical="center" shrinkToFit="1"/>
      <protection locked="0" hidden="1"/>
    </xf>
    <xf numFmtId="0" fontId="44" fillId="2" borderId="66" xfId="0" applyFont="1" applyFill="1" applyBorder="1" applyAlignment="1" applyProtection="1">
      <alignment horizontal="left" vertical="center" shrinkToFit="1"/>
      <protection locked="0" hidden="1"/>
    </xf>
    <xf numFmtId="0" fontId="44" fillId="2" borderId="38" xfId="0" applyFont="1" applyFill="1" applyBorder="1" applyAlignment="1" applyProtection="1">
      <alignment horizontal="left" vertical="center" shrinkToFit="1"/>
      <protection locked="0" hidden="1"/>
    </xf>
    <xf numFmtId="0" fontId="44" fillId="2" borderId="39" xfId="0" applyFont="1" applyFill="1" applyBorder="1" applyAlignment="1" applyProtection="1">
      <alignment horizontal="left" vertical="center" shrinkToFit="1"/>
      <protection locked="0" hidden="1"/>
    </xf>
    <xf numFmtId="0" fontId="44" fillId="2" borderId="40" xfId="0" applyFont="1" applyFill="1" applyBorder="1" applyAlignment="1" applyProtection="1">
      <alignment horizontal="left" vertical="center" shrinkToFit="1"/>
      <protection locked="0" hidden="1"/>
    </xf>
    <xf numFmtId="0" fontId="44" fillId="2" borderId="43" xfId="0" applyFont="1" applyFill="1" applyBorder="1" applyAlignment="1" applyProtection="1">
      <alignment horizontal="left" vertical="center" shrinkToFit="1"/>
      <protection locked="0" hidden="1"/>
    </xf>
    <xf numFmtId="0" fontId="44" fillId="2" borderId="44" xfId="0" applyFont="1" applyFill="1" applyBorder="1" applyAlignment="1" applyProtection="1">
      <alignment horizontal="left" vertical="center" shrinkToFit="1"/>
      <protection locked="0" hidden="1"/>
    </xf>
    <xf numFmtId="0" fontId="44" fillId="2" borderId="45" xfId="0" applyFont="1" applyFill="1" applyBorder="1" applyAlignment="1" applyProtection="1">
      <alignment horizontal="left" vertical="center" shrinkToFit="1"/>
      <protection locked="0" hidden="1"/>
    </xf>
    <xf numFmtId="0" fontId="30" fillId="0" borderId="0" xfId="0" applyFont="1" applyFill="1" applyBorder="1" applyAlignment="1" applyProtection="1">
      <alignment horizontal="right" vertical="center" wrapText="1"/>
      <protection hidden="1"/>
    </xf>
    <xf numFmtId="0" fontId="43" fillId="2" borderId="64" xfId="0" applyFont="1" applyFill="1" applyBorder="1" applyAlignment="1" applyProtection="1">
      <alignment horizontal="center" vertical="center" shrinkToFit="1"/>
      <protection locked="0" hidden="1"/>
    </xf>
    <xf numFmtId="0" fontId="43" fillId="2" borderId="65" xfId="0" applyFont="1" applyFill="1" applyBorder="1" applyAlignment="1" applyProtection="1">
      <alignment horizontal="center" vertical="center" shrinkToFit="1"/>
      <protection locked="0" hidden="1"/>
    </xf>
    <xf numFmtId="0" fontId="43" fillId="2" borderId="66" xfId="0" applyFont="1" applyFill="1" applyBorder="1" applyAlignment="1" applyProtection="1">
      <alignment horizontal="center" vertical="center" shrinkToFit="1"/>
      <protection locked="0" hidden="1"/>
    </xf>
    <xf numFmtId="164" fontId="44" fillId="2" borderId="64" xfId="0" applyNumberFormat="1" applyFont="1" applyFill="1" applyBorder="1" applyAlignment="1" applyProtection="1">
      <alignment horizontal="center" vertical="center" shrinkToFit="1"/>
      <protection locked="0" hidden="1"/>
    </xf>
    <xf numFmtId="164" fontId="44" fillId="2" borderId="66" xfId="0" applyNumberFormat="1" applyFont="1" applyFill="1" applyBorder="1" applyAlignment="1" applyProtection="1">
      <alignment horizontal="center" vertical="center" shrinkToFit="1"/>
      <protection locked="0" hidden="1"/>
    </xf>
    <xf numFmtId="0" fontId="37" fillId="2" borderId="64" xfId="1" applyFont="1" applyFill="1" applyBorder="1" applyAlignment="1" applyProtection="1">
      <alignment horizontal="left" vertical="center" shrinkToFit="1"/>
      <protection locked="0" hidden="1"/>
    </xf>
    <xf numFmtId="0" fontId="37" fillId="2" borderId="65" xfId="0" applyFont="1" applyFill="1" applyBorder="1" applyAlignment="1" applyProtection="1">
      <alignment horizontal="left" vertical="center" shrinkToFit="1"/>
      <protection locked="0" hidden="1"/>
    </xf>
    <xf numFmtId="0" fontId="37" fillId="2" borderId="66" xfId="0" applyFont="1" applyFill="1" applyBorder="1" applyAlignment="1" applyProtection="1">
      <alignment horizontal="left" vertical="center" shrinkToFit="1"/>
      <protection locked="0" hidden="1"/>
    </xf>
    <xf numFmtId="0" fontId="44" fillId="2" borderId="65" xfId="0" applyFont="1" applyFill="1" applyBorder="1" applyAlignment="1" applyProtection="1">
      <alignment horizontal="center" vertical="center" shrinkToFit="1"/>
      <protection locked="0" hidden="1"/>
    </xf>
    <xf numFmtId="0" fontId="30" fillId="0" borderId="0" xfId="0" applyFont="1" applyBorder="1" applyAlignment="1" applyProtection="1">
      <alignment horizontal="right" vertical="center"/>
      <protection hidden="1"/>
    </xf>
    <xf numFmtId="0" fontId="30" fillId="0" borderId="42" xfId="0" applyFont="1" applyBorder="1" applyAlignment="1" applyProtection="1">
      <alignment horizontal="right" vertical="center"/>
      <protection hidden="1"/>
    </xf>
    <xf numFmtId="0" fontId="31" fillId="0" borderId="38" xfId="0" applyFont="1" applyBorder="1" applyAlignment="1" applyProtection="1">
      <alignment horizontal="center" vertical="center" shrinkToFit="1"/>
      <protection hidden="1"/>
    </xf>
    <xf numFmtId="0" fontId="31" fillId="0" borderId="39" xfId="0" applyFont="1" applyBorder="1" applyAlignment="1" applyProtection="1">
      <alignment horizontal="center" vertical="center" shrinkToFit="1"/>
      <protection hidden="1"/>
    </xf>
    <xf numFmtId="0" fontId="31" fillId="0" borderId="40" xfId="0" applyFont="1" applyBorder="1" applyAlignment="1" applyProtection="1">
      <alignment horizontal="center" vertical="center" shrinkToFit="1"/>
      <protection hidden="1"/>
    </xf>
    <xf numFmtId="0" fontId="31" fillId="0" borderId="43" xfId="0" applyFont="1" applyBorder="1" applyAlignment="1" applyProtection="1">
      <alignment horizontal="center" vertical="center" shrinkToFit="1"/>
      <protection hidden="1"/>
    </xf>
    <xf numFmtId="0" fontId="31" fillId="0" borderId="44" xfId="0" applyFont="1" applyBorder="1" applyAlignment="1" applyProtection="1">
      <alignment horizontal="center" vertical="center" shrinkToFit="1"/>
      <protection hidden="1"/>
    </xf>
    <xf numFmtId="0" fontId="31" fillId="0" borderId="45" xfId="0" applyFont="1" applyBorder="1" applyAlignment="1" applyProtection="1">
      <alignment horizontal="center" vertical="center" shrinkToFit="1"/>
      <protection hidden="1"/>
    </xf>
    <xf numFmtId="0" fontId="36" fillId="0" borderId="0" xfId="0" applyFont="1" applyAlignment="1" applyProtection="1">
      <alignment horizontal="center" vertical="center"/>
      <protection hidden="1"/>
    </xf>
    <xf numFmtId="0" fontId="39" fillId="0" borderId="0" xfId="0" applyFont="1" applyAlignment="1" applyProtection="1">
      <alignment horizontal="center" vertical="center"/>
      <protection hidden="1"/>
    </xf>
    <xf numFmtId="0" fontId="44" fillId="2" borderId="65" xfId="0" applyFont="1" applyFill="1" applyBorder="1" applyAlignment="1" applyProtection="1">
      <alignment horizontal="left" vertical="center" shrinkToFit="1"/>
      <protection locked="0" hidden="1"/>
    </xf>
    <xf numFmtId="0" fontId="44" fillId="0" borderId="0" xfId="0" applyFont="1" applyFill="1" applyBorder="1" applyAlignment="1" applyProtection="1">
      <alignment horizontal="right" vertical="center" wrapText="1"/>
      <protection hidden="1"/>
    </xf>
    <xf numFmtId="0" fontId="44" fillId="0" borderId="42" xfId="0" applyFont="1" applyFill="1" applyBorder="1" applyAlignment="1" applyProtection="1">
      <alignment horizontal="right" vertical="center" wrapText="1"/>
      <protection hidden="1"/>
    </xf>
    <xf numFmtId="0" fontId="38" fillId="2" borderId="67" xfId="0" applyFont="1" applyFill="1" applyBorder="1" applyAlignment="1" applyProtection="1">
      <alignment horizontal="center" vertical="center"/>
      <protection locked="0" hidden="1"/>
    </xf>
    <xf numFmtId="0" fontId="33" fillId="2" borderId="64" xfId="0" applyFont="1" applyFill="1" applyBorder="1" applyAlignment="1" applyProtection="1">
      <alignment horizontal="center" vertical="center" shrinkToFit="1"/>
      <protection locked="0"/>
    </xf>
    <xf numFmtId="0" fontId="33" fillId="2" borderId="65" xfId="0" applyFont="1" applyFill="1" applyBorder="1" applyAlignment="1" applyProtection="1">
      <alignment horizontal="center" vertical="center" shrinkToFit="1"/>
      <protection locked="0"/>
    </xf>
    <xf numFmtId="0" fontId="33" fillId="2" borderId="66" xfId="0" applyFont="1" applyFill="1" applyBorder="1" applyAlignment="1" applyProtection="1">
      <alignment horizontal="center" vertical="center" shrinkToFit="1"/>
      <protection locked="0"/>
    </xf>
    <xf numFmtId="0" fontId="95" fillId="0" borderId="0" xfId="0" applyFont="1" applyFill="1" applyBorder="1" applyAlignment="1" applyProtection="1">
      <alignment horizontal="left" vertical="center"/>
      <protection hidden="1"/>
    </xf>
    <xf numFmtId="0" fontId="44" fillId="2" borderId="64" xfId="0" applyFont="1" applyFill="1" applyBorder="1" applyAlignment="1" applyProtection="1">
      <alignment horizontal="center" vertical="center"/>
      <protection locked="0"/>
    </xf>
    <xf numFmtId="0" fontId="44" fillId="2" borderId="65" xfId="0" applyFont="1" applyFill="1" applyBorder="1" applyAlignment="1" applyProtection="1">
      <alignment horizontal="center" vertical="center"/>
      <protection locked="0"/>
    </xf>
    <xf numFmtId="0" fontId="44" fillId="2" borderId="66" xfId="0" applyFont="1" applyFill="1" applyBorder="1" applyAlignment="1" applyProtection="1">
      <alignment horizontal="center" vertical="center"/>
      <protection locked="0"/>
    </xf>
    <xf numFmtId="164" fontId="44" fillId="2" borderId="64" xfId="0" applyNumberFormat="1" applyFont="1" applyFill="1" applyBorder="1" applyAlignment="1" applyProtection="1">
      <alignment horizontal="center" vertical="center" shrinkToFit="1"/>
      <protection locked="0"/>
    </xf>
    <xf numFmtId="164" fontId="44" fillId="2" borderId="65" xfId="0" applyNumberFormat="1" applyFont="1" applyFill="1" applyBorder="1" applyAlignment="1" applyProtection="1">
      <alignment horizontal="center" vertical="center" shrinkToFit="1"/>
      <protection locked="0"/>
    </xf>
    <xf numFmtId="164" fontId="44" fillId="2" borderId="66" xfId="0" applyNumberFormat="1" applyFont="1" applyFill="1" applyBorder="1" applyAlignment="1" applyProtection="1">
      <alignment horizontal="center" vertical="center" shrinkToFit="1"/>
      <protection locked="0"/>
    </xf>
    <xf numFmtId="14" fontId="44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33" fillId="0" borderId="15" xfId="0" applyNumberFormat="1" applyFont="1" applyBorder="1" applyAlignment="1" applyProtection="1">
      <alignment horizontal="center"/>
    </xf>
    <xf numFmtId="0" fontId="32" fillId="0" borderId="38" xfId="0" applyFont="1" applyBorder="1" applyAlignment="1" applyProtection="1">
      <alignment horizontal="justify" vertical="center" wrapText="1"/>
      <protection hidden="1"/>
    </xf>
    <xf numFmtId="0" fontId="32" fillId="0" borderId="39" xfId="0" applyFont="1" applyBorder="1" applyAlignment="1" applyProtection="1">
      <alignment horizontal="justify" vertical="center" wrapText="1"/>
      <protection hidden="1"/>
    </xf>
    <xf numFmtId="0" fontId="32" fillId="0" borderId="40" xfId="0" applyFont="1" applyBorder="1" applyAlignment="1" applyProtection="1">
      <alignment horizontal="justify" vertical="center" wrapText="1"/>
      <protection hidden="1"/>
    </xf>
    <xf numFmtId="0" fontId="32" fillId="0" borderId="41" xfId="0" applyFont="1" applyBorder="1" applyAlignment="1" applyProtection="1">
      <alignment horizontal="justify" vertical="center" wrapText="1"/>
      <protection hidden="1"/>
    </xf>
    <xf numFmtId="0" fontId="32" fillId="0" borderId="0" xfId="0" applyFont="1" applyBorder="1" applyAlignment="1" applyProtection="1">
      <alignment horizontal="justify" vertical="center" wrapText="1"/>
      <protection hidden="1"/>
    </xf>
    <xf numFmtId="0" fontId="32" fillId="0" borderId="42" xfId="0" applyFont="1" applyBorder="1" applyAlignment="1" applyProtection="1">
      <alignment horizontal="justify" vertical="center" wrapText="1"/>
      <protection hidden="1"/>
    </xf>
    <xf numFmtId="0" fontId="32" fillId="0" borderId="43" xfId="0" applyFont="1" applyBorder="1" applyAlignment="1" applyProtection="1">
      <alignment horizontal="justify" vertical="center" wrapText="1"/>
      <protection hidden="1"/>
    </xf>
    <xf numFmtId="0" fontId="32" fillId="0" borderId="44" xfId="0" applyFont="1" applyBorder="1" applyAlignment="1" applyProtection="1">
      <alignment horizontal="justify" vertical="center" wrapText="1"/>
      <protection hidden="1"/>
    </xf>
    <xf numFmtId="0" fontId="32" fillId="0" borderId="45" xfId="0" applyFont="1" applyBorder="1" applyAlignment="1" applyProtection="1">
      <alignment horizontal="justify" vertical="center" wrapText="1"/>
      <protection hidden="1"/>
    </xf>
    <xf numFmtId="0" fontId="30" fillId="0" borderId="1" xfId="0" applyFont="1" applyBorder="1" applyAlignment="1" applyProtection="1">
      <alignment horizontal="center"/>
      <protection hidden="1"/>
    </xf>
    <xf numFmtId="0" fontId="59" fillId="0" borderId="64" xfId="0" applyFont="1" applyFill="1" applyBorder="1" applyAlignment="1">
      <alignment horizontal="center" vertical="center"/>
    </xf>
    <xf numFmtId="0" fontId="59" fillId="0" borderId="66" xfId="0" applyFont="1" applyFill="1" applyBorder="1" applyAlignment="1">
      <alignment horizontal="center" vertical="center"/>
    </xf>
    <xf numFmtId="3" fontId="53" fillId="0" borderId="7" xfId="0" applyNumberFormat="1" applyFont="1" applyFill="1" applyBorder="1" applyAlignment="1" applyProtection="1">
      <alignment horizontal="left" vertical="center" wrapText="1" indent="2"/>
      <protection hidden="1"/>
    </xf>
    <xf numFmtId="3" fontId="53" fillId="0" borderId="0" xfId="0" applyNumberFormat="1" applyFont="1" applyFill="1" applyBorder="1" applyAlignment="1" applyProtection="1">
      <alignment horizontal="left" vertical="center" wrapText="1" indent="2"/>
      <protection hidden="1"/>
    </xf>
    <xf numFmtId="3" fontId="53" fillId="0" borderId="0" xfId="0" applyNumberFormat="1" applyFont="1" applyFill="1" applyBorder="1" applyAlignment="1" applyProtection="1">
      <alignment horizontal="left" vertical="center" wrapText="1" indent="1"/>
      <protection hidden="1"/>
    </xf>
    <xf numFmtId="0" fontId="37" fillId="2" borderId="38" xfId="0" applyFont="1" applyFill="1" applyBorder="1" applyAlignment="1" applyProtection="1">
      <alignment horizontal="left" vertical="top" wrapText="1"/>
      <protection locked="0"/>
    </xf>
    <xf numFmtId="0" fontId="37" fillId="2" borderId="39" xfId="0" applyFont="1" applyFill="1" applyBorder="1" applyAlignment="1" applyProtection="1">
      <alignment horizontal="left" vertical="top" wrapText="1"/>
      <protection locked="0"/>
    </xf>
    <xf numFmtId="0" fontId="37" fillId="2" borderId="40" xfId="0" applyFont="1" applyFill="1" applyBorder="1" applyAlignment="1" applyProtection="1">
      <alignment horizontal="left" vertical="top" wrapText="1"/>
      <protection locked="0"/>
    </xf>
    <xf numFmtId="0" fontId="37" fillId="2" borderId="41" xfId="0" applyFont="1" applyFill="1" applyBorder="1" applyAlignment="1" applyProtection="1">
      <alignment horizontal="left" vertical="top" wrapText="1"/>
      <protection locked="0"/>
    </xf>
    <xf numFmtId="0" fontId="37" fillId="2" borderId="0" xfId="0" applyFont="1" applyFill="1" applyBorder="1" applyAlignment="1" applyProtection="1">
      <alignment horizontal="left" vertical="top" wrapText="1"/>
      <protection locked="0"/>
    </xf>
    <xf numFmtId="0" fontId="37" fillId="2" borderId="42" xfId="0" applyFont="1" applyFill="1" applyBorder="1" applyAlignment="1" applyProtection="1">
      <alignment horizontal="left" vertical="top" wrapText="1"/>
      <protection locked="0"/>
    </xf>
    <xf numFmtId="0" fontId="37" fillId="2" borderId="43" xfId="0" applyFont="1" applyFill="1" applyBorder="1" applyAlignment="1" applyProtection="1">
      <alignment horizontal="left" vertical="top" wrapText="1"/>
      <protection locked="0"/>
    </xf>
    <xf numFmtId="0" fontId="37" fillId="2" borderId="44" xfId="0" applyFont="1" applyFill="1" applyBorder="1" applyAlignment="1" applyProtection="1">
      <alignment horizontal="left" vertical="top" wrapText="1"/>
      <protection locked="0"/>
    </xf>
    <xf numFmtId="0" fontId="37" fillId="2" borderId="45" xfId="0" applyFont="1" applyFill="1" applyBorder="1" applyAlignment="1" applyProtection="1">
      <alignment horizontal="left" vertical="top" wrapText="1"/>
      <protection locked="0"/>
    </xf>
    <xf numFmtId="0" fontId="59" fillId="0" borderId="30" xfId="0" applyFont="1" applyFill="1" applyBorder="1" applyAlignment="1" applyProtection="1">
      <alignment horizontal="left" vertical="center" wrapText="1"/>
      <protection hidden="1"/>
    </xf>
    <xf numFmtId="0" fontId="45" fillId="0" borderId="36" xfId="0" applyFont="1" applyFill="1" applyBorder="1" applyAlignment="1" applyProtection="1">
      <alignment horizontal="center" vertical="center" wrapText="1"/>
      <protection hidden="1"/>
    </xf>
    <xf numFmtId="0" fontId="45" fillId="0" borderId="35" xfId="0" applyFont="1" applyFill="1" applyBorder="1" applyAlignment="1" applyProtection="1">
      <alignment horizontal="center" vertical="center" wrapText="1"/>
      <protection hidden="1"/>
    </xf>
    <xf numFmtId="0" fontId="57" fillId="0" borderId="7" xfId="0" applyFont="1" applyFill="1" applyBorder="1" applyAlignment="1" applyProtection="1">
      <alignment horizontal="center" vertical="center" wrapText="1"/>
      <protection hidden="1"/>
    </xf>
    <xf numFmtId="0" fontId="57" fillId="0" borderId="30" xfId="0" applyFont="1" applyFill="1" applyBorder="1" applyAlignment="1" applyProtection="1">
      <alignment horizontal="center" vertical="center" wrapText="1"/>
      <protection hidden="1"/>
    </xf>
    <xf numFmtId="0" fontId="57" fillId="0" borderId="17" xfId="0" applyFont="1" applyFill="1" applyBorder="1" applyAlignment="1" applyProtection="1">
      <alignment horizontal="center" vertical="center"/>
      <protection hidden="1"/>
    </xf>
    <xf numFmtId="0" fontId="57" fillId="0" borderId="18" xfId="0" applyFont="1" applyFill="1" applyBorder="1" applyAlignment="1" applyProtection="1">
      <alignment horizontal="center" vertical="center"/>
      <protection hidden="1"/>
    </xf>
    <xf numFmtId="0" fontId="71" fillId="0" borderId="186" xfId="0" applyFont="1" applyFill="1" applyBorder="1" applyAlignment="1" applyProtection="1">
      <alignment horizontal="left" vertical="center" wrapText="1" indent="2"/>
      <protection hidden="1"/>
    </xf>
    <xf numFmtId="0" fontId="71" fillId="0" borderId="185" xfId="0" applyFont="1" applyFill="1" applyBorder="1" applyAlignment="1" applyProtection="1">
      <alignment horizontal="left" vertical="center" wrapText="1" indent="2"/>
      <protection hidden="1"/>
    </xf>
    <xf numFmtId="0" fontId="57" fillId="0" borderId="33" xfId="0" applyFont="1" applyFill="1" applyBorder="1" applyAlignment="1" applyProtection="1">
      <alignment horizontal="center" vertical="center"/>
      <protection hidden="1"/>
    </xf>
    <xf numFmtId="0" fontId="57" fillId="0" borderId="143" xfId="0" applyFont="1" applyFill="1" applyBorder="1" applyAlignment="1" applyProtection="1">
      <alignment horizontal="center" vertical="center"/>
      <protection hidden="1"/>
    </xf>
    <xf numFmtId="3" fontId="74" fillId="0" borderId="223" xfId="0" applyNumberFormat="1" applyFont="1" applyFill="1" applyBorder="1" applyAlignment="1" applyProtection="1">
      <alignment horizontal="center" vertical="center" wrapText="1"/>
      <protection hidden="1"/>
    </xf>
    <xf numFmtId="3" fontId="74" fillId="0" borderId="168" xfId="0" applyNumberFormat="1" applyFont="1" applyFill="1" applyBorder="1" applyAlignment="1" applyProtection="1">
      <alignment horizontal="center" vertical="center" wrapText="1"/>
      <protection hidden="1"/>
    </xf>
    <xf numFmtId="3" fontId="74" fillId="0" borderId="287" xfId="0" applyNumberFormat="1" applyFont="1" applyFill="1" applyBorder="1" applyAlignment="1" applyProtection="1">
      <alignment horizontal="center" vertical="center" wrapText="1"/>
      <protection hidden="1"/>
    </xf>
    <xf numFmtId="3" fontId="74" fillId="0" borderId="21" xfId="0" applyNumberFormat="1" applyFont="1" applyFill="1" applyBorder="1" applyAlignment="1" applyProtection="1">
      <alignment horizontal="center" vertical="center" wrapText="1"/>
      <protection hidden="1"/>
    </xf>
    <xf numFmtId="3" fontId="74" fillId="0" borderId="0" xfId="0" applyNumberFormat="1" applyFont="1" applyFill="1" applyBorder="1" applyAlignment="1" applyProtection="1">
      <alignment horizontal="center" vertical="center" wrapText="1"/>
      <protection hidden="1"/>
    </xf>
    <xf numFmtId="3" fontId="74" fillId="0" borderId="152" xfId="0" applyNumberFormat="1" applyFont="1" applyFill="1" applyBorder="1" applyAlignment="1" applyProtection="1">
      <alignment horizontal="center" vertical="center" wrapText="1"/>
      <protection hidden="1"/>
    </xf>
    <xf numFmtId="3" fontId="96" fillId="0" borderId="223" xfId="0" applyNumberFormat="1" applyFont="1" applyFill="1" applyBorder="1" applyAlignment="1" applyProtection="1">
      <alignment horizontal="center" vertical="center" wrapText="1"/>
      <protection hidden="1"/>
    </xf>
    <xf numFmtId="3" fontId="96" fillId="0" borderId="21" xfId="0" applyNumberFormat="1" applyFont="1" applyFill="1" applyBorder="1" applyAlignment="1" applyProtection="1">
      <alignment horizontal="center" vertical="center" wrapText="1"/>
      <protection hidden="1"/>
    </xf>
    <xf numFmtId="3" fontId="96" fillId="0" borderId="35" xfId="0" applyNumberFormat="1" applyFont="1" applyFill="1" applyBorder="1" applyAlignment="1" applyProtection="1">
      <alignment horizontal="center" vertical="center" wrapText="1"/>
      <protection hidden="1"/>
    </xf>
    <xf numFmtId="0" fontId="57" fillId="0" borderId="31" xfId="0" applyFont="1" applyFill="1" applyBorder="1" applyAlignment="1" applyProtection="1">
      <alignment horizontal="center" vertical="center" wrapText="1"/>
      <protection hidden="1"/>
    </xf>
    <xf numFmtId="0" fontId="57" fillId="0" borderId="12" xfId="0" applyFont="1" applyFill="1" applyBorder="1" applyAlignment="1" applyProtection="1">
      <alignment horizontal="center" vertical="center" wrapText="1"/>
      <protection hidden="1"/>
    </xf>
    <xf numFmtId="0" fontId="57" fillId="0" borderId="83" xfId="0" applyFont="1" applyFill="1" applyBorder="1" applyAlignment="1" applyProtection="1">
      <alignment horizontal="center" vertical="center" wrapText="1"/>
      <protection hidden="1"/>
    </xf>
    <xf numFmtId="0" fontId="57" fillId="0" borderId="84" xfId="0" applyFont="1" applyFill="1" applyBorder="1" applyAlignment="1" applyProtection="1">
      <alignment horizontal="center" vertical="center" wrapText="1"/>
      <protection hidden="1"/>
    </xf>
    <xf numFmtId="0" fontId="57" fillId="0" borderId="2" xfId="0" applyFont="1" applyFill="1" applyBorder="1" applyAlignment="1" applyProtection="1">
      <alignment horizontal="center" vertical="center" wrapText="1"/>
      <protection hidden="1"/>
    </xf>
    <xf numFmtId="0" fontId="57" fillId="0" borderId="23" xfId="0" applyFont="1" applyFill="1" applyBorder="1" applyAlignment="1" applyProtection="1">
      <alignment horizontal="center" vertical="center" wrapText="1"/>
      <protection hidden="1"/>
    </xf>
    <xf numFmtId="0" fontId="57" fillId="0" borderId="3" xfId="0" applyFont="1" applyFill="1" applyBorder="1" applyAlignment="1" applyProtection="1">
      <alignment horizontal="center" vertical="center" wrapText="1"/>
      <protection hidden="1"/>
    </xf>
    <xf numFmtId="0" fontId="57" fillId="0" borderId="10" xfId="0" applyFont="1" applyFill="1" applyBorder="1" applyAlignment="1" applyProtection="1">
      <alignment horizontal="center" vertical="center" wrapText="1"/>
      <protection hidden="1"/>
    </xf>
    <xf numFmtId="0" fontId="57" fillId="0" borderId="37" xfId="0" applyFont="1" applyFill="1" applyBorder="1" applyAlignment="1" applyProtection="1">
      <alignment horizontal="center" vertical="center" wrapText="1"/>
      <protection hidden="1"/>
    </xf>
    <xf numFmtId="0" fontId="57" fillId="0" borderId="11" xfId="0" applyFont="1" applyFill="1" applyBorder="1" applyAlignment="1" applyProtection="1">
      <alignment horizontal="center" vertical="center" wrapText="1"/>
      <protection hidden="1"/>
    </xf>
    <xf numFmtId="0" fontId="57" fillId="0" borderId="32" xfId="0" applyFont="1" applyFill="1" applyBorder="1" applyAlignment="1" applyProtection="1">
      <alignment horizontal="center" vertical="center" wrapText="1"/>
      <protection hidden="1"/>
    </xf>
    <xf numFmtId="0" fontId="57" fillId="0" borderId="14" xfId="0" applyFont="1" applyFill="1" applyBorder="1" applyAlignment="1" applyProtection="1">
      <alignment horizontal="center" vertical="center" wrapText="1"/>
      <protection hidden="1"/>
    </xf>
    <xf numFmtId="3" fontId="38" fillId="0" borderId="69" xfId="0" applyNumberFormat="1" applyFont="1" applyFill="1" applyBorder="1" applyAlignment="1" applyProtection="1">
      <alignment horizontal="center" vertical="center" shrinkToFit="1"/>
      <protection hidden="1"/>
    </xf>
    <xf numFmtId="3" fontId="38" fillId="0" borderId="65" xfId="0" applyNumberFormat="1" applyFont="1" applyFill="1" applyBorder="1" applyAlignment="1" applyProtection="1">
      <alignment horizontal="center" vertical="center" shrinkToFit="1"/>
      <protection hidden="1"/>
    </xf>
    <xf numFmtId="0" fontId="74" fillId="0" borderId="0" xfId="0" applyFont="1" applyFill="1" applyBorder="1" applyAlignment="1" applyProtection="1">
      <alignment horizontal="center" vertical="top" wrapText="1"/>
      <protection hidden="1"/>
    </xf>
    <xf numFmtId="0" fontId="94" fillId="0" borderId="0" xfId="0" applyFont="1" applyFill="1" applyBorder="1" applyAlignment="1" applyProtection="1">
      <alignment horizontal="center" vertical="top" wrapText="1"/>
      <protection hidden="1"/>
    </xf>
    <xf numFmtId="0" fontId="94" fillId="0" borderId="44" xfId="0" applyFont="1" applyFill="1" applyBorder="1" applyAlignment="1" applyProtection="1">
      <alignment horizontal="center" vertical="top" wrapText="1"/>
      <protection hidden="1"/>
    </xf>
    <xf numFmtId="3" fontId="38" fillId="0" borderId="68" xfId="0" applyNumberFormat="1" applyFont="1" applyFill="1" applyBorder="1" applyAlignment="1" applyProtection="1">
      <alignment horizontal="center" vertical="center" shrinkToFit="1"/>
      <protection hidden="1"/>
    </xf>
    <xf numFmtId="0" fontId="74" fillId="0" borderId="0" xfId="0" applyFont="1" applyFill="1" applyBorder="1" applyAlignment="1" applyProtection="1">
      <alignment horizontal="center" vertical="center" wrapText="1"/>
      <protection hidden="1"/>
    </xf>
    <xf numFmtId="0" fontId="57" fillId="0" borderId="167" xfId="0" applyFont="1" applyFill="1" applyBorder="1" applyAlignment="1" applyProtection="1">
      <alignment horizontal="center" vertical="center" wrapText="1"/>
      <protection hidden="1"/>
    </xf>
    <xf numFmtId="3" fontId="38" fillId="0" borderId="87" xfId="0" applyNumberFormat="1" applyFont="1" applyFill="1" applyBorder="1" applyAlignment="1" applyProtection="1">
      <alignment horizontal="center" vertical="center" shrinkToFit="1"/>
      <protection hidden="1"/>
    </xf>
    <xf numFmtId="3" fontId="38" fillId="0" borderId="39" xfId="0" applyNumberFormat="1" applyFont="1" applyFill="1" applyBorder="1" applyAlignment="1" applyProtection="1">
      <alignment horizontal="center" vertical="center" shrinkToFit="1"/>
      <protection hidden="1"/>
    </xf>
    <xf numFmtId="3" fontId="38" fillId="0" borderId="148" xfId="0" applyNumberFormat="1" applyFont="1" applyFill="1" applyBorder="1" applyAlignment="1" applyProtection="1">
      <alignment horizontal="center" vertical="center" shrinkToFit="1"/>
      <protection hidden="1"/>
    </xf>
    <xf numFmtId="3" fontId="38" fillId="0" borderId="21" xfId="0" applyNumberFormat="1" applyFont="1" applyFill="1" applyBorder="1" applyAlignment="1" applyProtection="1">
      <alignment horizontal="center" vertical="center" shrinkToFit="1"/>
      <protection hidden="1"/>
    </xf>
    <xf numFmtId="3" fontId="38" fillId="0" borderId="0" xfId="0" applyNumberFormat="1" applyFont="1" applyFill="1" applyBorder="1" applyAlignment="1" applyProtection="1">
      <alignment horizontal="center" vertical="center" shrinkToFit="1"/>
      <protection hidden="1"/>
    </xf>
    <xf numFmtId="3" fontId="38" fillId="0" borderId="152" xfId="0" applyNumberFormat="1" applyFont="1" applyFill="1" applyBorder="1" applyAlignment="1" applyProtection="1">
      <alignment horizontal="center" vertical="center" shrinkToFit="1"/>
      <protection hidden="1"/>
    </xf>
    <xf numFmtId="3" fontId="38" fillId="0" borderId="35" xfId="0" applyNumberFormat="1" applyFont="1" applyFill="1" applyBorder="1" applyAlignment="1" applyProtection="1">
      <alignment horizontal="center" vertical="center" shrinkToFit="1"/>
      <protection hidden="1"/>
    </xf>
    <xf numFmtId="3" fontId="38" fillId="0" borderId="30" xfId="0" applyNumberFormat="1" applyFont="1" applyFill="1" applyBorder="1" applyAlignment="1" applyProtection="1">
      <alignment horizontal="center" vertical="center" shrinkToFit="1"/>
      <protection hidden="1"/>
    </xf>
    <xf numFmtId="3" fontId="38" fillId="0" borderId="72" xfId="0" applyNumberFormat="1" applyFont="1" applyFill="1" applyBorder="1" applyAlignment="1" applyProtection="1">
      <alignment horizontal="center" vertical="center" shrinkToFit="1"/>
      <protection hidden="1"/>
    </xf>
    <xf numFmtId="3" fontId="38" fillId="0" borderId="81" xfId="0" applyNumberFormat="1" applyFont="1" applyFill="1" applyBorder="1" applyAlignment="1" applyProtection="1">
      <alignment horizontal="center" vertical="center" shrinkToFit="1"/>
      <protection hidden="1"/>
    </xf>
    <xf numFmtId="3" fontId="38" fillId="0" borderId="78" xfId="0" applyNumberFormat="1" applyFont="1" applyFill="1" applyBorder="1" applyAlignment="1" applyProtection="1">
      <alignment horizontal="center" vertical="center" shrinkToFit="1"/>
      <protection hidden="1"/>
    </xf>
    <xf numFmtId="3" fontId="38" fillId="0" borderId="82" xfId="0" applyNumberFormat="1" applyFont="1" applyFill="1" applyBorder="1" applyAlignment="1" applyProtection="1">
      <alignment horizontal="center" vertical="center" shrinkToFit="1"/>
      <protection hidden="1"/>
    </xf>
    <xf numFmtId="0" fontId="74" fillId="0" borderId="0" xfId="0" applyFont="1" applyAlignment="1" applyProtection="1">
      <alignment horizontal="left" vertical="center" wrapText="1" indent="1"/>
      <protection hidden="1"/>
    </xf>
    <xf numFmtId="0" fontId="57" fillId="0" borderId="36" xfId="0" applyFont="1" applyFill="1" applyBorder="1" applyAlignment="1" applyProtection="1">
      <alignment horizontal="center" vertical="center" wrapText="1"/>
      <protection hidden="1"/>
    </xf>
    <xf numFmtId="0" fontId="57" fillId="0" borderId="35" xfId="0" applyFont="1" applyFill="1" applyBorder="1" applyAlignment="1" applyProtection="1">
      <alignment horizontal="center" vertical="center" wrapText="1"/>
      <protection hidden="1"/>
    </xf>
    <xf numFmtId="0" fontId="56" fillId="0" borderId="18" xfId="0" applyFont="1" applyFill="1" applyBorder="1" applyAlignment="1" applyProtection="1">
      <alignment horizontal="right" vertical="center" wrapText="1"/>
      <protection hidden="1"/>
    </xf>
    <xf numFmtId="0" fontId="56" fillId="0" borderId="143" xfId="0" applyFont="1" applyFill="1" applyBorder="1" applyAlignment="1" applyProtection="1">
      <alignment horizontal="right" vertical="center" wrapText="1"/>
      <protection hidden="1"/>
    </xf>
    <xf numFmtId="0" fontId="74" fillId="0" borderId="0" xfId="0" applyFont="1" applyAlignment="1" applyProtection="1">
      <alignment horizontal="center" vertical="center" wrapText="1"/>
      <protection hidden="1"/>
    </xf>
    <xf numFmtId="0" fontId="74" fillId="0" borderId="0" xfId="0" applyFont="1" applyAlignment="1" applyProtection="1">
      <alignment horizontal="center" vertical="top" wrapText="1"/>
      <protection hidden="1"/>
    </xf>
    <xf numFmtId="0" fontId="57" fillId="0" borderId="17" xfId="0" applyFont="1" applyFill="1" applyBorder="1" applyAlignment="1" applyProtection="1">
      <alignment horizontal="center" vertical="center" wrapText="1"/>
      <protection hidden="1"/>
    </xf>
    <xf numFmtId="0" fontId="57" fillId="0" borderId="18" xfId="0" applyFont="1" applyFill="1" applyBorder="1" applyAlignment="1" applyProtection="1">
      <alignment horizontal="center" vertical="center" wrapText="1"/>
      <protection hidden="1"/>
    </xf>
    <xf numFmtId="0" fontId="57" fillId="0" borderId="203" xfId="0" applyFont="1" applyFill="1" applyBorder="1" applyAlignment="1" applyProtection="1">
      <alignment horizontal="center" vertical="center" wrapText="1"/>
      <protection hidden="1"/>
    </xf>
    <xf numFmtId="0" fontId="57" fillId="0" borderId="204" xfId="0" applyFont="1" applyFill="1" applyBorder="1" applyAlignment="1" applyProtection="1">
      <alignment horizontal="center" vertical="center" wrapText="1"/>
      <protection hidden="1"/>
    </xf>
    <xf numFmtId="0" fontId="71" fillId="0" borderId="26" xfId="0" applyFont="1" applyFill="1" applyBorder="1" applyAlignment="1" applyProtection="1">
      <alignment horizontal="left" vertical="center" wrapText="1"/>
      <protection hidden="1"/>
    </xf>
    <xf numFmtId="0" fontId="88" fillId="0" borderId="0" xfId="0" applyFont="1" applyFill="1" applyBorder="1" applyAlignment="1" applyProtection="1">
      <alignment horizontal="center" vertical="center" wrapText="1"/>
      <protection hidden="1"/>
    </xf>
    <xf numFmtId="0" fontId="56" fillId="0" borderId="27" xfId="0" applyFont="1" applyFill="1" applyBorder="1" applyAlignment="1" applyProtection="1">
      <alignment horizontal="center" vertical="center"/>
      <protection hidden="1"/>
    </xf>
    <xf numFmtId="0" fontId="56" fillId="0" borderId="26" xfId="0" applyFont="1" applyFill="1" applyBorder="1" applyAlignment="1" applyProtection="1">
      <alignment horizontal="center" vertical="center"/>
      <protection hidden="1"/>
    </xf>
    <xf numFmtId="0" fontId="56" fillId="0" borderId="248" xfId="0" applyFont="1" applyFill="1" applyBorder="1" applyAlignment="1" applyProtection="1">
      <alignment horizontal="center" vertical="center"/>
      <protection hidden="1"/>
    </xf>
    <xf numFmtId="0" fontId="75" fillId="0" borderId="2" xfId="0" applyFont="1" applyBorder="1" applyAlignment="1" applyProtection="1">
      <alignment horizontal="center" vertical="center" wrapText="1"/>
      <protection hidden="1"/>
    </xf>
    <xf numFmtId="0" fontId="75" fillId="0" borderId="23" xfId="0" applyFont="1" applyBorder="1" applyAlignment="1" applyProtection="1">
      <alignment horizontal="center" vertical="center" wrapText="1"/>
      <protection hidden="1"/>
    </xf>
    <xf numFmtId="0" fontId="56" fillId="0" borderId="249" xfId="0" applyFont="1" applyFill="1" applyBorder="1" applyAlignment="1" applyProtection="1">
      <alignment horizontal="center" vertical="center" wrapText="1"/>
      <protection hidden="1"/>
    </xf>
    <xf numFmtId="0" fontId="56" fillId="0" borderId="7" xfId="0" applyFont="1" applyFill="1" applyBorder="1" applyAlignment="1" applyProtection="1">
      <alignment horizontal="center" vertical="center"/>
      <protection hidden="1"/>
    </xf>
    <xf numFmtId="0" fontId="56" fillId="0" borderId="252" xfId="0" applyFont="1" applyFill="1" applyBorder="1" applyAlignment="1" applyProtection="1">
      <alignment horizontal="center" vertical="center"/>
      <protection hidden="1"/>
    </xf>
    <xf numFmtId="0" fontId="56" fillId="0" borderId="22" xfId="0" applyFont="1" applyFill="1" applyBorder="1" applyAlignment="1" applyProtection="1">
      <alignment horizontal="center" vertical="center"/>
      <protection hidden="1"/>
    </xf>
    <xf numFmtId="0" fontId="56" fillId="0" borderId="97" xfId="0" applyFont="1" applyBorder="1" applyAlignment="1" applyProtection="1">
      <alignment horizontal="center" vertical="center" wrapText="1"/>
      <protection hidden="1"/>
    </xf>
    <xf numFmtId="0" fontId="56" fillId="0" borderId="19" xfId="0" applyFont="1" applyBorder="1" applyAlignment="1" applyProtection="1">
      <alignment horizontal="center" vertical="center" wrapText="1"/>
      <protection hidden="1"/>
    </xf>
    <xf numFmtId="0" fontId="56" fillId="0" borderId="11" xfId="0" applyFont="1" applyBorder="1" applyAlignment="1" applyProtection="1">
      <alignment horizontal="center" vertical="center" wrapText="1"/>
      <protection hidden="1"/>
    </xf>
    <xf numFmtId="0" fontId="56" fillId="0" borderId="12" xfId="0" applyFont="1" applyBorder="1" applyAlignment="1" applyProtection="1">
      <alignment horizontal="center" vertical="center" wrapText="1"/>
      <protection hidden="1"/>
    </xf>
    <xf numFmtId="0" fontId="56" fillId="0" borderId="0" xfId="0" applyFont="1" applyBorder="1" applyAlignment="1" applyProtection="1">
      <alignment horizontal="center" vertical="center" wrapText="1"/>
      <protection hidden="1"/>
    </xf>
    <xf numFmtId="0" fontId="85" fillId="0" borderId="0" xfId="0" applyFont="1" applyBorder="1" applyAlignment="1" applyProtection="1">
      <alignment horizontal="center" vertical="center" wrapText="1"/>
      <protection hidden="1"/>
    </xf>
    <xf numFmtId="0" fontId="56" fillId="0" borderId="44" xfId="0" applyFont="1" applyBorder="1" applyAlignment="1" applyProtection="1">
      <alignment horizontal="center" vertical="center" wrapText="1"/>
      <protection hidden="1"/>
    </xf>
    <xf numFmtId="0" fontId="56" fillId="0" borderId="228" xfId="0" applyFont="1" applyBorder="1" applyAlignment="1" applyProtection="1">
      <alignment horizontal="center" vertical="center" wrapText="1"/>
      <protection hidden="1"/>
    </xf>
    <xf numFmtId="0" fontId="56" fillId="0" borderId="250" xfId="0" applyFont="1" applyBorder="1" applyAlignment="1" applyProtection="1">
      <alignment horizontal="center" vertical="center" wrapText="1"/>
      <protection hidden="1"/>
    </xf>
    <xf numFmtId="0" fontId="56" fillId="0" borderId="31" xfId="0" applyFont="1" applyBorder="1" applyAlignment="1" applyProtection="1">
      <alignment horizontal="center" vertical="center" wrapText="1"/>
      <protection hidden="1"/>
    </xf>
    <xf numFmtId="0" fontId="56" fillId="0" borderId="253" xfId="0" applyFont="1" applyBorder="1" applyAlignment="1" applyProtection="1">
      <alignment horizontal="center" vertical="center" wrapText="1"/>
      <protection hidden="1"/>
    </xf>
    <xf numFmtId="0" fontId="56" fillId="0" borderId="251" xfId="0" applyFont="1" applyBorder="1" applyAlignment="1" applyProtection="1">
      <alignment horizontal="center" vertical="center" wrapText="1"/>
      <protection hidden="1"/>
    </xf>
    <xf numFmtId="0" fontId="56" fillId="0" borderId="254" xfId="0" applyFont="1" applyBorder="1" applyAlignment="1" applyProtection="1">
      <alignment horizontal="center" vertical="center" wrapText="1"/>
      <protection hidden="1"/>
    </xf>
    <xf numFmtId="0" fontId="56" fillId="0" borderId="255" xfId="0" applyFont="1" applyBorder="1" applyAlignment="1" applyProtection="1">
      <alignment horizontal="center" vertical="center" wrapText="1"/>
      <protection hidden="1"/>
    </xf>
    <xf numFmtId="0" fontId="56" fillId="0" borderId="162" xfId="0" applyFont="1" applyBorder="1" applyAlignment="1" applyProtection="1">
      <alignment horizontal="center" vertical="center" wrapText="1"/>
      <protection hidden="1"/>
    </xf>
    <xf numFmtId="0" fontId="56" fillId="0" borderId="161" xfId="0" applyFont="1" applyBorder="1" applyAlignment="1" applyProtection="1">
      <alignment horizontal="center" vertical="center" wrapText="1"/>
      <protection hidden="1"/>
    </xf>
    <xf numFmtId="0" fontId="30" fillId="2" borderId="38" xfId="0" applyFont="1" applyFill="1" applyBorder="1" applyAlignment="1" applyProtection="1">
      <alignment horizontal="left" vertical="top" wrapText="1"/>
      <protection locked="0" hidden="1"/>
    </xf>
    <xf numFmtId="0" fontId="30" fillId="2" borderId="39" xfId="0" applyFont="1" applyFill="1" applyBorder="1" applyAlignment="1" applyProtection="1">
      <alignment horizontal="left" vertical="top" wrapText="1"/>
      <protection locked="0" hidden="1"/>
    </xf>
    <xf numFmtId="0" fontId="30" fillId="2" borderId="40" xfId="0" applyFont="1" applyFill="1" applyBorder="1" applyAlignment="1" applyProtection="1">
      <alignment horizontal="left" vertical="top" wrapText="1"/>
      <protection locked="0" hidden="1"/>
    </xf>
    <xf numFmtId="0" fontId="30" fillId="2" borderId="41" xfId="0" applyFont="1" applyFill="1" applyBorder="1" applyAlignment="1" applyProtection="1">
      <alignment horizontal="left" vertical="top" wrapText="1"/>
      <protection locked="0" hidden="1"/>
    </xf>
    <xf numFmtId="0" fontId="30" fillId="2" borderId="0" xfId="0" applyFont="1" applyFill="1" applyBorder="1" applyAlignment="1" applyProtection="1">
      <alignment horizontal="left" vertical="top" wrapText="1"/>
      <protection locked="0" hidden="1"/>
    </xf>
    <xf numFmtId="0" fontId="30" fillId="2" borderId="42" xfId="0" applyFont="1" applyFill="1" applyBorder="1" applyAlignment="1" applyProtection="1">
      <alignment horizontal="left" vertical="top" wrapText="1"/>
      <protection locked="0" hidden="1"/>
    </xf>
    <xf numFmtId="0" fontId="30" fillId="2" borderId="43" xfId="0" applyFont="1" applyFill="1" applyBorder="1" applyAlignment="1" applyProtection="1">
      <alignment horizontal="left" vertical="top" wrapText="1"/>
      <protection locked="0" hidden="1"/>
    </xf>
    <xf numFmtId="0" fontId="30" fillId="2" borderId="44" xfId="0" applyFont="1" applyFill="1" applyBorder="1" applyAlignment="1" applyProtection="1">
      <alignment horizontal="left" vertical="top" wrapText="1"/>
      <protection locked="0" hidden="1"/>
    </xf>
    <xf numFmtId="0" fontId="30" fillId="2" borderId="45" xfId="0" applyFont="1" applyFill="1" applyBorder="1" applyAlignment="1" applyProtection="1">
      <alignment horizontal="left" vertical="top" wrapText="1"/>
      <protection locked="0" hidden="1"/>
    </xf>
    <xf numFmtId="0" fontId="29" fillId="0" borderId="131" xfId="0" applyFont="1" applyFill="1" applyBorder="1" applyAlignment="1" applyProtection="1">
      <alignment horizontal="center" vertical="center" wrapText="1"/>
      <protection hidden="1"/>
    </xf>
    <xf numFmtId="0" fontId="29" fillId="0" borderId="133" xfId="0" applyFont="1" applyFill="1" applyBorder="1" applyAlignment="1" applyProtection="1">
      <alignment horizontal="center" vertical="center" wrapText="1"/>
      <protection hidden="1"/>
    </xf>
    <xf numFmtId="0" fontId="29" fillId="0" borderId="5" xfId="0" applyFont="1" applyFill="1" applyBorder="1" applyAlignment="1" applyProtection="1">
      <alignment horizontal="center" vertical="center" wrapText="1"/>
      <protection hidden="1"/>
    </xf>
    <xf numFmtId="0" fontId="76" fillId="0" borderId="44" xfId="0" applyFont="1" applyFill="1" applyBorder="1" applyAlignment="1" applyProtection="1">
      <alignment horizontal="center" vertical="center" wrapText="1"/>
      <protection hidden="1"/>
    </xf>
    <xf numFmtId="0" fontId="30" fillId="2" borderId="38" xfId="0" applyFont="1" applyFill="1" applyBorder="1" applyAlignment="1" applyProtection="1">
      <alignment horizontal="left" vertical="top" wrapText="1"/>
      <protection locked="0"/>
    </xf>
    <xf numFmtId="0" fontId="30" fillId="2" borderId="39" xfId="0" applyFont="1" applyFill="1" applyBorder="1" applyAlignment="1" applyProtection="1">
      <alignment horizontal="left" vertical="top" wrapText="1"/>
      <protection locked="0"/>
    </xf>
    <xf numFmtId="0" fontId="30" fillId="2" borderId="40" xfId="0" applyFont="1" applyFill="1" applyBorder="1" applyAlignment="1" applyProtection="1">
      <alignment horizontal="left" vertical="top" wrapText="1"/>
      <protection locked="0"/>
    </xf>
    <xf numFmtId="0" fontId="30" fillId="2" borderId="41" xfId="0" applyFont="1" applyFill="1" applyBorder="1" applyAlignment="1" applyProtection="1">
      <alignment horizontal="left" vertical="top" wrapText="1"/>
      <protection locked="0"/>
    </xf>
    <xf numFmtId="0" fontId="30" fillId="2" borderId="0" xfId="0" applyFont="1" applyFill="1" applyBorder="1" applyAlignment="1" applyProtection="1">
      <alignment horizontal="left" vertical="top" wrapText="1"/>
      <protection locked="0"/>
    </xf>
    <xf numFmtId="0" fontId="30" fillId="2" borderId="42" xfId="0" applyFont="1" applyFill="1" applyBorder="1" applyAlignment="1" applyProtection="1">
      <alignment horizontal="left" vertical="top" wrapText="1"/>
      <protection locked="0"/>
    </xf>
    <xf numFmtId="0" fontId="30" fillId="2" borderId="43" xfId="0" applyFont="1" applyFill="1" applyBorder="1" applyAlignment="1" applyProtection="1">
      <alignment horizontal="left" vertical="top" wrapText="1"/>
      <protection locked="0"/>
    </xf>
    <xf numFmtId="0" fontId="30" fillId="2" borderId="44" xfId="0" applyFont="1" applyFill="1" applyBorder="1" applyAlignment="1" applyProtection="1">
      <alignment horizontal="left" vertical="top" wrapText="1"/>
      <protection locked="0"/>
    </xf>
    <xf numFmtId="0" fontId="30" fillId="2" borderId="45" xfId="0" applyFont="1" applyFill="1" applyBorder="1" applyAlignment="1" applyProtection="1">
      <alignment horizontal="left" vertical="top" wrapText="1"/>
      <protection locked="0"/>
    </xf>
    <xf numFmtId="0" fontId="29" fillId="0" borderId="7" xfId="0" applyFont="1" applyFill="1" applyBorder="1" applyAlignment="1">
      <alignment horizontal="center" vertical="center" wrapText="1"/>
    </xf>
    <xf numFmtId="0" fontId="29" fillId="0" borderId="30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29" fillId="0" borderId="143" xfId="0" applyFont="1" applyFill="1" applyBorder="1" applyAlignment="1">
      <alignment horizontal="center" vertical="center" wrapText="1"/>
    </xf>
    <xf numFmtId="0" fontId="57" fillId="0" borderId="33" xfId="0" applyFont="1" applyFill="1" applyBorder="1" applyAlignment="1" applyProtection="1">
      <alignment horizontal="center" vertical="center" wrapText="1"/>
      <protection hidden="1"/>
    </xf>
    <xf numFmtId="0" fontId="73" fillId="0" borderId="0" xfId="0" applyFont="1" applyBorder="1" applyAlignment="1" applyProtection="1">
      <alignment horizontal="center" vertical="center" wrapText="1"/>
      <protection hidden="1"/>
    </xf>
    <xf numFmtId="0" fontId="62" fillId="0" borderId="0" xfId="0" applyFont="1" applyBorder="1" applyAlignment="1" applyProtection="1">
      <alignment horizontal="left" vertical="center" wrapText="1"/>
      <protection hidden="1"/>
    </xf>
    <xf numFmtId="0" fontId="30" fillId="0" borderId="270" xfId="0" applyFont="1" applyFill="1" applyBorder="1" applyAlignment="1" applyProtection="1">
      <alignment horizontal="center" vertical="center"/>
      <protection hidden="1"/>
    </xf>
    <xf numFmtId="0" fontId="30" fillId="0" borderId="271" xfId="0" applyFont="1" applyFill="1" applyBorder="1" applyAlignment="1" applyProtection="1">
      <alignment horizontal="center" vertical="center"/>
      <protection hidden="1"/>
    </xf>
    <xf numFmtId="3" fontId="38" fillId="0" borderId="169" xfId="0" applyNumberFormat="1" applyFont="1" applyFill="1" applyBorder="1" applyAlignment="1" applyProtection="1">
      <alignment horizontal="center" vertical="center" shrinkToFit="1"/>
      <protection hidden="1"/>
    </xf>
    <xf numFmtId="3" fontId="38" fillId="0" borderId="199" xfId="0" applyNumberFormat="1" applyFont="1" applyFill="1" applyBorder="1" applyAlignment="1" applyProtection="1">
      <alignment horizontal="center" vertical="center" shrinkToFit="1"/>
      <protection hidden="1"/>
    </xf>
    <xf numFmtId="0" fontId="40" fillId="2" borderId="95" xfId="0" applyFont="1" applyFill="1" applyBorder="1" applyAlignment="1" applyProtection="1">
      <alignment horizontal="center" vertical="center"/>
      <protection locked="0"/>
    </xf>
    <xf numFmtId="0" fontId="40" fillId="2" borderId="90" xfId="0" applyFont="1" applyFill="1" applyBorder="1" applyAlignment="1" applyProtection="1">
      <alignment horizontal="center" vertical="center"/>
      <protection locked="0"/>
    </xf>
    <xf numFmtId="0" fontId="40" fillId="2" borderId="109" xfId="0" applyFont="1" applyFill="1" applyBorder="1" applyAlignment="1" applyProtection="1">
      <alignment horizontal="center" vertical="center"/>
      <protection locked="0"/>
    </xf>
    <xf numFmtId="0" fontId="40" fillId="2" borderId="0" xfId="0" applyFont="1" applyFill="1" applyBorder="1" applyAlignment="1" applyProtection="1">
      <alignment horizontal="center" vertical="center"/>
      <protection locked="0"/>
    </xf>
    <xf numFmtId="0" fontId="71" fillId="0" borderId="170" xfId="0" applyFont="1" applyFill="1" applyBorder="1" applyAlignment="1" applyProtection="1">
      <alignment horizontal="left" vertical="center" wrapText="1"/>
      <protection hidden="1"/>
    </xf>
    <xf numFmtId="0" fontId="71" fillId="0" borderId="198" xfId="0" applyFont="1" applyFill="1" applyBorder="1" applyAlignment="1" applyProtection="1">
      <alignment horizontal="left" vertical="center" wrapText="1"/>
      <protection hidden="1"/>
    </xf>
    <xf numFmtId="0" fontId="74" fillId="0" borderId="197" xfId="0" applyFont="1" applyBorder="1" applyAlignment="1" applyProtection="1">
      <alignment horizontal="center" vertical="center"/>
      <protection hidden="1"/>
    </xf>
    <xf numFmtId="0" fontId="74" fillId="0" borderId="109" xfId="0" applyFont="1" applyBorder="1" applyAlignment="1" applyProtection="1">
      <alignment horizontal="center" vertical="center"/>
      <protection hidden="1"/>
    </xf>
    <xf numFmtId="0" fontId="74" fillId="0" borderId="196" xfId="0" applyFont="1" applyBorder="1" applyAlignment="1" applyProtection="1">
      <alignment horizontal="center" vertical="center"/>
      <protection hidden="1"/>
    </xf>
    <xf numFmtId="0" fontId="74" fillId="0" borderId="30" xfId="0" applyFont="1" applyBorder="1" applyAlignment="1" applyProtection="1">
      <alignment horizontal="center" vertical="center"/>
      <protection hidden="1"/>
    </xf>
    <xf numFmtId="0" fontId="45" fillId="0" borderId="130" xfId="0" applyFont="1" applyBorder="1" applyAlignment="1" applyProtection="1">
      <alignment horizontal="center" vertical="center" wrapText="1"/>
      <protection hidden="1"/>
    </xf>
    <xf numFmtId="0" fontId="45" fillId="0" borderId="93" xfId="0" applyFont="1" applyBorder="1" applyAlignment="1" applyProtection="1">
      <alignment horizontal="center" vertical="center" wrapText="1"/>
      <protection hidden="1"/>
    </xf>
    <xf numFmtId="0" fontId="29" fillId="0" borderId="201" xfId="0" applyFont="1" applyFill="1" applyBorder="1" applyAlignment="1" applyProtection="1">
      <alignment horizontal="center" vertical="center" wrapText="1"/>
      <protection hidden="1"/>
    </xf>
    <xf numFmtId="0" fontId="29" fillId="0" borderId="202" xfId="0" applyFont="1" applyFill="1" applyBorder="1" applyAlignment="1" applyProtection="1">
      <alignment horizontal="center" vertical="center" wrapText="1"/>
      <protection hidden="1"/>
    </xf>
    <xf numFmtId="0" fontId="45" fillId="0" borderId="130" xfId="0" applyFont="1" applyFill="1" applyBorder="1" applyAlignment="1" applyProtection="1">
      <alignment horizontal="center" vertical="center" wrapText="1"/>
      <protection hidden="1"/>
    </xf>
    <xf numFmtId="0" fontId="45" fillId="0" borderId="93" xfId="0" applyFont="1" applyFill="1" applyBorder="1" applyAlignment="1" applyProtection="1">
      <alignment horizontal="center" vertical="center" wrapText="1"/>
      <protection hidden="1"/>
    </xf>
    <xf numFmtId="0" fontId="45" fillId="0" borderId="110" xfId="0" applyFont="1" applyFill="1" applyBorder="1" applyAlignment="1" applyProtection="1">
      <alignment horizontal="center" vertical="center" wrapText="1"/>
      <protection hidden="1"/>
    </xf>
    <xf numFmtId="0" fontId="45" fillId="0" borderId="111" xfId="0" applyFont="1" applyFill="1" applyBorder="1" applyAlignment="1" applyProtection="1">
      <alignment horizontal="center" vertical="center" wrapText="1"/>
      <protection hidden="1"/>
    </xf>
    <xf numFmtId="0" fontId="74" fillId="0" borderId="0" xfId="0" applyFont="1" applyFill="1" applyAlignment="1" applyProtection="1">
      <alignment horizontal="center" vertical="center" wrapText="1"/>
      <protection hidden="1"/>
    </xf>
    <xf numFmtId="0" fontId="74" fillId="0" borderId="44" xfId="0" applyFont="1" applyFill="1" applyBorder="1" applyAlignment="1" applyProtection="1">
      <alignment horizontal="center" vertical="center" wrapText="1"/>
      <protection hidden="1"/>
    </xf>
    <xf numFmtId="0" fontId="29" fillId="0" borderId="7" xfId="0" applyFont="1" applyFill="1" applyBorder="1" applyAlignment="1" applyProtection="1">
      <alignment horizontal="center" vertical="center" wrapText="1"/>
      <protection hidden="1"/>
    </xf>
    <xf numFmtId="0" fontId="29" fillId="0" borderId="2" xfId="0" applyFont="1" applyFill="1" applyBorder="1" applyAlignment="1" applyProtection="1">
      <alignment horizontal="center" vertical="center" wrapText="1"/>
      <protection hidden="1"/>
    </xf>
    <xf numFmtId="0" fontId="29" fillId="0" borderId="30" xfId="0" applyFont="1" applyFill="1" applyBorder="1" applyAlignment="1" applyProtection="1">
      <alignment horizontal="center" vertical="center" wrapText="1"/>
      <protection hidden="1"/>
    </xf>
    <xf numFmtId="0" fontId="29" fillId="0" borderId="3" xfId="0" applyFont="1" applyFill="1" applyBorder="1" applyAlignment="1" applyProtection="1">
      <alignment horizontal="center" vertical="center" wrapText="1"/>
      <protection hidden="1"/>
    </xf>
    <xf numFmtId="0" fontId="40" fillId="0" borderId="0" xfId="0" applyFont="1" applyAlignment="1">
      <alignment horizontal="left" vertical="center" wrapText="1" indent="2"/>
    </xf>
    <xf numFmtId="0" fontId="50" fillId="0" borderId="217" xfId="0" applyFont="1" applyBorder="1" applyAlignment="1" applyProtection="1">
      <alignment horizontal="center" vertical="center" wrapText="1"/>
      <protection hidden="1"/>
    </xf>
    <xf numFmtId="0" fontId="50" fillId="0" borderId="219" xfId="0" applyFont="1" applyBorder="1" applyAlignment="1" applyProtection="1">
      <alignment horizontal="center" vertical="center" wrapText="1"/>
      <protection hidden="1"/>
    </xf>
    <xf numFmtId="0" fontId="50" fillId="0" borderId="220" xfId="0" applyFont="1" applyBorder="1" applyAlignment="1" applyProtection="1">
      <alignment horizontal="center" vertical="center" wrapText="1"/>
      <protection hidden="1"/>
    </xf>
    <xf numFmtId="0" fontId="50" fillId="0" borderId="114" xfId="0" applyFont="1" applyBorder="1" applyAlignment="1" applyProtection="1">
      <alignment horizontal="center" vertical="center" wrapText="1"/>
      <protection hidden="1"/>
    </xf>
    <xf numFmtId="0" fontId="50" fillId="0" borderId="41" xfId="0" applyFont="1" applyBorder="1" applyAlignment="1" applyProtection="1">
      <alignment horizontal="center" vertical="center" wrapText="1"/>
      <protection hidden="1"/>
    </xf>
    <xf numFmtId="0" fontId="50" fillId="0" borderId="111" xfId="0" applyFont="1" applyBorder="1" applyAlignment="1" applyProtection="1">
      <alignment horizontal="center" vertical="center" wrapText="1"/>
      <protection hidden="1"/>
    </xf>
    <xf numFmtId="0" fontId="30" fillId="0" borderId="65" xfId="0" applyFont="1" applyBorder="1" applyAlignment="1" applyProtection="1">
      <alignment horizontal="left" vertical="center" indent="2"/>
      <protection hidden="1"/>
    </xf>
    <xf numFmtId="0" fontId="30" fillId="0" borderId="132" xfId="0" applyFont="1" applyBorder="1" applyAlignment="1" applyProtection="1">
      <alignment horizontal="left" vertical="center" indent="2"/>
      <protection hidden="1"/>
    </xf>
    <xf numFmtId="0" fontId="30" fillId="0" borderId="78" xfId="0" applyFont="1" applyBorder="1" applyAlignment="1" applyProtection="1">
      <alignment horizontal="left" vertical="center" indent="2"/>
      <protection hidden="1"/>
    </xf>
    <xf numFmtId="0" fontId="30" fillId="0" borderId="70" xfId="0" applyFont="1" applyBorder="1" applyAlignment="1" applyProtection="1">
      <alignment horizontal="left" vertical="center" indent="2"/>
      <protection hidden="1"/>
    </xf>
    <xf numFmtId="0" fontId="29" fillId="0" borderId="7" xfId="0" applyFont="1" applyBorder="1" applyAlignment="1" applyProtection="1">
      <alignment horizontal="center" vertical="center"/>
      <protection hidden="1"/>
    </xf>
    <xf numFmtId="0" fontId="29" fillId="0" borderId="2" xfId="0" applyFont="1" applyBorder="1" applyAlignment="1" applyProtection="1">
      <alignment horizontal="center" vertical="center"/>
      <protection hidden="1"/>
    </xf>
    <xf numFmtId="0" fontId="29" fillId="0" borderId="0" xfId="0" applyFont="1" applyBorder="1" applyAlignment="1" applyProtection="1">
      <alignment horizontal="center" vertical="center"/>
      <protection hidden="1"/>
    </xf>
    <xf numFmtId="0" fontId="29" fillId="0" borderId="23" xfId="0" applyFont="1" applyBorder="1" applyAlignment="1" applyProtection="1">
      <alignment horizontal="center" vertical="center"/>
      <protection hidden="1"/>
    </xf>
    <xf numFmtId="0" fontId="29" fillId="0" borderId="30" xfId="0" applyFont="1" applyBorder="1" applyAlignment="1" applyProtection="1">
      <alignment horizontal="center" vertical="center"/>
      <protection hidden="1"/>
    </xf>
    <xf numFmtId="0" fontId="29" fillId="0" borderId="3" xfId="0" applyFont="1" applyBorder="1" applyAlignment="1" applyProtection="1">
      <alignment horizontal="center" vertical="center"/>
      <protection hidden="1"/>
    </xf>
    <xf numFmtId="0" fontId="57" fillId="0" borderId="10" xfId="0" applyFont="1" applyBorder="1" applyAlignment="1" applyProtection="1">
      <alignment horizontal="center" vertical="center" wrapText="1"/>
      <protection hidden="1"/>
    </xf>
    <xf numFmtId="0" fontId="57" fillId="0" borderId="37" xfId="0" applyFont="1" applyBorder="1" applyAlignment="1" applyProtection="1">
      <alignment horizontal="center" vertical="center" wrapText="1"/>
      <protection hidden="1"/>
    </xf>
    <xf numFmtId="0" fontId="57" fillId="0" borderId="11" xfId="0" applyFont="1" applyBorder="1" applyAlignment="1" applyProtection="1">
      <alignment horizontal="center" vertical="center" wrapText="1"/>
      <protection hidden="1"/>
    </xf>
    <xf numFmtId="0" fontId="57" fillId="0" borderId="32" xfId="0" applyFont="1" applyBorder="1" applyAlignment="1" applyProtection="1">
      <alignment horizontal="center" vertical="center" wrapText="1"/>
      <protection hidden="1"/>
    </xf>
    <xf numFmtId="0" fontId="57" fillId="0" borderId="36" xfId="0" applyFont="1" applyBorder="1" applyAlignment="1" applyProtection="1">
      <alignment horizontal="center" vertical="center" wrapText="1"/>
      <protection hidden="1"/>
    </xf>
    <xf numFmtId="0" fontId="57" fillId="0" borderId="7" xfId="0" applyFont="1" applyBorder="1" applyAlignment="1" applyProtection="1">
      <alignment horizontal="center" vertical="center" wrapText="1"/>
      <protection hidden="1"/>
    </xf>
    <xf numFmtId="0" fontId="57" fillId="0" borderId="31" xfId="0" applyFont="1" applyBorder="1" applyAlignment="1" applyProtection="1">
      <alignment horizontal="center" vertical="center" wrapText="1"/>
      <protection hidden="1"/>
    </xf>
    <xf numFmtId="0" fontId="57" fillId="0" borderId="12" xfId="0" applyFont="1" applyBorder="1" applyAlignment="1" applyProtection="1">
      <alignment horizontal="center" vertical="center" wrapText="1"/>
      <protection hidden="1"/>
    </xf>
    <xf numFmtId="0" fontId="50" fillId="0" borderId="216" xfId="0" applyFont="1" applyBorder="1" applyAlignment="1" applyProtection="1">
      <alignment horizontal="center" vertical="center" wrapText="1"/>
      <protection hidden="1"/>
    </xf>
    <xf numFmtId="0" fontId="50" fillId="0" borderId="199" xfId="0" applyFont="1" applyBorder="1" applyAlignment="1" applyProtection="1">
      <alignment horizontal="center" vertical="center" wrapText="1"/>
      <protection hidden="1"/>
    </xf>
    <xf numFmtId="0" fontId="50" fillId="0" borderId="202" xfId="0" applyFont="1" applyBorder="1" applyAlignment="1" applyProtection="1">
      <alignment horizontal="center" vertical="center" wrapText="1"/>
      <protection hidden="1"/>
    </xf>
    <xf numFmtId="0" fontId="50" fillId="0" borderId="113" xfId="0" applyFont="1" applyBorder="1" applyAlignment="1" applyProtection="1">
      <alignment horizontal="center" vertical="center" wrapText="1"/>
      <protection hidden="1"/>
    </xf>
    <xf numFmtId="0" fontId="50" fillId="0" borderId="218" xfId="0" applyFont="1" applyBorder="1" applyAlignment="1" applyProtection="1">
      <alignment horizontal="center" vertical="center" wrapText="1"/>
      <protection hidden="1"/>
    </xf>
    <xf numFmtId="0" fontId="50" fillId="0" borderId="115" xfId="0" applyFont="1" applyBorder="1" applyAlignment="1" applyProtection="1">
      <alignment horizontal="center" vertical="center" wrapText="1"/>
      <protection hidden="1"/>
    </xf>
    <xf numFmtId="0" fontId="30" fillId="2" borderId="64" xfId="0" applyFont="1" applyFill="1" applyBorder="1" applyAlignment="1" applyProtection="1">
      <alignment horizontal="left" vertical="top" shrinkToFit="1"/>
      <protection locked="0"/>
    </xf>
    <xf numFmtId="0" fontId="30" fillId="2" borderId="65" xfId="0" applyFont="1" applyFill="1" applyBorder="1" applyAlignment="1" applyProtection="1">
      <alignment horizontal="left" vertical="top" shrinkToFit="1"/>
      <protection locked="0"/>
    </xf>
    <xf numFmtId="0" fontId="30" fillId="2" borderId="66" xfId="0" applyFont="1" applyFill="1" applyBorder="1" applyAlignment="1" applyProtection="1">
      <alignment horizontal="left" vertical="top" shrinkToFit="1"/>
      <protection locked="0"/>
    </xf>
    <xf numFmtId="0" fontId="72" fillId="0" borderId="7" xfId="0" applyFont="1" applyBorder="1" applyAlignment="1">
      <alignment horizontal="left" vertical="top" wrapText="1"/>
    </xf>
    <xf numFmtId="0" fontId="72" fillId="0" borderId="0" xfId="0" applyFont="1" applyAlignment="1">
      <alignment horizontal="left" vertical="top" wrapText="1"/>
    </xf>
    <xf numFmtId="0" fontId="59" fillId="0" borderId="9" xfId="0" applyFont="1" applyFill="1" applyBorder="1" applyAlignment="1" applyProtection="1">
      <alignment horizontal="left" vertical="center" wrapText="1"/>
      <protection hidden="1"/>
    </xf>
    <xf numFmtId="0" fontId="57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57" fillId="0" borderId="30" xfId="0" applyNumberFormat="1" applyFont="1" applyFill="1" applyBorder="1" applyAlignment="1" applyProtection="1">
      <alignment horizontal="center" vertical="center" wrapText="1"/>
      <protection hidden="1"/>
    </xf>
    <xf numFmtId="0" fontId="45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45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50" fillId="0" borderId="110" xfId="0" applyFont="1" applyBorder="1" applyAlignment="1" applyProtection="1">
      <alignment horizontal="center" vertical="center" wrapText="1"/>
      <protection hidden="1"/>
    </xf>
    <xf numFmtId="0" fontId="64" fillId="0" borderId="0" xfId="0" applyFont="1" applyFill="1" applyBorder="1" applyAlignment="1" applyProtection="1">
      <alignment horizontal="left" vertical="top" wrapText="1"/>
      <protection hidden="1"/>
    </xf>
    <xf numFmtId="0" fontId="40" fillId="2" borderId="38" xfId="0" applyFont="1" applyFill="1" applyBorder="1" applyAlignment="1" applyProtection="1">
      <alignment horizontal="left" vertical="top" wrapText="1"/>
      <protection locked="0"/>
    </xf>
    <xf numFmtId="0" fontId="40" fillId="2" borderId="39" xfId="0" applyFont="1" applyFill="1" applyBorder="1" applyAlignment="1" applyProtection="1">
      <alignment horizontal="left" vertical="top" wrapText="1"/>
      <protection locked="0"/>
    </xf>
    <xf numFmtId="0" fontId="40" fillId="2" borderId="40" xfId="0" applyFont="1" applyFill="1" applyBorder="1" applyAlignment="1" applyProtection="1">
      <alignment horizontal="left" vertical="top" wrapText="1"/>
      <protection locked="0"/>
    </xf>
    <xf numFmtId="0" fontId="40" fillId="2" borderId="41" xfId="0" applyFont="1" applyFill="1" applyBorder="1" applyAlignment="1" applyProtection="1">
      <alignment horizontal="left" vertical="top" wrapText="1"/>
      <protection locked="0"/>
    </xf>
    <xf numFmtId="0" fontId="40" fillId="2" borderId="0" xfId="0" applyFont="1" applyFill="1" applyBorder="1" applyAlignment="1" applyProtection="1">
      <alignment horizontal="left" vertical="top" wrapText="1"/>
      <protection locked="0"/>
    </xf>
    <xf numFmtId="0" fontId="40" fillId="2" borderId="42" xfId="0" applyFont="1" applyFill="1" applyBorder="1" applyAlignment="1" applyProtection="1">
      <alignment horizontal="left" vertical="top" wrapText="1"/>
      <protection locked="0"/>
    </xf>
    <xf numFmtId="0" fontId="40" fillId="2" borderId="43" xfId="0" applyFont="1" applyFill="1" applyBorder="1" applyAlignment="1" applyProtection="1">
      <alignment horizontal="left" vertical="top" wrapText="1"/>
      <protection locked="0"/>
    </xf>
    <xf numFmtId="0" fontId="40" fillId="2" borderId="44" xfId="0" applyFont="1" applyFill="1" applyBorder="1" applyAlignment="1" applyProtection="1">
      <alignment horizontal="left" vertical="top" wrapText="1"/>
      <protection locked="0"/>
    </xf>
    <xf numFmtId="0" fontId="40" fillId="2" borderId="45" xfId="0" applyFont="1" applyFill="1" applyBorder="1" applyAlignment="1" applyProtection="1">
      <alignment horizontal="left" vertical="top" wrapText="1"/>
      <protection locked="0"/>
    </xf>
    <xf numFmtId="0" fontId="59" fillId="0" borderId="0" xfId="0" applyFont="1" applyFill="1" applyBorder="1" applyAlignment="1" applyProtection="1">
      <alignment horizontal="left" vertical="center" wrapText="1"/>
      <protection hidden="1"/>
    </xf>
    <xf numFmtId="0" fontId="57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57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57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57" fillId="0" borderId="229" xfId="0" applyNumberFormat="1" applyFont="1" applyFill="1" applyBorder="1" applyAlignment="1" applyProtection="1">
      <alignment horizontal="center" vertical="center" wrapText="1"/>
      <protection hidden="1"/>
    </xf>
    <xf numFmtId="0" fontId="45" fillId="0" borderId="228" xfId="0" applyNumberFormat="1" applyFont="1" applyFill="1" applyBorder="1" applyAlignment="1" applyProtection="1">
      <alignment horizontal="center" vertical="center" wrapText="1"/>
      <protection hidden="1"/>
    </xf>
    <xf numFmtId="0" fontId="45" fillId="0" borderId="230" xfId="0" applyNumberFormat="1" applyFont="1" applyFill="1" applyBorder="1" applyAlignment="1" applyProtection="1">
      <alignment horizontal="center" vertical="center" wrapText="1"/>
      <protection hidden="1"/>
    </xf>
    <xf numFmtId="0" fontId="50" fillId="0" borderId="134" xfId="0" applyFont="1" applyBorder="1" applyAlignment="1" applyProtection="1">
      <alignment horizontal="center" vertical="center" wrapText="1"/>
      <protection hidden="1"/>
    </xf>
    <xf numFmtId="0" fontId="50" fillId="0" borderId="231" xfId="0" applyFont="1" applyBorder="1" applyAlignment="1" applyProtection="1">
      <alignment horizontal="center" vertical="center" wrapText="1"/>
      <protection hidden="1"/>
    </xf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9" builtinId="26" customBuiltin="1"/>
    <cellStyle name="Cálculo" xfId="14" builtinId="22" customBuiltin="1"/>
    <cellStyle name="Celda de comprobación" xfId="16" builtinId="23" customBuiltin="1"/>
    <cellStyle name="Celda vinculada" xfId="15" builtinId="24" customBuiltin="1"/>
    <cellStyle name="Encabezado 1" xfId="5" builtinId="16" customBuiltin="1"/>
    <cellStyle name="Encabezado 4" xfId="8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2" builtinId="20" customBuiltin="1"/>
    <cellStyle name="Hipervínculo" xfId="1" builtinId="8"/>
    <cellStyle name="Incorrecto" xfId="10" builtinId="27" customBuiltin="1"/>
    <cellStyle name="Neutral" xfId="11" builtinId="28" customBuiltin="1"/>
    <cellStyle name="Normal" xfId="0" builtinId="0"/>
    <cellStyle name="Notas" xfId="17" builtinId="10" customBuiltin="1"/>
    <cellStyle name="Salida" xfId="13" builtinId="21" customBuiltin="1"/>
    <cellStyle name="Texto de advertencia" xfId="2" builtinId="11" customBuiltin="1"/>
    <cellStyle name="Texto explicativo" xfId="3" builtinId="53" customBuiltin="1"/>
    <cellStyle name="Título" xfId="4" builtinId="15" customBuiltin="1"/>
    <cellStyle name="Título 2" xfId="6" builtinId="17" customBuiltin="1"/>
    <cellStyle name="Título 3" xfId="7" builtinId="18" customBuiltin="1"/>
    <cellStyle name="Título 4" xfId="43"/>
    <cellStyle name="Total" xfId="18" builtinId="25" customBuiltin="1"/>
  </cellStyles>
  <dxfs count="308"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ill>
        <patternFill>
          <bgColor theme="5" tint="0.3999450666829432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>
          <bgColor rgb="FFFFFFCC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b/>
        <i val="0"/>
        <color rgb="FFFF0000"/>
      </font>
    </dxf>
    <dxf>
      <fill>
        <patternFill>
          <bgColor theme="5" tint="0.3999450666829432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ont>
        <color theme="0"/>
      </font>
    </dxf>
    <dxf>
      <fill>
        <patternFill>
          <bgColor theme="5" tint="0.3999450666829432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/>
        <color rgb="FFFF0000"/>
      </font>
      <fill>
        <patternFill>
          <bgColor theme="5" tint="0.79998168889431442"/>
        </patternFill>
      </fill>
    </dxf>
    <dxf>
      <font>
        <color theme="0"/>
      </font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0"/>
      </font>
    </dxf>
    <dxf>
      <font>
        <color rgb="FFFF0000"/>
      </font>
      <fill>
        <patternFill>
          <bgColor theme="5" tint="0.7999816888943144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border>
        <left style="dotted">
          <color rgb="FF008000"/>
        </left>
        <right style="dotted">
          <color rgb="FF008000"/>
        </right>
        <top style="dotted">
          <color rgb="FF008000"/>
        </top>
        <bottom style="dotted">
          <color rgb="FF008000"/>
        </bottom>
        <vertical/>
        <horizontal/>
      </border>
    </dxf>
    <dxf>
      <font>
        <color theme="0"/>
      </font>
    </dxf>
    <dxf>
      <font>
        <b/>
        <i/>
        <color rgb="FFFF0000"/>
      </font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font>
        <b/>
        <i/>
        <color rgb="FF7030A0"/>
      </font>
      <border>
        <left style="dotted">
          <color rgb="FF7030A0"/>
        </left>
        <right style="dotted">
          <color rgb="FF7030A0"/>
        </right>
        <top style="dotted">
          <color rgb="FF7030A0"/>
        </top>
        <bottom style="dotted">
          <color rgb="FF7030A0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/>
        <color rgb="FFFF0000"/>
      </font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font>
        <b/>
        <i/>
        <color rgb="FF7030A0"/>
      </font>
      <border>
        <left style="dotted">
          <color rgb="FF7030A0"/>
        </left>
        <right style="dotted">
          <color rgb="FF7030A0"/>
        </right>
        <top style="dotted">
          <color rgb="FF7030A0"/>
        </top>
        <bottom style="dotted">
          <color rgb="FF7030A0"/>
        </bottom>
        <vertical/>
        <horizontal/>
      </border>
    </dxf>
    <dxf>
      <font>
        <color theme="0"/>
      </font>
    </dxf>
    <dxf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0"/>
      </font>
    </dxf>
    <dxf>
      <font>
        <color theme="0"/>
      </font>
    </dxf>
    <dxf>
      <font>
        <color rgb="FFFF0000"/>
      </font>
      <fill>
        <patternFill>
          <bgColor theme="5" tint="0.79998168889431442"/>
        </patternFill>
      </fill>
    </dxf>
    <dxf>
      <font>
        <color theme="0"/>
      </font>
    </dxf>
    <dxf>
      <font>
        <color rgb="FFFF0000"/>
      </font>
      <fill>
        <patternFill>
          <bgColor theme="5" tint="0.7999816888943144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5" tint="0.3999450666829432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ont>
        <color theme="0"/>
      </font>
    </dxf>
    <dxf>
      <font>
        <color auto="1"/>
      </font>
      <fill>
        <patternFill>
          <bgColor rgb="FFFFFFCC"/>
        </patternFill>
      </fill>
      <border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font>
        <color rgb="FFFFFFCC"/>
      </font>
      <fill>
        <patternFill>
          <bgColor rgb="FFFFFFCC"/>
        </patternFill>
      </fill>
      <border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font>
        <color theme="0"/>
      </font>
      <fill>
        <patternFill>
          <bgColor theme="0"/>
        </patternFill>
      </fill>
      <border>
        <left style="dashed">
          <color theme="0"/>
        </left>
        <right style="dashed">
          <color theme="0"/>
        </right>
        <top style="dashed">
          <color theme="0"/>
        </top>
        <bottom style="dashed">
          <color theme="0"/>
        </bottom>
        <vertical/>
        <horizontal/>
      </border>
    </dxf>
    <dxf>
      <font>
        <color theme="0"/>
      </font>
    </dxf>
    <dxf>
      <fill>
        <patternFill>
          <bgColor theme="5" tint="0.3999450666829432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>
          <bgColor theme="5" tint="0.3999450666829432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  <border>
        <left style="dashed">
          <color auto="1"/>
        </left>
        <vertical/>
        <horizontal/>
      </border>
    </dxf>
    <dxf>
      <border>
        <bottom style="dashed">
          <color auto="1"/>
        </bottom>
        <vertical/>
        <horizontal/>
      </border>
    </dxf>
    <dxf>
      <font>
        <color auto="1"/>
      </font>
      <fill>
        <patternFill>
          <bgColor rgb="FFFFFFCC"/>
        </patternFill>
      </fill>
      <border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font>
        <color rgb="FFFFFFCC"/>
      </font>
      <fill>
        <patternFill>
          <bgColor rgb="FFFFFFCC"/>
        </patternFill>
      </fill>
      <border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font>
        <color theme="0"/>
      </font>
      <fill>
        <patternFill>
          <bgColor theme="0"/>
        </patternFill>
      </fill>
      <border>
        <left style="dashed">
          <color theme="0"/>
        </left>
        <right style="dashed">
          <color theme="0"/>
        </right>
        <top style="dashed">
          <color theme="0"/>
        </top>
        <bottom style="dashed">
          <color theme="0"/>
        </bottom>
        <vertical/>
        <horizontal/>
      </border>
    </dxf>
    <dxf>
      <font>
        <color rgb="FFFFFFCC"/>
      </font>
    </dxf>
  </dxfs>
  <tableStyles count="0" defaultTableStyle="TableStyleMedium9" defaultPivotStyle="PivotStyleLight16"/>
  <colors>
    <mruColors>
      <color rgb="FFFFFFCC"/>
      <color rgb="FF3366FF"/>
      <color rgb="FF0060A8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FFC000"/>
  </sheetPr>
  <dimension ref="A1:E489"/>
  <sheetViews>
    <sheetView workbookViewId="0">
      <selection sqref="A1:E1048576"/>
    </sheetView>
  </sheetViews>
  <sheetFormatPr baseColWidth="10" defaultRowHeight="12"/>
  <cols>
    <col min="1" max="1" width="7.7109375" style="731" customWidth="1"/>
    <col min="2" max="2" width="38.7109375" style="731" customWidth="1"/>
    <col min="3" max="3" width="7.5703125" style="731" customWidth="1"/>
    <col min="4" max="4" width="50" style="731" bestFit="1" customWidth="1"/>
    <col min="5" max="5" width="11.42578125" style="731"/>
    <col min="6" max="16384" width="11.42578125" style="6"/>
  </cols>
  <sheetData>
    <row r="1" spans="1:5">
      <c r="A1" s="729" t="s">
        <v>331</v>
      </c>
      <c r="B1" s="729" t="s">
        <v>2553</v>
      </c>
      <c r="C1" s="729"/>
      <c r="D1" s="729" t="s">
        <v>2553</v>
      </c>
      <c r="E1" s="729" t="s">
        <v>331</v>
      </c>
    </row>
    <row r="2" spans="1:5">
      <c r="A2" s="730" t="s">
        <v>332</v>
      </c>
      <c r="B2" s="730" t="s">
        <v>2008</v>
      </c>
      <c r="D2" s="730" t="s">
        <v>2008</v>
      </c>
      <c r="E2" s="730" t="s">
        <v>332</v>
      </c>
    </row>
    <row r="3" spans="1:5">
      <c r="A3" s="730" t="s">
        <v>453</v>
      </c>
      <c r="B3" s="730" t="s">
        <v>2131</v>
      </c>
      <c r="D3" s="730" t="s">
        <v>2009</v>
      </c>
      <c r="E3" s="730" t="s">
        <v>333</v>
      </c>
    </row>
    <row r="4" spans="1:5">
      <c r="A4" s="730" t="s">
        <v>565</v>
      </c>
      <c r="B4" s="730" t="s">
        <v>2247</v>
      </c>
      <c r="D4" s="730" t="s">
        <v>2010</v>
      </c>
      <c r="E4" s="730" t="s">
        <v>334</v>
      </c>
    </row>
    <row r="5" spans="1:5">
      <c r="A5" s="730" t="s">
        <v>616</v>
      </c>
      <c r="B5" s="730" t="s">
        <v>2298</v>
      </c>
      <c r="D5" s="730" t="s">
        <v>2011</v>
      </c>
      <c r="E5" s="730" t="s">
        <v>335</v>
      </c>
    </row>
    <row r="6" spans="1:5">
      <c r="A6" s="730" t="s">
        <v>663</v>
      </c>
      <c r="B6" s="730" t="s">
        <v>2345</v>
      </c>
      <c r="D6" s="730" t="s">
        <v>2012</v>
      </c>
      <c r="E6" s="730" t="s">
        <v>336</v>
      </c>
    </row>
    <row r="7" spans="1:5">
      <c r="A7" s="730" t="s">
        <v>722</v>
      </c>
      <c r="B7" s="730" t="s">
        <v>2407</v>
      </c>
      <c r="D7" s="730" t="s">
        <v>2013</v>
      </c>
      <c r="E7" s="730" t="s">
        <v>337</v>
      </c>
    </row>
    <row r="8" spans="1:5">
      <c r="A8" s="730" t="s">
        <v>779</v>
      </c>
      <c r="B8" s="730" t="s">
        <v>2467</v>
      </c>
      <c r="D8" s="730" t="s">
        <v>2014</v>
      </c>
      <c r="E8" s="730" t="s">
        <v>338</v>
      </c>
    </row>
    <row r="9" spans="1:5">
      <c r="A9" s="730" t="s">
        <v>343</v>
      </c>
      <c r="B9" s="730" t="s">
        <v>2019</v>
      </c>
      <c r="D9" s="730" t="s">
        <v>2015</v>
      </c>
      <c r="E9" s="730" t="s">
        <v>339</v>
      </c>
    </row>
    <row r="10" spans="1:5">
      <c r="A10" s="730" t="s">
        <v>467</v>
      </c>
      <c r="B10" s="730" t="s">
        <v>2145</v>
      </c>
      <c r="D10" s="730" t="s">
        <v>2016</v>
      </c>
      <c r="E10" s="730" t="s">
        <v>340</v>
      </c>
    </row>
    <row r="11" spans="1:5">
      <c r="A11" s="730" t="s">
        <v>576</v>
      </c>
      <c r="B11" s="730" t="s">
        <v>2258</v>
      </c>
      <c r="D11" s="730" t="s">
        <v>2017</v>
      </c>
      <c r="E11" s="730" t="s">
        <v>341</v>
      </c>
    </row>
    <row r="12" spans="1:5">
      <c r="A12" s="730" t="s">
        <v>621</v>
      </c>
      <c r="B12" s="730" t="s">
        <v>2303</v>
      </c>
      <c r="D12" s="730" t="s">
        <v>2018</v>
      </c>
      <c r="E12" s="730" t="s">
        <v>342</v>
      </c>
    </row>
    <row r="13" spans="1:5">
      <c r="A13" s="730" t="s">
        <v>668</v>
      </c>
      <c r="B13" s="730" t="s">
        <v>2350</v>
      </c>
      <c r="D13" s="730" t="s">
        <v>2019</v>
      </c>
      <c r="E13" s="730" t="s">
        <v>343</v>
      </c>
    </row>
    <row r="14" spans="1:5">
      <c r="A14" s="730" t="s">
        <v>737</v>
      </c>
      <c r="B14" s="730" t="s">
        <v>2423</v>
      </c>
      <c r="D14" s="730" t="s">
        <v>2020</v>
      </c>
      <c r="E14" s="730" t="s">
        <v>344</v>
      </c>
    </row>
    <row r="15" spans="1:5">
      <c r="A15" s="730" t="s">
        <v>783</v>
      </c>
      <c r="B15" s="730" t="s">
        <v>2471</v>
      </c>
      <c r="D15" s="730" t="s">
        <v>2021</v>
      </c>
      <c r="E15" s="730" t="s">
        <v>345</v>
      </c>
    </row>
    <row r="16" spans="1:5">
      <c r="A16" s="730" t="s">
        <v>346</v>
      </c>
      <c r="B16" s="730" t="s">
        <v>2022</v>
      </c>
      <c r="D16" s="730" t="s">
        <v>2022</v>
      </c>
      <c r="E16" s="730" t="s">
        <v>346</v>
      </c>
    </row>
    <row r="17" spans="1:5">
      <c r="A17" s="730" t="s">
        <v>480</v>
      </c>
      <c r="B17" s="730" t="s">
        <v>2159</v>
      </c>
      <c r="D17" s="730" t="s">
        <v>2023</v>
      </c>
      <c r="E17" s="730" t="s">
        <v>347</v>
      </c>
    </row>
    <row r="18" spans="1:5">
      <c r="A18" s="730" t="s">
        <v>581</v>
      </c>
      <c r="B18" s="730" t="s">
        <v>2263</v>
      </c>
      <c r="D18" s="730" t="s">
        <v>2024</v>
      </c>
      <c r="E18" s="730" t="s">
        <v>348</v>
      </c>
    </row>
    <row r="19" spans="1:5">
      <c r="A19" s="730" t="s">
        <v>627</v>
      </c>
      <c r="B19" s="730" t="s">
        <v>2309</v>
      </c>
      <c r="D19" s="730" t="s">
        <v>2025</v>
      </c>
      <c r="E19" s="730" t="s">
        <v>349</v>
      </c>
    </row>
    <row r="20" spans="1:5">
      <c r="A20" s="730" t="s">
        <v>675</v>
      </c>
      <c r="B20" s="730" t="s">
        <v>2357</v>
      </c>
      <c r="D20" s="730" t="s">
        <v>2026</v>
      </c>
      <c r="E20" s="730" t="s">
        <v>350</v>
      </c>
    </row>
    <row r="21" spans="1:5">
      <c r="A21" s="730" t="s">
        <v>742</v>
      </c>
      <c r="B21" s="730" t="s">
        <v>2429</v>
      </c>
      <c r="D21" s="730" t="s">
        <v>2027</v>
      </c>
      <c r="E21" s="730" t="s">
        <v>351</v>
      </c>
    </row>
    <row r="22" spans="1:5">
      <c r="A22" s="730" t="s">
        <v>790</v>
      </c>
      <c r="B22" s="730" t="s">
        <v>2478</v>
      </c>
      <c r="D22" s="730" t="s">
        <v>2028</v>
      </c>
      <c r="E22" s="730" t="s">
        <v>352</v>
      </c>
    </row>
    <row r="23" spans="1:5">
      <c r="A23" s="730" t="s">
        <v>359</v>
      </c>
      <c r="B23" s="730" t="s">
        <v>2035</v>
      </c>
      <c r="D23" s="730" t="s">
        <v>2029</v>
      </c>
      <c r="E23" s="730" t="s">
        <v>353</v>
      </c>
    </row>
    <row r="24" spans="1:5">
      <c r="A24" s="730" t="s">
        <v>487</v>
      </c>
      <c r="B24" s="730" t="s">
        <v>2166</v>
      </c>
      <c r="D24" s="730" t="s">
        <v>2030</v>
      </c>
      <c r="E24" s="730" t="s">
        <v>354</v>
      </c>
    </row>
    <row r="25" spans="1:5">
      <c r="A25" s="730" t="s">
        <v>589</v>
      </c>
      <c r="B25" s="730" t="s">
        <v>2271</v>
      </c>
      <c r="D25" s="730" t="s">
        <v>2031</v>
      </c>
      <c r="E25" s="730" t="s">
        <v>355</v>
      </c>
    </row>
    <row r="26" spans="1:5">
      <c r="A26" s="730" t="s">
        <v>635</v>
      </c>
      <c r="B26" s="730" t="s">
        <v>2317</v>
      </c>
      <c r="D26" s="730" t="s">
        <v>2032</v>
      </c>
      <c r="E26" s="730" t="s">
        <v>356</v>
      </c>
    </row>
    <row r="27" spans="1:5">
      <c r="A27" s="730" t="s">
        <v>684</v>
      </c>
      <c r="B27" s="730" t="s">
        <v>2366</v>
      </c>
      <c r="D27" s="730" t="s">
        <v>2033</v>
      </c>
      <c r="E27" s="730" t="s">
        <v>357</v>
      </c>
    </row>
    <row r="28" spans="1:5">
      <c r="A28" s="730" t="s">
        <v>751</v>
      </c>
      <c r="B28" s="730" t="s">
        <v>2438</v>
      </c>
      <c r="D28" s="730" t="s">
        <v>2034</v>
      </c>
      <c r="E28" s="730" t="s">
        <v>358</v>
      </c>
    </row>
    <row r="29" spans="1:5">
      <c r="A29" s="730" t="s">
        <v>796</v>
      </c>
      <c r="B29" s="730" t="s">
        <v>2485</v>
      </c>
      <c r="D29" s="730" t="s">
        <v>2035</v>
      </c>
      <c r="E29" s="730" t="s">
        <v>359</v>
      </c>
    </row>
    <row r="30" spans="1:5">
      <c r="A30" s="730" t="s">
        <v>368</v>
      </c>
      <c r="B30" s="730" t="s">
        <v>2044</v>
      </c>
      <c r="D30" s="730" t="s">
        <v>2036</v>
      </c>
      <c r="E30" s="730" t="s">
        <v>360</v>
      </c>
    </row>
    <row r="31" spans="1:5">
      <c r="A31" s="730" t="s">
        <v>491</v>
      </c>
      <c r="B31" s="730" t="s">
        <v>2170</v>
      </c>
      <c r="D31" s="730" t="s">
        <v>2037</v>
      </c>
      <c r="E31" s="730" t="s">
        <v>361</v>
      </c>
    </row>
    <row r="32" spans="1:5">
      <c r="A32" s="730" t="s">
        <v>592</v>
      </c>
      <c r="B32" s="730" t="s">
        <v>2274</v>
      </c>
      <c r="D32" s="730" t="s">
        <v>2038</v>
      </c>
      <c r="E32" s="730" t="s">
        <v>362</v>
      </c>
    </row>
    <row r="33" spans="1:5">
      <c r="A33" s="730" t="s">
        <v>641</v>
      </c>
      <c r="B33" s="730" t="s">
        <v>2323</v>
      </c>
      <c r="D33" s="730" t="s">
        <v>2039</v>
      </c>
      <c r="E33" s="730" t="s">
        <v>363</v>
      </c>
    </row>
    <row r="34" spans="1:5">
      <c r="A34" s="730" t="s">
        <v>688</v>
      </c>
      <c r="B34" s="730" t="s">
        <v>2370</v>
      </c>
      <c r="D34" s="730" t="s">
        <v>2040</v>
      </c>
      <c r="E34" s="730" t="s">
        <v>364</v>
      </c>
    </row>
    <row r="35" spans="1:5">
      <c r="A35" s="730" t="s">
        <v>754</v>
      </c>
      <c r="B35" s="730" t="s">
        <v>2441</v>
      </c>
      <c r="D35" s="730" t="s">
        <v>2041</v>
      </c>
      <c r="E35" s="730" t="s">
        <v>365</v>
      </c>
    </row>
    <row r="36" spans="1:5">
      <c r="A36" s="730" t="s">
        <v>800</v>
      </c>
      <c r="B36" s="730" t="s">
        <v>2489</v>
      </c>
      <c r="D36" s="730" t="s">
        <v>2042</v>
      </c>
      <c r="E36" s="730" t="s">
        <v>366</v>
      </c>
    </row>
    <row r="37" spans="1:5">
      <c r="A37" s="730" t="s">
        <v>371</v>
      </c>
      <c r="B37" s="730" t="s">
        <v>2047</v>
      </c>
      <c r="D37" s="730" t="s">
        <v>2043</v>
      </c>
      <c r="E37" s="730" t="s">
        <v>367</v>
      </c>
    </row>
    <row r="38" spans="1:5">
      <c r="A38" s="730" t="s">
        <v>499</v>
      </c>
      <c r="B38" s="730" t="s">
        <v>2178</v>
      </c>
      <c r="D38" s="730" t="s">
        <v>2044</v>
      </c>
      <c r="E38" s="730" t="s">
        <v>368</v>
      </c>
    </row>
    <row r="39" spans="1:5">
      <c r="A39" s="730" t="s">
        <v>604</v>
      </c>
      <c r="B39" s="730" t="s">
        <v>2286</v>
      </c>
      <c r="D39" s="730" t="s">
        <v>2045</v>
      </c>
      <c r="E39" s="730" t="s">
        <v>369</v>
      </c>
    </row>
    <row r="40" spans="1:5">
      <c r="A40" s="730" t="s">
        <v>646</v>
      </c>
      <c r="B40" s="730" t="s">
        <v>2328</v>
      </c>
      <c r="D40" s="730" t="s">
        <v>2046</v>
      </c>
      <c r="E40" s="730" t="s">
        <v>370</v>
      </c>
    </row>
    <row r="41" spans="1:5">
      <c r="A41" s="730" t="s">
        <v>692</v>
      </c>
      <c r="B41" s="730" t="s">
        <v>2374</v>
      </c>
      <c r="D41" s="730" t="s">
        <v>2047</v>
      </c>
      <c r="E41" s="730" t="s">
        <v>371</v>
      </c>
    </row>
    <row r="42" spans="1:5">
      <c r="A42" s="730" t="s">
        <v>760</v>
      </c>
      <c r="B42" s="730" t="s">
        <v>2447</v>
      </c>
      <c r="D42" s="730" t="s">
        <v>2048</v>
      </c>
      <c r="E42" s="730" t="s">
        <v>372</v>
      </c>
    </row>
    <row r="43" spans="1:5">
      <c r="A43" s="730" t="s">
        <v>803</v>
      </c>
      <c r="B43" s="730" t="s">
        <v>2492</v>
      </c>
      <c r="D43" s="730" t="s">
        <v>2049</v>
      </c>
      <c r="E43" s="730" t="s">
        <v>373</v>
      </c>
    </row>
    <row r="44" spans="1:5">
      <c r="A44" s="730" t="s">
        <v>378</v>
      </c>
      <c r="B44" s="730" t="s">
        <v>2054</v>
      </c>
      <c r="D44" s="730" t="s">
        <v>2050</v>
      </c>
      <c r="E44" s="730" t="s">
        <v>374</v>
      </c>
    </row>
    <row r="45" spans="1:5">
      <c r="A45" s="730" t="s">
        <v>507</v>
      </c>
      <c r="B45" s="730" t="s">
        <v>2186</v>
      </c>
      <c r="D45" s="730" t="s">
        <v>2051</v>
      </c>
      <c r="E45" s="730" t="s">
        <v>375</v>
      </c>
    </row>
    <row r="46" spans="1:5">
      <c r="A46" s="730" t="s">
        <v>607</v>
      </c>
      <c r="B46" s="730" t="s">
        <v>2289</v>
      </c>
      <c r="D46" s="730" t="s">
        <v>2052</v>
      </c>
      <c r="E46" s="730" t="s">
        <v>376</v>
      </c>
    </row>
    <row r="47" spans="1:5">
      <c r="A47" s="730" t="s">
        <v>650</v>
      </c>
      <c r="B47" s="730" t="s">
        <v>2332</v>
      </c>
      <c r="D47" s="730" t="s">
        <v>2053</v>
      </c>
      <c r="E47" s="730" t="s">
        <v>377</v>
      </c>
    </row>
    <row r="48" spans="1:5">
      <c r="A48" s="730" t="s">
        <v>697</v>
      </c>
      <c r="B48" s="730" t="s">
        <v>2379</v>
      </c>
      <c r="D48" s="730" t="s">
        <v>2054</v>
      </c>
      <c r="E48" s="730" t="s">
        <v>378</v>
      </c>
    </row>
    <row r="49" spans="1:5">
      <c r="A49" s="730" t="s">
        <v>763</v>
      </c>
      <c r="B49" s="730" t="s">
        <v>2450</v>
      </c>
      <c r="D49" s="730" t="s">
        <v>2055</v>
      </c>
      <c r="E49" s="730" t="s">
        <v>379</v>
      </c>
    </row>
    <row r="50" spans="1:5">
      <c r="A50" s="730" t="s">
        <v>384</v>
      </c>
      <c r="B50" s="730" t="s">
        <v>2061</v>
      </c>
      <c r="D50" s="730" t="s">
        <v>2056</v>
      </c>
      <c r="E50" s="730" t="s">
        <v>380</v>
      </c>
    </row>
    <row r="51" spans="1:5">
      <c r="A51" s="730" t="s">
        <v>514</v>
      </c>
      <c r="B51" s="730" t="s">
        <v>2193</v>
      </c>
      <c r="D51" s="730" t="s">
        <v>2057</v>
      </c>
      <c r="E51" s="730" t="s">
        <v>381</v>
      </c>
    </row>
    <row r="52" spans="1:5">
      <c r="A52" s="730" t="s">
        <v>612</v>
      </c>
      <c r="B52" s="730" t="s">
        <v>2294</v>
      </c>
      <c r="D52" s="730" t="s">
        <v>2058</v>
      </c>
      <c r="E52" s="730" t="s">
        <v>382</v>
      </c>
    </row>
    <row r="53" spans="1:5">
      <c r="A53" s="730" t="s">
        <v>653</v>
      </c>
      <c r="B53" s="730" t="s">
        <v>2335</v>
      </c>
      <c r="D53" s="730" t="s">
        <v>2059</v>
      </c>
      <c r="E53" s="730" t="s">
        <v>383</v>
      </c>
    </row>
    <row r="54" spans="1:5">
      <c r="A54" s="730" t="s">
        <v>701</v>
      </c>
      <c r="B54" s="730" t="s">
        <v>2383</v>
      </c>
      <c r="D54" s="730" t="s">
        <v>2060</v>
      </c>
      <c r="E54" s="730" t="s">
        <v>899</v>
      </c>
    </row>
    <row r="55" spans="1:5">
      <c r="A55" s="730" t="s">
        <v>767</v>
      </c>
      <c r="B55" s="730" t="s">
        <v>2454</v>
      </c>
      <c r="D55" s="730" t="s">
        <v>2061</v>
      </c>
      <c r="E55" s="730" t="s">
        <v>384</v>
      </c>
    </row>
    <row r="56" spans="1:5">
      <c r="A56" s="730" t="s">
        <v>391</v>
      </c>
      <c r="B56" s="730" t="s">
        <v>2068</v>
      </c>
      <c r="D56" s="730" t="s">
        <v>2062</v>
      </c>
      <c r="E56" s="730" t="s">
        <v>385</v>
      </c>
    </row>
    <row r="57" spans="1:5">
      <c r="A57" s="730" t="s">
        <v>519</v>
      </c>
      <c r="B57" s="730" t="s">
        <v>2198</v>
      </c>
      <c r="D57" s="730" t="s">
        <v>2063</v>
      </c>
      <c r="E57" s="730" t="s">
        <v>386</v>
      </c>
    </row>
    <row r="58" spans="1:5">
      <c r="A58" s="730" t="s">
        <v>656</v>
      </c>
      <c r="B58" s="730" t="s">
        <v>2338</v>
      </c>
      <c r="D58" s="730" t="s">
        <v>2064</v>
      </c>
      <c r="E58" s="730" t="s">
        <v>387</v>
      </c>
    </row>
    <row r="59" spans="1:5">
      <c r="A59" s="730" t="s">
        <v>708</v>
      </c>
      <c r="B59" s="730" t="s">
        <v>2392</v>
      </c>
      <c r="D59" s="730" t="s">
        <v>2065</v>
      </c>
      <c r="E59" s="730" t="s">
        <v>388</v>
      </c>
    </row>
    <row r="60" spans="1:5">
      <c r="A60" s="730" t="s">
        <v>772</v>
      </c>
      <c r="B60" s="730" t="s">
        <v>2460</v>
      </c>
      <c r="D60" s="730" t="s">
        <v>2066</v>
      </c>
      <c r="E60" s="730" t="s">
        <v>389</v>
      </c>
    </row>
    <row r="61" spans="1:5">
      <c r="A61" s="730" t="s">
        <v>397</v>
      </c>
      <c r="B61" s="730" t="s">
        <v>2074</v>
      </c>
      <c r="D61" s="730" t="s">
        <v>2067</v>
      </c>
      <c r="E61" s="730" t="s">
        <v>390</v>
      </c>
    </row>
    <row r="62" spans="1:5">
      <c r="A62" s="730" t="s">
        <v>524</v>
      </c>
      <c r="B62" s="730" t="s">
        <v>2203</v>
      </c>
      <c r="D62" s="730" t="s">
        <v>2068</v>
      </c>
      <c r="E62" s="730" t="s">
        <v>391</v>
      </c>
    </row>
    <row r="63" spans="1:5">
      <c r="A63" s="730" t="s">
        <v>658</v>
      </c>
      <c r="B63" s="730" t="s">
        <v>2340</v>
      </c>
      <c r="D63" s="730" t="s">
        <v>2069</v>
      </c>
      <c r="E63" s="730" t="s">
        <v>392</v>
      </c>
    </row>
    <row r="64" spans="1:5">
      <c r="A64" s="730" t="s">
        <v>714</v>
      </c>
      <c r="B64" s="730" t="s">
        <v>2398</v>
      </c>
      <c r="D64" s="730" t="s">
        <v>2070</v>
      </c>
      <c r="E64" s="730" t="s">
        <v>393</v>
      </c>
    </row>
    <row r="65" spans="1:5">
      <c r="A65" s="730" t="s">
        <v>773</v>
      </c>
      <c r="B65" s="730" t="s">
        <v>2461</v>
      </c>
      <c r="D65" s="730" t="s">
        <v>2071</v>
      </c>
      <c r="E65" s="730" t="s">
        <v>394</v>
      </c>
    </row>
    <row r="66" spans="1:5">
      <c r="A66" s="730" t="s">
        <v>402</v>
      </c>
      <c r="B66" s="730" t="s">
        <v>2079</v>
      </c>
      <c r="D66" s="730" t="s">
        <v>2072</v>
      </c>
      <c r="E66" s="730" t="s">
        <v>395</v>
      </c>
    </row>
    <row r="67" spans="1:5">
      <c r="A67" s="730" t="s">
        <v>537</v>
      </c>
      <c r="B67" s="730" t="s">
        <v>2216</v>
      </c>
      <c r="D67" s="730" t="s">
        <v>2073</v>
      </c>
      <c r="E67" s="730" t="s">
        <v>396</v>
      </c>
    </row>
    <row r="68" spans="1:5">
      <c r="A68" s="730" t="s">
        <v>718</v>
      </c>
      <c r="B68" s="730" t="s">
        <v>2402</v>
      </c>
      <c r="D68" s="730" t="s">
        <v>2074</v>
      </c>
      <c r="E68" s="730" t="s">
        <v>397</v>
      </c>
    </row>
    <row r="69" spans="1:5">
      <c r="A69" s="730" t="s">
        <v>777</v>
      </c>
      <c r="B69" s="730" t="s">
        <v>2465</v>
      </c>
      <c r="D69" s="730" t="s">
        <v>2075</v>
      </c>
      <c r="E69" s="730" t="s">
        <v>398</v>
      </c>
    </row>
    <row r="70" spans="1:5">
      <c r="A70" s="730" t="s">
        <v>407</v>
      </c>
      <c r="B70" s="730" t="s">
        <v>2084</v>
      </c>
      <c r="D70" s="730" t="s">
        <v>2076</v>
      </c>
      <c r="E70" s="730" t="s">
        <v>399</v>
      </c>
    </row>
    <row r="71" spans="1:5">
      <c r="A71" s="730" t="s">
        <v>544</v>
      </c>
      <c r="B71" s="730" t="s">
        <v>2223</v>
      </c>
      <c r="D71" s="730" t="s">
        <v>2077</v>
      </c>
      <c r="E71" s="730" t="s">
        <v>400</v>
      </c>
    </row>
    <row r="72" spans="1:5">
      <c r="A72" s="730" t="s">
        <v>333</v>
      </c>
      <c r="B72" s="730" t="s">
        <v>2009</v>
      </c>
      <c r="D72" s="730" t="s">
        <v>2078</v>
      </c>
      <c r="E72" s="730" t="s">
        <v>401</v>
      </c>
    </row>
    <row r="73" spans="1:5">
      <c r="A73" s="730" t="s">
        <v>454</v>
      </c>
      <c r="B73" s="730" t="s">
        <v>2132</v>
      </c>
      <c r="D73" s="730" t="s">
        <v>2079</v>
      </c>
      <c r="E73" s="730" t="s">
        <v>402</v>
      </c>
    </row>
    <row r="74" spans="1:5">
      <c r="A74" s="730" t="s">
        <v>566</v>
      </c>
      <c r="B74" s="730" t="s">
        <v>2248</v>
      </c>
      <c r="D74" s="730" t="s">
        <v>2080</v>
      </c>
      <c r="E74" s="730" t="s">
        <v>403</v>
      </c>
    </row>
    <row r="75" spans="1:5">
      <c r="A75" s="730" t="s">
        <v>617</v>
      </c>
      <c r="B75" s="730" t="s">
        <v>2299</v>
      </c>
      <c r="D75" s="730" t="s">
        <v>2081</v>
      </c>
      <c r="E75" s="730" t="s">
        <v>404</v>
      </c>
    </row>
    <row r="76" spans="1:5">
      <c r="A76" s="730" t="s">
        <v>664</v>
      </c>
      <c r="B76" s="730" t="s">
        <v>2346</v>
      </c>
      <c r="D76" s="730" t="s">
        <v>2082</v>
      </c>
      <c r="E76" s="730" t="s">
        <v>405</v>
      </c>
    </row>
    <row r="77" spans="1:5">
      <c r="A77" s="730" t="s">
        <v>723</v>
      </c>
      <c r="B77" s="730" t="s">
        <v>2408</v>
      </c>
      <c r="D77" s="730" t="s">
        <v>2083</v>
      </c>
      <c r="E77" s="730" t="s">
        <v>406</v>
      </c>
    </row>
    <row r="78" spans="1:5">
      <c r="A78" s="730" t="s">
        <v>780</v>
      </c>
      <c r="B78" s="730" t="s">
        <v>2468</v>
      </c>
      <c r="D78" s="730" t="s">
        <v>2084</v>
      </c>
      <c r="E78" s="730" t="s">
        <v>407</v>
      </c>
    </row>
    <row r="79" spans="1:5">
      <c r="A79" s="730" t="s">
        <v>344</v>
      </c>
      <c r="B79" s="730" t="s">
        <v>2020</v>
      </c>
      <c r="D79" s="730" t="s">
        <v>2085</v>
      </c>
      <c r="E79" s="730" t="s">
        <v>408</v>
      </c>
    </row>
    <row r="80" spans="1:5">
      <c r="A80" s="730" t="s">
        <v>468</v>
      </c>
      <c r="B80" s="730" t="s">
        <v>2146</v>
      </c>
      <c r="D80" s="730" t="s">
        <v>2086</v>
      </c>
      <c r="E80" s="730" t="s">
        <v>409</v>
      </c>
    </row>
    <row r="81" spans="1:5">
      <c r="A81" s="730" t="s">
        <v>577</v>
      </c>
      <c r="B81" s="730" t="s">
        <v>2259</v>
      </c>
      <c r="D81" s="730" t="s">
        <v>2087</v>
      </c>
      <c r="E81" s="730" t="s">
        <v>410</v>
      </c>
    </row>
    <row r="82" spans="1:5">
      <c r="A82" s="730" t="s">
        <v>622</v>
      </c>
      <c r="B82" s="730" t="s">
        <v>2304</v>
      </c>
      <c r="D82" s="730" t="s">
        <v>2088</v>
      </c>
      <c r="E82" s="730" t="s">
        <v>411</v>
      </c>
    </row>
    <row r="83" spans="1:5">
      <c r="A83" s="730" t="s">
        <v>669</v>
      </c>
      <c r="B83" s="730" t="s">
        <v>2351</v>
      </c>
      <c r="D83" s="730" t="s">
        <v>2089</v>
      </c>
      <c r="E83" s="730" t="s">
        <v>412</v>
      </c>
    </row>
    <row r="84" spans="1:5">
      <c r="A84" s="730" t="s">
        <v>738</v>
      </c>
      <c r="B84" s="730" t="s">
        <v>2424</v>
      </c>
      <c r="D84" s="730" t="s">
        <v>2090</v>
      </c>
      <c r="E84" s="730" t="s">
        <v>413</v>
      </c>
    </row>
    <row r="85" spans="1:5">
      <c r="A85" s="730" t="s">
        <v>784</v>
      </c>
      <c r="B85" s="730" t="s">
        <v>2472</v>
      </c>
      <c r="D85" s="730" t="s">
        <v>2091</v>
      </c>
      <c r="E85" s="730" t="s">
        <v>414</v>
      </c>
    </row>
    <row r="86" spans="1:5">
      <c r="A86" s="730" t="s">
        <v>347</v>
      </c>
      <c r="B86" s="730" t="s">
        <v>2023</v>
      </c>
      <c r="D86" s="730" t="s">
        <v>2092</v>
      </c>
      <c r="E86" s="730" t="s">
        <v>415</v>
      </c>
    </row>
    <row r="87" spans="1:5">
      <c r="A87" s="730" t="s">
        <v>481</v>
      </c>
      <c r="B87" s="730" t="s">
        <v>2160</v>
      </c>
      <c r="D87" s="730" t="s">
        <v>2093</v>
      </c>
      <c r="E87" s="730" t="s">
        <v>416</v>
      </c>
    </row>
    <row r="88" spans="1:5">
      <c r="A88" s="730" t="s">
        <v>582</v>
      </c>
      <c r="B88" s="730" t="s">
        <v>2264</v>
      </c>
      <c r="D88" s="730" t="s">
        <v>2094</v>
      </c>
      <c r="E88" s="730" t="s">
        <v>417</v>
      </c>
    </row>
    <row r="89" spans="1:5">
      <c r="A89" s="730" t="s">
        <v>628</v>
      </c>
      <c r="B89" s="730" t="s">
        <v>2310</v>
      </c>
      <c r="D89" s="730" t="s">
        <v>2095</v>
      </c>
      <c r="E89" s="730" t="s">
        <v>418</v>
      </c>
    </row>
    <row r="90" spans="1:5">
      <c r="A90" s="730" t="s">
        <v>676</v>
      </c>
      <c r="B90" s="730" t="s">
        <v>2358</v>
      </c>
      <c r="D90" s="730" t="s">
        <v>2096</v>
      </c>
      <c r="E90" s="730" t="s">
        <v>419</v>
      </c>
    </row>
    <row r="91" spans="1:5">
      <c r="A91" s="730" t="s">
        <v>743</v>
      </c>
      <c r="B91" s="730" t="s">
        <v>2430</v>
      </c>
      <c r="D91" s="730" t="s">
        <v>2097</v>
      </c>
      <c r="E91" s="730" t="s">
        <v>420</v>
      </c>
    </row>
    <row r="92" spans="1:5">
      <c r="A92" s="730" t="s">
        <v>791</v>
      </c>
      <c r="B92" s="730" t="s">
        <v>2479</v>
      </c>
      <c r="D92" s="730" t="s">
        <v>2098</v>
      </c>
      <c r="E92" s="730" t="s">
        <v>421</v>
      </c>
    </row>
    <row r="93" spans="1:5">
      <c r="A93" s="730" t="s">
        <v>360</v>
      </c>
      <c r="B93" s="730" t="s">
        <v>2036</v>
      </c>
      <c r="D93" s="730" t="s">
        <v>2099</v>
      </c>
      <c r="E93" s="730" t="s">
        <v>422</v>
      </c>
    </row>
    <row r="94" spans="1:5">
      <c r="A94" s="730" t="s">
        <v>488</v>
      </c>
      <c r="B94" s="730" t="s">
        <v>2167</v>
      </c>
      <c r="D94" s="730" t="s">
        <v>2100</v>
      </c>
      <c r="E94" s="730" t="s">
        <v>423</v>
      </c>
    </row>
    <row r="95" spans="1:5">
      <c r="A95" s="730" t="s">
        <v>590</v>
      </c>
      <c r="B95" s="730" t="s">
        <v>2272</v>
      </c>
      <c r="D95" s="730" t="s">
        <v>2101</v>
      </c>
      <c r="E95" s="730" t="s">
        <v>424</v>
      </c>
    </row>
    <row r="96" spans="1:5">
      <c r="A96" s="730" t="s">
        <v>636</v>
      </c>
      <c r="B96" s="730" t="s">
        <v>2318</v>
      </c>
      <c r="D96" s="730" t="s">
        <v>2102</v>
      </c>
      <c r="E96" s="730" t="s">
        <v>425</v>
      </c>
    </row>
    <row r="97" spans="1:5">
      <c r="A97" s="730" t="s">
        <v>685</v>
      </c>
      <c r="B97" s="730" t="s">
        <v>2367</v>
      </c>
      <c r="D97" s="730" t="s">
        <v>2103</v>
      </c>
      <c r="E97" s="730" t="s">
        <v>426</v>
      </c>
    </row>
    <row r="98" spans="1:5">
      <c r="A98" s="730" t="s">
        <v>752</v>
      </c>
      <c r="B98" s="730" t="s">
        <v>2439</v>
      </c>
      <c r="D98" s="730" t="s">
        <v>2104</v>
      </c>
      <c r="E98" s="730" t="s">
        <v>427</v>
      </c>
    </row>
    <row r="99" spans="1:5">
      <c r="A99" s="730" t="s">
        <v>797</v>
      </c>
      <c r="B99" s="730" t="s">
        <v>2486</v>
      </c>
      <c r="D99" s="730" t="s">
        <v>2105</v>
      </c>
      <c r="E99" s="730" t="s">
        <v>428</v>
      </c>
    </row>
    <row r="100" spans="1:5">
      <c r="A100" s="730" t="s">
        <v>369</v>
      </c>
      <c r="B100" s="730" t="s">
        <v>2045</v>
      </c>
      <c r="D100" s="730" t="s">
        <v>2106</v>
      </c>
      <c r="E100" s="730" t="s">
        <v>429</v>
      </c>
    </row>
    <row r="101" spans="1:5">
      <c r="A101" s="730" t="s">
        <v>492</v>
      </c>
      <c r="B101" s="730" t="s">
        <v>2171</v>
      </c>
      <c r="D101" s="730" t="s">
        <v>2107</v>
      </c>
      <c r="E101" s="730" t="s">
        <v>430</v>
      </c>
    </row>
    <row r="102" spans="1:5">
      <c r="A102" s="730" t="s">
        <v>593</v>
      </c>
      <c r="B102" s="730" t="s">
        <v>2275</v>
      </c>
      <c r="D102" s="730" t="s">
        <v>2108</v>
      </c>
      <c r="E102" s="730" t="s">
        <v>431</v>
      </c>
    </row>
    <row r="103" spans="1:5">
      <c r="A103" s="730" t="s">
        <v>642</v>
      </c>
      <c r="B103" s="730" t="s">
        <v>2324</v>
      </c>
      <c r="D103" s="730" t="s">
        <v>2109</v>
      </c>
      <c r="E103" s="730" t="s">
        <v>432</v>
      </c>
    </row>
    <row r="104" spans="1:5">
      <c r="A104" s="730" t="s">
        <v>689</v>
      </c>
      <c r="B104" s="730" t="s">
        <v>2371</v>
      </c>
      <c r="D104" s="730" t="s">
        <v>2110</v>
      </c>
      <c r="E104" s="730" t="s">
        <v>433</v>
      </c>
    </row>
    <row r="105" spans="1:5">
      <c r="A105" s="730" t="s">
        <v>755</v>
      </c>
      <c r="B105" s="730" t="s">
        <v>2442</v>
      </c>
      <c r="D105" s="730" t="s">
        <v>2111</v>
      </c>
      <c r="E105" s="730" t="s">
        <v>434</v>
      </c>
    </row>
    <row r="106" spans="1:5">
      <c r="A106" s="730" t="s">
        <v>801</v>
      </c>
      <c r="B106" s="730" t="s">
        <v>2490</v>
      </c>
      <c r="D106" s="730" t="s">
        <v>2112</v>
      </c>
      <c r="E106" s="730" t="s">
        <v>435</v>
      </c>
    </row>
    <row r="107" spans="1:5">
      <c r="A107" s="730" t="s">
        <v>372</v>
      </c>
      <c r="B107" s="730" t="s">
        <v>2048</v>
      </c>
      <c r="D107" s="730" t="s">
        <v>2113</v>
      </c>
      <c r="E107" s="730" t="s">
        <v>436</v>
      </c>
    </row>
    <row r="108" spans="1:5">
      <c r="A108" s="730" t="s">
        <v>500</v>
      </c>
      <c r="B108" s="730" t="s">
        <v>2179</v>
      </c>
      <c r="D108" s="730" t="s">
        <v>2114</v>
      </c>
      <c r="E108" s="730" t="s">
        <v>437</v>
      </c>
    </row>
    <row r="109" spans="1:5">
      <c r="A109" s="730" t="s">
        <v>605</v>
      </c>
      <c r="B109" s="730" t="s">
        <v>2287</v>
      </c>
      <c r="D109" s="730" t="s">
        <v>2115</v>
      </c>
      <c r="E109" s="730" t="s">
        <v>438</v>
      </c>
    </row>
    <row r="110" spans="1:5">
      <c r="A110" s="730" t="s">
        <v>647</v>
      </c>
      <c r="B110" s="730" t="s">
        <v>2329</v>
      </c>
      <c r="D110" s="730" t="s">
        <v>2116</v>
      </c>
      <c r="E110" s="730" t="s">
        <v>439</v>
      </c>
    </row>
    <row r="111" spans="1:5">
      <c r="A111" s="730" t="s">
        <v>693</v>
      </c>
      <c r="B111" s="730" t="s">
        <v>2375</v>
      </c>
      <c r="D111" s="730" t="s">
        <v>2117</v>
      </c>
      <c r="E111" s="730" t="s">
        <v>440</v>
      </c>
    </row>
    <row r="112" spans="1:5">
      <c r="A112" s="730" t="s">
        <v>761</v>
      </c>
      <c r="B112" s="730" t="s">
        <v>2448</v>
      </c>
      <c r="D112" s="730" t="s">
        <v>2118</v>
      </c>
      <c r="E112" s="730" t="s">
        <v>441</v>
      </c>
    </row>
    <row r="113" spans="1:5">
      <c r="A113" s="730" t="s">
        <v>804</v>
      </c>
      <c r="B113" s="730" t="s">
        <v>2493</v>
      </c>
      <c r="D113" s="730" t="s">
        <v>2119</v>
      </c>
      <c r="E113" s="730" t="s">
        <v>442</v>
      </c>
    </row>
    <row r="114" spans="1:5">
      <c r="A114" s="730" t="s">
        <v>379</v>
      </c>
      <c r="B114" s="730" t="s">
        <v>2055</v>
      </c>
      <c r="D114" s="730" t="s">
        <v>2120</v>
      </c>
      <c r="E114" s="730" t="s">
        <v>443</v>
      </c>
    </row>
    <row r="115" spans="1:5">
      <c r="A115" s="730" t="s">
        <v>508</v>
      </c>
      <c r="B115" s="730" t="s">
        <v>2187</v>
      </c>
      <c r="D115" s="730" t="s">
        <v>2121</v>
      </c>
      <c r="E115" s="730" t="s">
        <v>444</v>
      </c>
    </row>
    <row r="116" spans="1:5">
      <c r="A116" s="730" t="s">
        <v>608</v>
      </c>
      <c r="B116" s="730" t="s">
        <v>2290</v>
      </c>
      <c r="D116" s="730" t="s">
        <v>2122</v>
      </c>
      <c r="E116" s="730" t="s">
        <v>445</v>
      </c>
    </row>
    <row r="117" spans="1:5">
      <c r="A117" s="730" t="s">
        <v>651</v>
      </c>
      <c r="B117" s="730" t="s">
        <v>2333</v>
      </c>
      <c r="D117" s="730" t="s">
        <v>2123</v>
      </c>
      <c r="E117" s="730" t="s">
        <v>446</v>
      </c>
    </row>
    <row r="118" spans="1:5">
      <c r="A118" s="730" t="s">
        <v>698</v>
      </c>
      <c r="B118" s="730" t="s">
        <v>2380</v>
      </c>
      <c r="D118" s="730" t="s">
        <v>2124</v>
      </c>
      <c r="E118" s="730" t="s">
        <v>900</v>
      </c>
    </row>
    <row r="119" spans="1:5">
      <c r="A119" s="730" t="s">
        <v>764</v>
      </c>
      <c r="B119" s="730" t="s">
        <v>2451</v>
      </c>
      <c r="D119" s="730" t="s">
        <v>2125</v>
      </c>
      <c r="E119" s="730" t="s">
        <v>447</v>
      </c>
    </row>
    <row r="120" spans="1:5">
      <c r="A120" s="730" t="s">
        <v>385</v>
      </c>
      <c r="B120" s="730" t="s">
        <v>2062</v>
      </c>
      <c r="D120" s="730" t="s">
        <v>2126</v>
      </c>
      <c r="E120" s="730" t="s">
        <v>448</v>
      </c>
    </row>
    <row r="121" spans="1:5">
      <c r="A121" s="730" t="s">
        <v>515</v>
      </c>
      <c r="B121" s="730" t="s">
        <v>2194</v>
      </c>
      <c r="D121" s="730" t="s">
        <v>2127</v>
      </c>
      <c r="E121" s="730" t="s">
        <v>449</v>
      </c>
    </row>
    <row r="122" spans="1:5">
      <c r="A122" s="730" t="s">
        <v>613</v>
      </c>
      <c r="B122" s="730" t="s">
        <v>2295</v>
      </c>
      <c r="D122" s="730" t="s">
        <v>2128</v>
      </c>
      <c r="E122" s="730" t="s">
        <v>450</v>
      </c>
    </row>
    <row r="123" spans="1:5">
      <c r="A123" s="730" t="s">
        <v>654</v>
      </c>
      <c r="B123" s="730" t="s">
        <v>2336</v>
      </c>
      <c r="D123" s="730" t="s">
        <v>2129</v>
      </c>
      <c r="E123" s="730" t="s">
        <v>451</v>
      </c>
    </row>
    <row r="124" spans="1:5">
      <c r="A124" s="730" t="s">
        <v>702</v>
      </c>
      <c r="B124" s="730" t="s">
        <v>2384</v>
      </c>
      <c r="D124" s="730" t="s">
        <v>2130</v>
      </c>
      <c r="E124" s="730" t="s">
        <v>452</v>
      </c>
    </row>
    <row r="125" spans="1:5">
      <c r="A125" s="730" t="s">
        <v>768</v>
      </c>
      <c r="B125" s="730" t="s">
        <v>2455</v>
      </c>
      <c r="D125" s="730" t="s">
        <v>2131</v>
      </c>
      <c r="E125" s="730" t="s">
        <v>453</v>
      </c>
    </row>
    <row r="126" spans="1:5">
      <c r="A126" s="730" t="s">
        <v>392</v>
      </c>
      <c r="B126" s="730" t="s">
        <v>2069</v>
      </c>
      <c r="D126" s="730" t="s">
        <v>2132</v>
      </c>
      <c r="E126" s="730" t="s">
        <v>454</v>
      </c>
    </row>
    <row r="127" spans="1:5">
      <c r="A127" s="730" t="s">
        <v>520</v>
      </c>
      <c r="B127" s="730" t="s">
        <v>2199</v>
      </c>
      <c r="D127" s="730" t="s">
        <v>2133</v>
      </c>
      <c r="E127" s="730" t="s">
        <v>455</v>
      </c>
    </row>
    <row r="128" spans="1:5">
      <c r="A128" s="730" t="s">
        <v>657</v>
      </c>
      <c r="B128" s="730" t="s">
        <v>2339</v>
      </c>
      <c r="D128" s="730" t="s">
        <v>2134</v>
      </c>
      <c r="E128" s="730" t="s">
        <v>456</v>
      </c>
    </row>
    <row r="129" spans="1:5">
      <c r="A129" s="730" t="s">
        <v>709</v>
      </c>
      <c r="B129" s="730" t="s">
        <v>2393</v>
      </c>
      <c r="D129" s="730" t="s">
        <v>2135</v>
      </c>
      <c r="E129" s="730" t="s">
        <v>457</v>
      </c>
    </row>
    <row r="130" spans="1:5">
      <c r="A130" s="730" t="s">
        <v>398</v>
      </c>
      <c r="B130" s="730" t="s">
        <v>2075</v>
      </c>
      <c r="D130" s="730" t="s">
        <v>2136</v>
      </c>
      <c r="E130" s="730" t="s">
        <v>458</v>
      </c>
    </row>
    <row r="131" spans="1:5">
      <c r="A131" s="730" t="s">
        <v>525</v>
      </c>
      <c r="B131" s="730" t="s">
        <v>2204</v>
      </c>
      <c r="D131" s="730" t="s">
        <v>2137</v>
      </c>
      <c r="E131" s="730" t="s">
        <v>459</v>
      </c>
    </row>
    <row r="132" spans="1:5">
      <c r="A132" s="730" t="s">
        <v>659</v>
      </c>
      <c r="B132" s="730" t="s">
        <v>2341</v>
      </c>
      <c r="D132" s="730" t="s">
        <v>2138</v>
      </c>
      <c r="E132" s="730" t="s">
        <v>460</v>
      </c>
    </row>
    <row r="133" spans="1:5">
      <c r="A133" s="730" t="s">
        <v>715</v>
      </c>
      <c r="B133" s="730" t="s">
        <v>2399</v>
      </c>
      <c r="D133" s="730" t="s">
        <v>2139</v>
      </c>
      <c r="E133" s="730" t="s">
        <v>461</v>
      </c>
    </row>
    <row r="134" spans="1:5">
      <c r="A134" s="730" t="s">
        <v>774</v>
      </c>
      <c r="B134" s="730" t="s">
        <v>2462</v>
      </c>
      <c r="D134" s="730" t="s">
        <v>2140</v>
      </c>
      <c r="E134" s="730" t="s">
        <v>462</v>
      </c>
    </row>
    <row r="135" spans="1:5">
      <c r="A135" s="730" t="s">
        <v>403</v>
      </c>
      <c r="B135" s="730" t="s">
        <v>2080</v>
      </c>
      <c r="D135" s="730" t="s">
        <v>2141</v>
      </c>
      <c r="E135" s="730" t="s">
        <v>463</v>
      </c>
    </row>
    <row r="136" spans="1:5">
      <c r="A136" s="730" t="s">
        <v>538</v>
      </c>
      <c r="B136" s="730" t="s">
        <v>2217</v>
      </c>
      <c r="D136" s="730" t="s">
        <v>2142</v>
      </c>
      <c r="E136" s="730" t="s">
        <v>464</v>
      </c>
    </row>
    <row r="137" spans="1:5">
      <c r="A137" s="730" t="s">
        <v>719</v>
      </c>
      <c r="B137" s="730" t="s">
        <v>2403</v>
      </c>
      <c r="D137" s="730" t="s">
        <v>2143</v>
      </c>
      <c r="E137" s="730" t="s">
        <v>465</v>
      </c>
    </row>
    <row r="138" spans="1:5">
      <c r="A138" s="730" t="s">
        <v>778</v>
      </c>
      <c r="B138" s="730" t="s">
        <v>2466</v>
      </c>
      <c r="D138" s="730" t="s">
        <v>2144</v>
      </c>
      <c r="E138" s="730" t="s">
        <v>466</v>
      </c>
    </row>
    <row r="139" spans="1:5">
      <c r="A139" s="730" t="s">
        <v>408</v>
      </c>
      <c r="B139" s="730" t="s">
        <v>2085</v>
      </c>
      <c r="D139" s="730" t="s">
        <v>2145</v>
      </c>
      <c r="E139" s="730" t="s">
        <v>467</v>
      </c>
    </row>
    <row r="140" spans="1:5">
      <c r="A140" s="730" t="s">
        <v>545</v>
      </c>
      <c r="B140" s="730" t="s">
        <v>2224</v>
      </c>
      <c r="D140" s="730" t="s">
        <v>2146</v>
      </c>
      <c r="E140" s="730" t="s">
        <v>468</v>
      </c>
    </row>
    <row r="141" spans="1:5">
      <c r="A141" s="730" t="s">
        <v>334</v>
      </c>
      <c r="B141" s="730" t="s">
        <v>2010</v>
      </c>
      <c r="D141" s="730" t="s">
        <v>2147</v>
      </c>
      <c r="E141" s="730" t="s">
        <v>469</v>
      </c>
    </row>
    <row r="142" spans="1:5">
      <c r="A142" s="730" t="s">
        <v>455</v>
      </c>
      <c r="B142" s="730" t="s">
        <v>2133</v>
      </c>
      <c r="D142" s="730" t="s">
        <v>2148</v>
      </c>
      <c r="E142" s="730" t="s">
        <v>470</v>
      </c>
    </row>
    <row r="143" spans="1:5">
      <c r="A143" s="730" t="s">
        <v>567</v>
      </c>
      <c r="B143" s="730" t="s">
        <v>2249</v>
      </c>
      <c r="D143" s="730" t="s">
        <v>2149</v>
      </c>
      <c r="E143" s="730" t="s">
        <v>471</v>
      </c>
    </row>
    <row r="144" spans="1:5">
      <c r="A144" s="730" t="s">
        <v>618</v>
      </c>
      <c r="B144" s="730" t="s">
        <v>2300</v>
      </c>
      <c r="D144" s="730" t="s">
        <v>2150</v>
      </c>
      <c r="E144" s="730" t="s">
        <v>472</v>
      </c>
    </row>
    <row r="145" spans="1:5">
      <c r="A145" s="730" t="s">
        <v>665</v>
      </c>
      <c r="B145" s="730" t="s">
        <v>2347</v>
      </c>
      <c r="D145" s="730" t="s">
        <v>2151</v>
      </c>
      <c r="E145" s="730" t="s">
        <v>473</v>
      </c>
    </row>
    <row r="146" spans="1:5">
      <c r="A146" s="730" t="s">
        <v>724</v>
      </c>
      <c r="B146" s="730" t="s">
        <v>2409</v>
      </c>
      <c r="D146" s="730" t="s">
        <v>2152</v>
      </c>
      <c r="E146" s="730" t="s">
        <v>474</v>
      </c>
    </row>
    <row r="147" spans="1:5">
      <c r="A147" s="730" t="s">
        <v>781</v>
      </c>
      <c r="B147" s="730" t="s">
        <v>2469</v>
      </c>
      <c r="D147" s="730" t="s">
        <v>2153</v>
      </c>
      <c r="E147" s="730" t="s">
        <v>475</v>
      </c>
    </row>
    <row r="148" spans="1:5">
      <c r="A148" s="730" t="s">
        <v>345</v>
      </c>
      <c r="B148" s="730" t="s">
        <v>2021</v>
      </c>
      <c r="D148" s="730" t="s">
        <v>2154</v>
      </c>
      <c r="E148" s="730" t="s">
        <v>476</v>
      </c>
    </row>
    <row r="149" spans="1:5">
      <c r="A149" s="730" t="s">
        <v>469</v>
      </c>
      <c r="B149" s="730" t="s">
        <v>2147</v>
      </c>
      <c r="D149" s="730" t="s">
        <v>2155</v>
      </c>
      <c r="E149" s="730" t="s">
        <v>477</v>
      </c>
    </row>
    <row r="150" spans="1:5">
      <c r="A150" s="730" t="s">
        <v>578</v>
      </c>
      <c r="B150" s="730" t="s">
        <v>2260</v>
      </c>
      <c r="D150" s="730" t="s">
        <v>2156</v>
      </c>
      <c r="E150" s="730" t="s">
        <v>478</v>
      </c>
    </row>
    <row r="151" spans="1:5">
      <c r="A151" s="730" t="s">
        <v>623</v>
      </c>
      <c r="B151" s="730" t="s">
        <v>2305</v>
      </c>
      <c r="D151" s="730" t="s">
        <v>2157</v>
      </c>
      <c r="E151" s="730" t="s">
        <v>479</v>
      </c>
    </row>
    <row r="152" spans="1:5">
      <c r="A152" s="730" t="s">
        <v>670</v>
      </c>
      <c r="B152" s="730" t="s">
        <v>2352</v>
      </c>
      <c r="D152" s="730" t="s">
        <v>2158</v>
      </c>
      <c r="E152" s="730" t="s">
        <v>901</v>
      </c>
    </row>
    <row r="153" spans="1:5">
      <c r="A153" s="730" t="s">
        <v>739</v>
      </c>
      <c r="B153" s="730" t="s">
        <v>2425</v>
      </c>
      <c r="D153" s="730" t="s">
        <v>2159</v>
      </c>
      <c r="E153" s="730" t="s">
        <v>480</v>
      </c>
    </row>
    <row r="154" spans="1:5">
      <c r="A154" s="730" t="s">
        <v>785</v>
      </c>
      <c r="B154" s="730" t="s">
        <v>2473</v>
      </c>
      <c r="D154" s="730" t="s">
        <v>2160</v>
      </c>
      <c r="E154" s="730" t="s">
        <v>481</v>
      </c>
    </row>
    <row r="155" spans="1:5">
      <c r="A155" s="730" t="s">
        <v>348</v>
      </c>
      <c r="B155" s="730" t="s">
        <v>2024</v>
      </c>
      <c r="D155" s="730" t="s">
        <v>2161</v>
      </c>
      <c r="E155" s="730" t="s">
        <v>482</v>
      </c>
    </row>
    <row r="156" spans="1:5">
      <c r="A156" s="730" t="s">
        <v>482</v>
      </c>
      <c r="B156" s="730" t="s">
        <v>2161</v>
      </c>
      <c r="D156" s="730" t="s">
        <v>2162</v>
      </c>
      <c r="E156" s="730" t="s">
        <v>483</v>
      </c>
    </row>
    <row r="157" spans="1:5">
      <c r="A157" s="730" t="s">
        <v>583</v>
      </c>
      <c r="B157" s="730" t="s">
        <v>2265</v>
      </c>
      <c r="D157" s="730" t="s">
        <v>2163</v>
      </c>
      <c r="E157" s="730" t="s">
        <v>484</v>
      </c>
    </row>
    <row r="158" spans="1:5">
      <c r="A158" s="730" t="s">
        <v>629</v>
      </c>
      <c r="B158" s="730" t="s">
        <v>2311</v>
      </c>
      <c r="D158" s="730" t="s">
        <v>2164</v>
      </c>
      <c r="E158" s="730" t="s">
        <v>485</v>
      </c>
    </row>
    <row r="159" spans="1:5">
      <c r="A159" s="730" t="s">
        <v>677</v>
      </c>
      <c r="B159" s="730" t="s">
        <v>2359</v>
      </c>
      <c r="D159" s="730" t="s">
        <v>2165</v>
      </c>
      <c r="E159" s="730" t="s">
        <v>486</v>
      </c>
    </row>
    <row r="160" spans="1:5">
      <c r="A160" s="730" t="s">
        <v>744</v>
      </c>
      <c r="B160" s="730" t="s">
        <v>2431</v>
      </c>
      <c r="D160" s="730" t="s">
        <v>2166</v>
      </c>
      <c r="E160" s="730" t="s">
        <v>487</v>
      </c>
    </row>
    <row r="161" spans="1:5">
      <c r="A161" s="730" t="s">
        <v>792</v>
      </c>
      <c r="B161" s="730" t="s">
        <v>2480</v>
      </c>
      <c r="D161" s="730" t="s">
        <v>2167</v>
      </c>
      <c r="E161" s="730" t="s">
        <v>488</v>
      </c>
    </row>
    <row r="162" spans="1:5">
      <c r="A162" s="730" t="s">
        <v>361</v>
      </c>
      <c r="B162" s="730" t="s">
        <v>2037</v>
      </c>
      <c r="D162" s="730" t="s">
        <v>2168</v>
      </c>
      <c r="E162" s="730" t="s">
        <v>489</v>
      </c>
    </row>
    <row r="163" spans="1:5">
      <c r="A163" s="730" t="s">
        <v>489</v>
      </c>
      <c r="B163" s="730" t="s">
        <v>2168</v>
      </c>
      <c r="D163" s="730" t="s">
        <v>2169</v>
      </c>
      <c r="E163" s="730" t="s">
        <v>490</v>
      </c>
    </row>
    <row r="164" spans="1:5">
      <c r="A164" s="730" t="s">
        <v>591</v>
      </c>
      <c r="B164" s="730" t="s">
        <v>2273</v>
      </c>
      <c r="D164" s="730" t="s">
        <v>2170</v>
      </c>
      <c r="E164" s="730" t="s">
        <v>491</v>
      </c>
    </row>
    <row r="165" spans="1:5">
      <c r="A165" s="730" t="s">
        <v>637</v>
      </c>
      <c r="B165" s="730" t="s">
        <v>2319</v>
      </c>
      <c r="D165" s="730" t="s">
        <v>2171</v>
      </c>
      <c r="E165" s="730" t="s">
        <v>492</v>
      </c>
    </row>
    <row r="166" spans="1:5">
      <c r="A166" s="730" t="s">
        <v>686</v>
      </c>
      <c r="B166" s="730" t="s">
        <v>2368</v>
      </c>
      <c r="D166" s="730" t="s">
        <v>2172</v>
      </c>
      <c r="E166" s="730" t="s">
        <v>493</v>
      </c>
    </row>
    <row r="167" spans="1:5">
      <c r="A167" s="730" t="s">
        <v>753</v>
      </c>
      <c r="B167" s="730" t="s">
        <v>2440</v>
      </c>
      <c r="D167" s="730" t="s">
        <v>2173</v>
      </c>
      <c r="E167" s="730" t="s">
        <v>494</v>
      </c>
    </row>
    <row r="168" spans="1:5">
      <c r="A168" s="730" t="s">
        <v>798</v>
      </c>
      <c r="B168" s="730" t="s">
        <v>2487</v>
      </c>
      <c r="D168" s="730" t="s">
        <v>2174</v>
      </c>
      <c r="E168" s="730" t="s">
        <v>495</v>
      </c>
    </row>
    <row r="169" spans="1:5">
      <c r="A169" s="730" t="s">
        <v>370</v>
      </c>
      <c r="B169" s="730" t="s">
        <v>2046</v>
      </c>
      <c r="D169" s="730" t="s">
        <v>2175</v>
      </c>
      <c r="E169" s="730" t="s">
        <v>496</v>
      </c>
    </row>
    <row r="170" spans="1:5">
      <c r="A170" s="730" t="s">
        <v>493</v>
      </c>
      <c r="B170" s="730" t="s">
        <v>2172</v>
      </c>
      <c r="D170" s="730" t="s">
        <v>2176</v>
      </c>
      <c r="E170" s="730" t="s">
        <v>497</v>
      </c>
    </row>
    <row r="171" spans="1:5">
      <c r="A171" s="730" t="s">
        <v>594</v>
      </c>
      <c r="B171" s="730" t="s">
        <v>2276</v>
      </c>
      <c r="D171" s="730" t="s">
        <v>2177</v>
      </c>
      <c r="E171" s="730" t="s">
        <v>498</v>
      </c>
    </row>
    <row r="172" spans="1:5">
      <c r="A172" s="730" t="s">
        <v>643</v>
      </c>
      <c r="B172" s="730" t="s">
        <v>2325</v>
      </c>
      <c r="D172" s="730" t="s">
        <v>2178</v>
      </c>
      <c r="E172" s="730" t="s">
        <v>499</v>
      </c>
    </row>
    <row r="173" spans="1:5">
      <c r="A173" s="730" t="s">
        <v>690</v>
      </c>
      <c r="B173" s="730" t="s">
        <v>2372</v>
      </c>
      <c r="D173" s="730" t="s">
        <v>2179</v>
      </c>
      <c r="E173" s="730" t="s">
        <v>500</v>
      </c>
    </row>
    <row r="174" spans="1:5">
      <c r="A174" s="730" t="s">
        <v>756</v>
      </c>
      <c r="B174" s="730" t="s">
        <v>2443</v>
      </c>
      <c r="D174" s="730" t="s">
        <v>2180</v>
      </c>
      <c r="E174" s="730" t="s">
        <v>501</v>
      </c>
    </row>
    <row r="175" spans="1:5">
      <c r="A175" s="730" t="s">
        <v>802</v>
      </c>
      <c r="B175" s="730" t="s">
        <v>2491</v>
      </c>
      <c r="D175" s="730" t="s">
        <v>2181</v>
      </c>
      <c r="E175" s="730" t="s">
        <v>502</v>
      </c>
    </row>
    <row r="176" spans="1:5">
      <c r="A176" s="730" t="s">
        <v>373</v>
      </c>
      <c r="B176" s="730" t="s">
        <v>2049</v>
      </c>
      <c r="D176" s="730" t="s">
        <v>2182</v>
      </c>
      <c r="E176" s="730" t="s">
        <v>503</v>
      </c>
    </row>
    <row r="177" spans="1:5">
      <c r="A177" s="730" t="s">
        <v>501</v>
      </c>
      <c r="B177" s="730" t="s">
        <v>2180</v>
      </c>
      <c r="D177" s="730" t="s">
        <v>2183</v>
      </c>
      <c r="E177" s="730" t="s">
        <v>504</v>
      </c>
    </row>
    <row r="178" spans="1:5">
      <c r="A178" s="730" t="s">
        <v>606</v>
      </c>
      <c r="B178" s="730" t="s">
        <v>2288</v>
      </c>
      <c r="D178" s="730" t="s">
        <v>2184</v>
      </c>
      <c r="E178" s="730" t="s">
        <v>505</v>
      </c>
    </row>
    <row r="179" spans="1:5">
      <c r="A179" s="730" t="s">
        <v>648</v>
      </c>
      <c r="B179" s="730" t="s">
        <v>2330</v>
      </c>
      <c r="D179" s="730" t="s">
        <v>2185</v>
      </c>
      <c r="E179" s="730" t="s">
        <v>506</v>
      </c>
    </row>
    <row r="180" spans="1:5">
      <c r="A180" s="730" t="s">
        <v>694</v>
      </c>
      <c r="B180" s="730" t="s">
        <v>2376</v>
      </c>
      <c r="D180" s="730" t="s">
        <v>2186</v>
      </c>
      <c r="E180" s="730" t="s">
        <v>507</v>
      </c>
    </row>
    <row r="181" spans="1:5">
      <c r="A181" s="730" t="s">
        <v>762</v>
      </c>
      <c r="B181" s="730" t="s">
        <v>2449</v>
      </c>
      <c r="D181" s="730" t="s">
        <v>2187</v>
      </c>
      <c r="E181" s="730" t="s">
        <v>508</v>
      </c>
    </row>
    <row r="182" spans="1:5">
      <c r="A182" s="730" t="s">
        <v>805</v>
      </c>
      <c r="B182" s="730" t="s">
        <v>2494</v>
      </c>
      <c r="D182" s="730" t="s">
        <v>2188</v>
      </c>
      <c r="E182" s="730" t="s">
        <v>509</v>
      </c>
    </row>
    <row r="183" spans="1:5">
      <c r="A183" s="730" t="s">
        <v>380</v>
      </c>
      <c r="B183" s="730" t="s">
        <v>2056</v>
      </c>
      <c r="D183" s="730" t="s">
        <v>2189</v>
      </c>
      <c r="E183" s="730" t="s">
        <v>510</v>
      </c>
    </row>
    <row r="184" spans="1:5">
      <c r="A184" s="730" t="s">
        <v>509</v>
      </c>
      <c r="B184" s="730" t="s">
        <v>2188</v>
      </c>
      <c r="D184" s="730" t="s">
        <v>2190</v>
      </c>
      <c r="E184" s="730" t="s">
        <v>511</v>
      </c>
    </row>
    <row r="185" spans="1:5">
      <c r="A185" s="730" t="s">
        <v>609</v>
      </c>
      <c r="B185" s="730" t="s">
        <v>2291</v>
      </c>
      <c r="D185" s="730" t="s">
        <v>2191</v>
      </c>
      <c r="E185" s="730" t="s">
        <v>512</v>
      </c>
    </row>
    <row r="186" spans="1:5">
      <c r="A186" s="730" t="s">
        <v>652</v>
      </c>
      <c r="B186" s="730" t="s">
        <v>2334</v>
      </c>
      <c r="D186" s="730" t="s">
        <v>2192</v>
      </c>
      <c r="E186" s="730" t="s">
        <v>513</v>
      </c>
    </row>
    <row r="187" spans="1:5">
      <c r="A187" s="730" t="s">
        <v>699</v>
      </c>
      <c r="B187" s="730" t="s">
        <v>2381</v>
      </c>
      <c r="D187" s="730" t="s">
        <v>2193</v>
      </c>
      <c r="E187" s="730" t="s">
        <v>514</v>
      </c>
    </row>
    <row r="188" spans="1:5">
      <c r="A188" s="730" t="s">
        <v>765</v>
      </c>
      <c r="B188" s="730" t="s">
        <v>2452</v>
      </c>
      <c r="D188" s="730" t="s">
        <v>2194</v>
      </c>
      <c r="E188" s="730" t="s">
        <v>515</v>
      </c>
    </row>
    <row r="189" spans="1:5">
      <c r="A189" s="730" t="s">
        <v>386</v>
      </c>
      <c r="B189" s="730" t="s">
        <v>2063</v>
      </c>
      <c r="D189" s="730" t="s">
        <v>2195</v>
      </c>
      <c r="E189" s="730" t="s">
        <v>516</v>
      </c>
    </row>
    <row r="190" spans="1:5">
      <c r="A190" s="730" t="s">
        <v>516</v>
      </c>
      <c r="B190" s="730" t="s">
        <v>2195</v>
      </c>
      <c r="D190" s="730" t="s">
        <v>2196</v>
      </c>
      <c r="E190" s="730" t="s">
        <v>517</v>
      </c>
    </row>
    <row r="191" spans="1:5">
      <c r="A191" s="730" t="s">
        <v>614</v>
      </c>
      <c r="B191" s="730" t="s">
        <v>2296</v>
      </c>
      <c r="D191" s="730" t="s">
        <v>2197</v>
      </c>
      <c r="E191" s="730" t="s">
        <v>518</v>
      </c>
    </row>
    <row r="192" spans="1:5">
      <c r="A192" s="730" t="s">
        <v>655</v>
      </c>
      <c r="B192" s="730" t="s">
        <v>2337</v>
      </c>
      <c r="D192" s="730" t="s">
        <v>2198</v>
      </c>
      <c r="E192" s="730" t="s">
        <v>519</v>
      </c>
    </row>
    <row r="193" spans="1:5">
      <c r="A193" s="730" t="s">
        <v>703</v>
      </c>
      <c r="B193" s="730" t="s">
        <v>2385</v>
      </c>
      <c r="D193" s="730" t="s">
        <v>2199</v>
      </c>
      <c r="E193" s="730" t="s">
        <v>520</v>
      </c>
    </row>
    <row r="194" spans="1:5">
      <c r="A194" s="730" t="s">
        <v>769</v>
      </c>
      <c r="B194" s="730" t="s">
        <v>2456</v>
      </c>
      <c r="D194" s="730" t="s">
        <v>2200</v>
      </c>
      <c r="E194" s="730" t="s">
        <v>521</v>
      </c>
    </row>
    <row r="195" spans="1:5">
      <c r="A195" s="730" t="s">
        <v>393</v>
      </c>
      <c r="B195" s="730" t="s">
        <v>2070</v>
      </c>
      <c r="D195" s="730" t="s">
        <v>2201</v>
      </c>
      <c r="E195" s="730" t="s">
        <v>522</v>
      </c>
    </row>
    <row r="196" spans="1:5">
      <c r="A196" s="730" t="s">
        <v>521</v>
      </c>
      <c r="B196" s="730" t="s">
        <v>2200</v>
      </c>
      <c r="D196" s="730" t="s">
        <v>2202</v>
      </c>
      <c r="E196" s="730" t="s">
        <v>523</v>
      </c>
    </row>
    <row r="197" spans="1:5">
      <c r="A197" s="730" t="s">
        <v>710</v>
      </c>
      <c r="B197" s="730" t="s">
        <v>2394</v>
      </c>
      <c r="D197" s="730" t="s">
        <v>2203</v>
      </c>
      <c r="E197" s="730" t="s">
        <v>524</v>
      </c>
    </row>
    <row r="198" spans="1:5">
      <c r="A198" s="730" t="s">
        <v>399</v>
      </c>
      <c r="B198" s="730" t="s">
        <v>2076</v>
      </c>
      <c r="D198" s="730" t="s">
        <v>2204</v>
      </c>
      <c r="E198" s="730" t="s">
        <v>525</v>
      </c>
    </row>
    <row r="199" spans="1:5">
      <c r="A199" s="730" t="s">
        <v>526</v>
      </c>
      <c r="B199" s="730" t="s">
        <v>2205</v>
      </c>
      <c r="D199" s="730" t="s">
        <v>2205</v>
      </c>
      <c r="E199" s="730" t="s">
        <v>526</v>
      </c>
    </row>
    <row r="200" spans="1:5">
      <c r="A200" s="730" t="s">
        <v>660</v>
      </c>
      <c r="B200" s="730" t="s">
        <v>2342</v>
      </c>
      <c r="D200" s="730" t="s">
        <v>2206</v>
      </c>
      <c r="E200" s="730" t="s">
        <v>527</v>
      </c>
    </row>
    <row r="201" spans="1:5">
      <c r="A201" s="730" t="s">
        <v>716</v>
      </c>
      <c r="B201" s="730" t="s">
        <v>2400</v>
      </c>
      <c r="D201" s="730" t="s">
        <v>2207</v>
      </c>
      <c r="E201" s="730" t="s">
        <v>528</v>
      </c>
    </row>
    <row r="202" spans="1:5">
      <c r="A202" s="730" t="s">
        <v>775</v>
      </c>
      <c r="B202" s="730" t="s">
        <v>2463</v>
      </c>
      <c r="D202" s="730" t="s">
        <v>2208</v>
      </c>
      <c r="E202" s="730" t="s">
        <v>529</v>
      </c>
    </row>
    <row r="203" spans="1:5">
      <c r="A203" s="730" t="s">
        <v>404</v>
      </c>
      <c r="B203" s="730" t="s">
        <v>2081</v>
      </c>
      <c r="D203" s="730" t="s">
        <v>2209</v>
      </c>
      <c r="E203" s="730" t="s">
        <v>530</v>
      </c>
    </row>
    <row r="204" spans="1:5">
      <c r="A204" s="730" t="s">
        <v>539</v>
      </c>
      <c r="B204" s="730" t="s">
        <v>2218</v>
      </c>
      <c r="D204" s="730" t="s">
        <v>2210</v>
      </c>
      <c r="E204" s="730" t="s">
        <v>531</v>
      </c>
    </row>
    <row r="205" spans="1:5">
      <c r="A205" s="730" t="s">
        <v>720</v>
      </c>
      <c r="B205" s="730" t="s">
        <v>2404</v>
      </c>
      <c r="D205" s="730" t="s">
        <v>2211</v>
      </c>
      <c r="E205" s="730" t="s">
        <v>532</v>
      </c>
    </row>
    <row r="206" spans="1:5">
      <c r="A206" s="730" t="s">
        <v>409</v>
      </c>
      <c r="B206" s="730" t="s">
        <v>2086</v>
      </c>
      <c r="D206" s="730" t="s">
        <v>2212</v>
      </c>
      <c r="E206" s="730" t="s">
        <v>533</v>
      </c>
    </row>
    <row r="207" spans="1:5">
      <c r="A207" s="730" t="s">
        <v>546</v>
      </c>
      <c r="B207" s="730" t="s">
        <v>2225</v>
      </c>
      <c r="D207" s="730" t="s">
        <v>2213</v>
      </c>
      <c r="E207" s="730" t="s">
        <v>534</v>
      </c>
    </row>
    <row r="208" spans="1:5">
      <c r="A208" s="730" t="s">
        <v>335</v>
      </c>
      <c r="B208" s="730" t="s">
        <v>2011</v>
      </c>
      <c r="D208" s="730" t="s">
        <v>2214</v>
      </c>
      <c r="E208" s="730" t="s">
        <v>535</v>
      </c>
    </row>
    <row r="209" spans="1:5">
      <c r="A209" s="730" t="s">
        <v>456</v>
      </c>
      <c r="B209" s="730" t="s">
        <v>2134</v>
      </c>
      <c r="D209" s="730" t="s">
        <v>2215</v>
      </c>
      <c r="E209" s="730" t="s">
        <v>536</v>
      </c>
    </row>
    <row r="210" spans="1:5">
      <c r="A210" s="730" t="s">
        <v>568</v>
      </c>
      <c r="B210" s="730" t="s">
        <v>2250</v>
      </c>
      <c r="D210" s="730" t="s">
        <v>2216</v>
      </c>
      <c r="E210" s="730" t="s">
        <v>537</v>
      </c>
    </row>
    <row r="211" spans="1:5">
      <c r="A211" s="730" t="s">
        <v>619</v>
      </c>
      <c r="B211" s="730" t="s">
        <v>2301</v>
      </c>
      <c r="D211" s="730" t="s">
        <v>2217</v>
      </c>
      <c r="E211" s="730" t="s">
        <v>538</v>
      </c>
    </row>
    <row r="212" spans="1:5">
      <c r="A212" s="730" t="s">
        <v>666</v>
      </c>
      <c r="B212" s="730" t="s">
        <v>2348</v>
      </c>
      <c r="D212" s="730" t="s">
        <v>2218</v>
      </c>
      <c r="E212" s="730" t="s">
        <v>539</v>
      </c>
    </row>
    <row r="213" spans="1:5">
      <c r="A213" s="730" t="s">
        <v>725</v>
      </c>
      <c r="B213" s="730" t="s">
        <v>2410</v>
      </c>
      <c r="D213" s="730" t="s">
        <v>2219</v>
      </c>
      <c r="E213" s="730" t="s">
        <v>540</v>
      </c>
    </row>
    <row r="214" spans="1:5">
      <c r="A214" s="730" t="s">
        <v>782</v>
      </c>
      <c r="B214" s="730" t="s">
        <v>2470</v>
      </c>
      <c r="D214" s="730" t="s">
        <v>2220</v>
      </c>
      <c r="E214" s="730" t="s">
        <v>541</v>
      </c>
    </row>
    <row r="215" spans="1:5">
      <c r="A215" s="730" t="s">
        <v>470</v>
      </c>
      <c r="B215" s="730" t="s">
        <v>2148</v>
      </c>
      <c r="D215" s="730" t="s">
        <v>2221</v>
      </c>
      <c r="E215" s="730" t="s">
        <v>542</v>
      </c>
    </row>
    <row r="216" spans="1:5">
      <c r="A216" s="730" t="s">
        <v>579</v>
      </c>
      <c r="B216" s="730" t="s">
        <v>2261</v>
      </c>
      <c r="D216" s="730" t="s">
        <v>2222</v>
      </c>
      <c r="E216" s="730" t="s">
        <v>543</v>
      </c>
    </row>
    <row r="217" spans="1:5">
      <c r="A217" s="730" t="s">
        <v>624</v>
      </c>
      <c r="B217" s="730" t="s">
        <v>2306</v>
      </c>
      <c r="D217" s="730" t="s">
        <v>2223</v>
      </c>
      <c r="E217" s="730" t="s">
        <v>544</v>
      </c>
    </row>
    <row r="218" spans="1:5">
      <c r="A218" s="730" t="s">
        <v>671</v>
      </c>
      <c r="B218" s="730" t="s">
        <v>2353</v>
      </c>
      <c r="D218" s="730" t="s">
        <v>2224</v>
      </c>
      <c r="E218" s="730" t="s">
        <v>545</v>
      </c>
    </row>
    <row r="219" spans="1:5">
      <c r="A219" s="730" t="s">
        <v>740</v>
      </c>
      <c r="B219" s="730" t="s">
        <v>2426</v>
      </c>
      <c r="D219" s="730" t="s">
        <v>2225</v>
      </c>
      <c r="E219" s="730" t="s">
        <v>546</v>
      </c>
    </row>
    <row r="220" spans="1:5">
      <c r="A220" s="730" t="s">
        <v>786</v>
      </c>
      <c r="B220" s="730" t="s">
        <v>2474</v>
      </c>
      <c r="D220" s="730" t="s">
        <v>2226</v>
      </c>
      <c r="E220" s="730" t="s">
        <v>547</v>
      </c>
    </row>
    <row r="221" spans="1:5">
      <c r="A221" s="730" t="s">
        <v>349</v>
      </c>
      <c r="B221" s="730" t="s">
        <v>2025</v>
      </c>
      <c r="D221" s="730" t="s">
        <v>2227</v>
      </c>
      <c r="E221" s="730" t="s">
        <v>548</v>
      </c>
    </row>
    <row r="222" spans="1:5">
      <c r="A222" s="730" t="s">
        <v>483</v>
      </c>
      <c r="B222" s="730" t="s">
        <v>2162</v>
      </c>
      <c r="D222" s="730" t="s">
        <v>2228</v>
      </c>
      <c r="E222" s="730" t="s">
        <v>549</v>
      </c>
    </row>
    <row r="223" spans="1:5">
      <c r="A223" s="730" t="s">
        <v>584</v>
      </c>
      <c r="B223" s="730" t="s">
        <v>2266</v>
      </c>
      <c r="D223" s="730" t="s">
        <v>2229</v>
      </c>
      <c r="E223" s="730" t="s">
        <v>550</v>
      </c>
    </row>
    <row r="224" spans="1:5">
      <c r="A224" s="730" t="s">
        <v>630</v>
      </c>
      <c r="B224" s="730" t="s">
        <v>2312</v>
      </c>
      <c r="D224" s="730" t="s">
        <v>2230</v>
      </c>
      <c r="E224" s="730" t="s">
        <v>551</v>
      </c>
    </row>
    <row r="225" spans="1:5">
      <c r="A225" s="730" t="s">
        <v>678</v>
      </c>
      <c r="B225" s="730" t="s">
        <v>2360</v>
      </c>
      <c r="D225" s="730" t="s">
        <v>2231</v>
      </c>
      <c r="E225" s="730" t="s">
        <v>552</v>
      </c>
    </row>
    <row r="226" spans="1:5">
      <c r="A226" s="730" t="s">
        <v>745</v>
      </c>
      <c r="B226" s="730" t="s">
        <v>2432</v>
      </c>
      <c r="D226" s="730" t="s">
        <v>2232</v>
      </c>
      <c r="E226" s="730" t="s">
        <v>553</v>
      </c>
    </row>
    <row r="227" spans="1:5">
      <c r="A227" s="730" t="s">
        <v>793</v>
      </c>
      <c r="B227" s="730" t="s">
        <v>2481</v>
      </c>
      <c r="D227" s="730" t="s">
        <v>2233</v>
      </c>
      <c r="E227" s="730" t="s">
        <v>554</v>
      </c>
    </row>
    <row r="228" spans="1:5">
      <c r="A228" s="730" t="s">
        <v>362</v>
      </c>
      <c r="B228" s="730" t="s">
        <v>2038</v>
      </c>
      <c r="D228" s="730" t="s">
        <v>2234</v>
      </c>
      <c r="E228" s="730" t="s">
        <v>555</v>
      </c>
    </row>
    <row r="229" spans="1:5">
      <c r="A229" s="730" t="s">
        <v>490</v>
      </c>
      <c r="B229" s="730" t="s">
        <v>2169</v>
      </c>
      <c r="D229" s="730" t="s">
        <v>2235</v>
      </c>
      <c r="E229" s="730" t="s">
        <v>556</v>
      </c>
    </row>
    <row r="230" spans="1:5">
      <c r="A230" s="730" t="s">
        <v>638</v>
      </c>
      <c r="B230" s="730" t="s">
        <v>2320</v>
      </c>
      <c r="D230" s="730" t="s">
        <v>2236</v>
      </c>
      <c r="E230" s="730" t="s">
        <v>557</v>
      </c>
    </row>
    <row r="231" spans="1:5">
      <c r="A231" s="730" t="s">
        <v>687</v>
      </c>
      <c r="B231" s="730" t="s">
        <v>2369</v>
      </c>
      <c r="D231" s="730" t="s">
        <v>2237</v>
      </c>
      <c r="E231" s="730" t="s">
        <v>558</v>
      </c>
    </row>
    <row r="232" spans="1:5">
      <c r="A232" s="730" t="s">
        <v>799</v>
      </c>
      <c r="B232" s="730" t="s">
        <v>2488</v>
      </c>
      <c r="D232" s="730" t="s">
        <v>2238</v>
      </c>
      <c r="E232" s="730" t="s">
        <v>559</v>
      </c>
    </row>
    <row r="233" spans="1:5">
      <c r="A233" s="730" t="s">
        <v>494</v>
      </c>
      <c r="B233" s="730" t="s">
        <v>2173</v>
      </c>
      <c r="D233" s="730" t="s">
        <v>2239</v>
      </c>
      <c r="E233" s="730" t="s">
        <v>560</v>
      </c>
    </row>
    <row r="234" spans="1:5">
      <c r="A234" s="730" t="s">
        <v>595</v>
      </c>
      <c r="B234" s="730" t="s">
        <v>2277</v>
      </c>
      <c r="D234" s="730" t="s">
        <v>2240</v>
      </c>
      <c r="E234" s="730" t="s">
        <v>561</v>
      </c>
    </row>
    <row r="235" spans="1:5">
      <c r="A235" s="730" t="s">
        <v>644</v>
      </c>
      <c r="B235" s="730" t="s">
        <v>2326</v>
      </c>
      <c r="D235" s="730" t="s">
        <v>2241</v>
      </c>
      <c r="E235" s="730" t="s">
        <v>562</v>
      </c>
    </row>
    <row r="236" spans="1:5">
      <c r="A236" s="730" t="s">
        <v>691</v>
      </c>
      <c r="B236" s="730" t="s">
        <v>2373</v>
      </c>
      <c r="D236" s="730" t="s">
        <v>2242</v>
      </c>
      <c r="E236" s="730" t="s">
        <v>563</v>
      </c>
    </row>
    <row r="237" spans="1:5">
      <c r="A237" s="730" t="s">
        <v>757</v>
      </c>
      <c r="B237" s="730" t="s">
        <v>2444</v>
      </c>
      <c r="D237" s="730" t="s">
        <v>2243</v>
      </c>
      <c r="E237" s="730" t="s">
        <v>564</v>
      </c>
    </row>
    <row r="238" spans="1:5">
      <c r="A238" s="730" t="s">
        <v>374</v>
      </c>
      <c r="B238" s="730" t="s">
        <v>2050</v>
      </c>
      <c r="D238" s="730" t="s">
        <v>2244</v>
      </c>
      <c r="E238" s="730" t="s">
        <v>1671</v>
      </c>
    </row>
    <row r="239" spans="1:5">
      <c r="A239" s="730" t="s">
        <v>502</v>
      </c>
      <c r="B239" s="730" t="s">
        <v>2181</v>
      </c>
      <c r="D239" s="730" t="s">
        <v>2245</v>
      </c>
      <c r="E239" s="730" t="s">
        <v>1938</v>
      </c>
    </row>
    <row r="240" spans="1:5">
      <c r="A240" s="730" t="s">
        <v>649</v>
      </c>
      <c r="B240" s="730" t="s">
        <v>2331</v>
      </c>
      <c r="D240" s="730" t="s">
        <v>2246</v>
      </c>
      <c r="E240" s="730" t="s">
        <v>1939</v>
      </c>
    </row>
    <row r="241" spans="1:5">
      <c r="A241" s="730" t="s">
        <v>695</v>
      </c>
      <c r="B241" s="730" t="s">
        <v>2377</v>
      </c>
      <c r="D241" s="730" t="s">
        <v>2247</v>
      </c>
      <c r="E241" s="730" t="s">
        <v>565</v>
      </c>
    </row>
    <row r="242" spans="1:5">
      <c r="A242" s="730" t="s">
        <v>806</v>
      </c>
      <c r="B242" s="730" t="s">
        <v>2495</v>
      </c>
      <c r="D242" s="730" t="s">
        <v>2248</v>
      </c>
      <c r="E242" s="730" t="s">
        <v>566</v>
      </c>
    </row>
    <row r="243" spans="1:5">
      <c r="A243" s="730" t="s">
        <v>381</v>
      </c>
      <c r="B243" s="730" t="s">
        <v>2057</v>
      </c>
      <c r="D243" s="730" t="s">
        <v>2249</v>
      </c>
      <c r="E243" s="730" t="s">
        <v>567</v>
      </c>
    </row>
    <row r="244" spans="1:5">
      <c r="A244" s="730" t="s">
        <v>510</v>
      </c>
      <c r="B244" s="730" t="s">
        <v>2189</v>
      </c>
      <c r="D244" s="730" t="s">
        <v>2250</v>
      </c>
      <c r="E244" s="730" t="s">
        <v>568</v>
      </c>
    </row>
    <row r="245" spans="1:5">
      <c r="A245" s="730" t="s">
        <v>610</v>
      </c>
      <c r="B245" s="730" t="s">
        <v>2292</v>
      </c>
      <c r="D245" s="730" t="s">
        <v>2251</v>
      </c>
      <c r="E245" s="730" t="s">
        <v>569</v>
      </c>
    </row>
    <row r="246" spans="1:5">
      <c r="A246" s="730" t="s">
        <v>700</v>
      </c>
      <c r="B246" s="730" t="s">
        <v>2382</v>
      </c>
      <c r="D246" s="730" t="s">
        <v>2252</v>
      </c>
      <c r="E246" s="730" t="s">
        <v>570</v>
      </c>
    </row>
    <row r="247" spans="1:5">
      <c r="A247" s="730" t="s">
        <v>766</v>
      </c>
      <c r="B247" s="730" t="s">
        <v>2453</v>
      </c>
      <c r="D247" s="730" t="s">
        <v>2253</v>
      </c>
      <c r="E247" s="730" t="s">
        <v>571</v>
      </c>
    </row>
    <row r="248" spans="1:5">
      <c r="A248" s="730" t="s">
        <v>387</v>
      </c>
      <c r="B248" s="730" t="s">
        <v>2064</v>
      </c>
      <c r="D248" s="730" t="s">
        <v>2254</v>
      </c>
      <c r="E248" s="730" t="s">
        <v>572</v>
      </c>
    </row>
    <row r="249" spans="1:5">
      <c r="A249" s="730" t="s">
        <v>517</v>
      </c>
      <c r="B249" s="730" t="s">
        <v>2196</v>
      </c>
      <c r="D249" s="730" t="s">
        <v>2255</v>
      </c>
      <c r="E249" s="730" t="s">
        <v>573</v>
      </c>
    </row>
    <row r="250" spans="1:5">
      <c r="A250" s="730" t="s">
        <v>615</v>
      </c>
      <c r="B250" s="730" t="s">
        <v>2297</v>
      </c>
      <c r="D250" s="730" t="s">
        <v>2256</v>
      </c>
      <c r="E250" s="730" t="s">
        <v>574</v>
      </c>
    </row>
    <row r="251" spans="1:5">
      <c r="A251" s="730" t="s">
        <v>704</v>
      </c>
      <c r="B251" s="730" t="s">
        <v>2386</v>
      </c>
      <c r="D251" s="730" t="s">
        <v>2257</v>
      </c>
      <c r="E251" s="730" t="s">
        <v>575</v>
      </c>
    </row>
    <row r="252" spans="1:5">
      <c r="A252" s="730" t="s">
        <v>770</v>
      </c>
      <c r="B252" s="730" t="s">
        <v>2457</v>
      </c>
      <c r="D252" s="730" t="s">
        <v>2258</v>
      </c>
      <c r="E252" s="730" t="s">
        <v>576</v>
      </c>
    </row>
    <row r="253" spans="1:5">
      <c r="A253" s="730" t="s">
        <v>394</v>
      </c>
      <c r="B253" s="730" t="s">
        <v>2071</v>
      </c>
      <c r="D253" s="730" t="s">
        <v>2259</v>
      </c>
      <c r="E253" s="730" t="s">
        <v>577</v>
      </c>
    </row>
    <row r="254" spans="1:5">
      <c r="A254" s="730" t="s">
        <v>522</v>
      </c>
      <c r="B254" s="730" t="s">
        <v>2201</v>
      </c>
      <c r="D254" s="730" t="s">
        <v>2260</v>
      </c>
      <c r="E254" s="730" t="s">
        <v>578</v>
      </c>
    </row>
    <row r="255" spans="1:5">
      <c r="A255" s="730" t="s">
        <v>711</v>
      </c>
      <c r="B255" s="730" t="s">
        <v>2395</v>
      </c>
      <c r="D255" s="730" t="s">
        <v>2261</v>
      </c>
      <c r="E255" s="730" t="s">
        <v>579</v>
      </c>
    </row>
    <row r="256" spans="1:5">
      <c r="A256" s="730" t="s">
        <v>400</v>
      </c>
      <c r="B256" s="730" t="s">
        <v>2077</v>
      </c>
      <c r="D256" s="730" t="s">
        <v>2262</v>
      </c>
      <c r="E256" s="730" t="s">
        <v>580</v>
      </c>
    </row>
    <row r="257" spans="1:5">
      <c r="A257" s="730" t="s">
        <v>527</v>
      </c>
      <c r="B257" s="730" t="s">
        <v>2206</v>
      </c>
      <c r="D257" s="730" t="s">
        <v>2263</v>
      </c>
      <c r="E257" s="730" t="s">
        <v>581</v>
      </c>
    </row>
    <row r="258" spans="1:5">
      <c r="A258" s="730" t="s">
        <v>661</v>
      </c>
      <c r="B258" s="730" t="s">
        <v>2343</v>
      </c>
      <c r="D258" s="730" t="s">
        <v>2264</v>
      </c>
      <c r="E258" s="730" t="s">
        <v>582</v>
      </c>
    </row>
    <row r="259" spans="1:5">
      <c r="A259" s="730" t="s">
        <v>717</v>
      </c>
      <c r="B259" s="730" t="s">
        <v>2401</v>
      </c>
      <c r="D259" s="730" t="s">
        <v>2265</v>
      </c>
      <c r="E259" s="730" t="s">
        <v>583</v>
      </c>
    </row>
    <row r="260" spans="1:5">
      <c r="A260" s="730" t="s">
        <v>776</v>
      </c>
      <c r="B260" s="730" t="s">
        <v>2464</v>
      </c>
      <c r="D260" s="730" t="s">
        <v>2266</v>
      </c>
      <c r="E260" s="730" t="s">
        <v>584</v>
      </c>
    </row>
    <row r="261" spans="1:5">
      <c r="A261" s="730" t="s">
        <v>405</v>
      </c>
      <c r="B261" s="730" t="s">
        <v>2082</v>
      </c>
      <c r="D261" s="730" t="s">
        <v>2267</v>
      </c>
      <c r="E261" s="730" t="s">
        <v>585</v>
      </c>
    </row>
    <row r="262" spans="1:5">
      <c r="A262" s="730" t="s">
        <v>540</v>
      </c>
      <c r="B262" s="730" t="s">
        <v>2219</v>
      </c>
      <c r="D262" s="730" t="s">
        <v>2268</v>
      </c>
      <c r="E262" s="730" t="s">
        <v>586</v>
      </c>
    </row>
    <row r="263" spans="1:5">
      <c r="A263" s="730" t="s">
        <v>721</v>
      </c>
      <c r="B263" s="730" t="s">
        <v>2405</v>
      </c>
      <c r="D263" s="730" t="s">
        <v>2269</v>
      </c>
      <c r="E263" s="730" t="s">
        <v>587</v>
      </c>
    </row>
    <row r="264" spans="1:5">
      <c r="A264" s="730" t="s">
        <v>410</v>
      </c>
      <c r="B264" s="730" t="s">
        <v>2087</v>
      </c>
      <c r="D264" s="730" t="s">
        <v>2270</v>
      </c>
      <c r="E264" s="730" t="s">
        <v>588</v>
      </c>
    </row>
    <row r="265" spans="1:5">
      <c r="A265" s="730" t="s">
        <v>547</v>
      </c>
      <c r="B265" s="730" t="s">
        <v>2226</v>
      </c>
      <c r="D265" s="730" t="s">
        <v>2271</v>
      </c>
      <c r="E265" s="730" t="s">
        <v>589</v>
      </c>
    </row>
    <row r="266" spans="1:5">
      <c r="A266" s="730" t="s">
        <v>336</v>
      </c>
      <c r="B266" s="730" t="s">
        <v>2012</v>
      </c>
      <c r="D266" s="730" t="s">
        <v>2272</v>
      </c>
      <c r="E266" s="730" t="s">
        <v>590</v>
      </c>
    </row>
    <row r="267" spans="1:5">
      <c r="A267" s="730" t="s">
        <v>457</v>
      </c>
      <c r="B267" s="730" t="s">
        <v>2135</v>
      </c>
      <c r="D267" s="730" t="s">
        <v>2273</v>
      </c>
      <c r="E267" s="730" t="s">
        <v>591</v>
      </c>
    </row>
    <row r="268" spans="1:5">
      <c r="A268" s="730" t="s">
        <v>569</v>
      </c>
      <c r="B268" s="730" t="s">
        <v>2251</v>
      </c>
      <c r="D268" s="730" t="s">
        <v>2274</v>
      </c>
      <c r="E268" s="730" t="s">
        <v>592</v>
      </c>
    </row>
    <row r="269" spans="1:5">
      <c r="A269" s="730" t="s">
        <v>620</v>
      </c>
      <c r="B269" s="730" t="s">
        <v>2302</v>
      </c>
      <c r="D269" s="730" t="s">
        <v>2275</v>
      </c>
      <c r="E269" s="730" t="s">
        <v>593</v>
      </c>
    </row>
    <row r="270" spans="1:5">
      <c r="A270" s="730" t="s">
        <v>667</v>
      </c>
      <c r="B270" s="730" t="s">
        <v>2349</v>
      </c>
      <c r="D270" s="730" t="s">
        <v>2276</v>
      </c>
      <c r="E270" s="730" t="s">
        <v>594</v>
      </c>
    </row>
    <row r="271" spans="1:5">
      <c r="A271" s="730" t="s">
        <v>726</v>
      </c>
      <c r="B271" s="730" t="s">
        <v>2411</v>
      </c>
      <c r="D271" s="730" t="s">
        <v>2277</v>
      </c>
      <c r="E271" s="730" t="s">
        <v>595</v>
      </c>
    </row>
    <row r="272" spans="1:5">
      <c r="A272" s="730" t="s">
        <v>471</v>
      </c>
      <c r="B272" s="730" t="s">
        <v>2149</v>
      </c>
      <c r="D272" s="730" t="s">
        <v>2278</v>
      </c>
      <c r="E272" s="730" t="s">
        <v>596</v>
      </c>
    </row>
    <row r="273" spans="1:5">
      <c r="A273" s="730" t="s">
        <v>580</v>
      </c>
      <c r="B273" s="730" t="s">
        <v>2262</v>
      </c>
      <c r="D273" s="730" t="s">
        <v>2279</v>
      </c>
      <c r="E273" s="730" t="s">
        <v>597</v>
      </c>
    </row>
    <row r="274" spans="1:5">
      <c r="A274" s="730" t="s">
        <v>625</v>
      </c>
      <c r="B274" s="730" t="s">
        <v>2307</v>
      </c>
      <c r="D274" s="730" t="s">
        <v>2280</v>
      </c>
      <c r="E274" s="730" t="s">
        <v>598</v>
      </c>
    </row>
    <row r="275" spans="1:5">
      <c r="A275" s="730" t="s">
        <v>672</v>
      </c>
      <c r="B275" s="730" t="s">
        <v>2354</v>
      </c>
      <c r="D275" s="730" t="s">
        <v>2281</v>
      </c>
      <c r="E275" s="730" t="s">
        <v>599</v>
      </c>
    </row>
    <row r="276" spans="1:5">
      <c r="A276" s="730" t="s">
        <v>741</v>
      </c>
      <c r="B276" s="730" t="s">
        <v>2427</v>
      </c>
      <c r="D276" s="730" t="s">
        <v>2282</v>
      </c>
      <c r="E276" s="730" t="s">
        <v>600</v>
      </c>
    </row>
    <row r="277" spans="1:5">
      <c r="A277" s="730" t="s">
        <v>787</v>
      </c>
      <c r="B277" s="730" t="s">
        <v>2475</v>
      </c>
      <c r="D277" s="730" t="s">
        <v>2283</v>
      </c>
      <c r="E277" s="730" t="s">
        <v>601</v>
      </c>
    </row>
    <row r="278" spans="1:5">
      <c r="A278" s="730" t="s">
        <v>350</v>
      </c>
      <c r="B278" s="730" t="s">
        <v>2026</v>
      </c>
      <c r="D278" s="730" t="s">
        <v>2284</v>
      </c>
      <c r="E278" s="730" t="s">
        <v>602</v>
      </c>
    </row>
    <row r="279" spans="1:5">
      <c r="A279" s="730" t="s">
        <v>484</v>
      </c>
      <c r="B279" s="730" t="s">
        <v>2163</v>
      </c>
      <c r="D279" s="730" t="s">
        <v>2285</v>
      </c>
      <c r="E279" s="730" t="s">
        <v>603</v>
      </c>
    </row>
    <row r="280" spans="1:5">
      <c r="A280" s="730" t="s">
        <v>585</v>
      </c>
      <c r="B280" s="730" t="s">
        <v>2267</v>
      </c>
      <c r="D280" s="730" t="s">
        <v>2286</v>
      </c>
      <c r="E280" s="730" t="s">
        <v>604</v>
      </c>
    </row>
    <row r="281" spans="1:5">
      <c r="A281" s="730" t="s">
        <v>631</v>
      </c>
      <c r="B281" s="730" t="s">
        <v>2313</v>
      </c>
      <c r="D281" s="730" t="s">
        <v>2287</v>
      </c>
      <c r="E281" s="730" t="s">
        <v>605</v>
      </c>
    </row>
    <row r="282" spans="1:5">
      <c r="A282" s="730" t="s">
        <v>679</v>
      </c>
      <c r="B282" s="730" t="s">
        <v>2361</v>
      </c>
      <c r="D282" s="730" t="s">
        <v>2288</v>
      </c>
      <c r="E282" s="730" t="s">
        <v>606</v>
      </c>
    </row>
    <row r="283" spans="1:5">
      <c r="A283" s="730" t="s">
        <v>746</v>
      </c>
      <c r="B283" s="730" t="s">
        <v>2433</v>
      </c>
      <c r="D283" s="730" t="s">
        <v>2289</v>
      </c>
      <c r="E283" s="730" t="s">
        <v>607</v>
      </c>
    </row>
    <row r="284" spans="1:5">
      <c r="A284" s="730" t="s">
        <v>794</v>
      </c>
      <c r="B284" s="730" t="s">
        <v>2482</v>
      </c>
      <c r="D284" s="730" t="s">
        <v>2290</v>
      </c>
      <c r="E284" s="730" t="s">
        <v>608</v>
      </c>
    </row>
    <row r="285" spans="1:5">
      <c r="A285" s="730" t="s">
        <v>363</v>
      </c>
      <c r="B285" s="730" t="s">
        <v>2039</v>
      </c>
      <c r="D285" s="730" t="s">
        <v>2291</v>
      </c>
      <c r="E285" s="730" t="s">
        <v>609</v>
      </c>
    </row>
    <row r="286" spans="1:5">
      <c r="A286" s="730" t="s">
        <v>639</v>
      </c>
      <c r="B286" s="730" t="s">
        <v>2321</v>
      </c>
      <c r="D286" s="730" t="s">
        <v>2292</v>
      </c>
      <c r="E286" s="730" t="s">
        <v>610</v>
      </c>
    </row>
    <row r="287" spans="1:5">
      <c r="A287" s="730" t="s">
        <v>495</v>
      </c>
      <c r="B287" s="730" t="s">
        <v>2174</v>
      </c>
      <c r="D287" s="730" t="s">
        <v>2293</v>
      </c>
      <c r="E287" s="730" t="s">
        <v>611</v>
      </c>
    </row>
    <row r="288" spans="1:5">
      <c r="A288" s="730" t="s">
        <v>596</v>
      </c>
      <c r="B288" s="730" t="s">
        <v>2278</v>
      </c>
      <c r="D288" s="730" t="s">
        <v>2294</v>
      </c>
      <c r="E288" s="730" t="s">
        <v>612</v>
      </c>
    </row>
    <row r="289" spans="1:5">
      <c r="A289" s="730" t="s">
        <v>645</v>
      </c>
      <c r="B289" s="730" t="s">
        <v>2327</v>
      </c>
      <c r="D289" s="730" t="s">
        <v>2295</v>
      </c>
      <c r="E289" s="730" t="s">
        <v>613</v>
      </c>
    </row>
    <row r="290" spans="1:5">
      <c r="A290" s="730" t="s">
        <v>758</v>
      </c>
      <c r="B290" s="730" t="s">
        <v>2445</v>
      </c>
      <c r="D290" s="730" t="s">
        <v>2296</v>
      </c>
      <c r="E290" s="730" t="s">
        <v>614</v>
      </c>
    </row>
    <row r="291" spans="1:5">
      <c r="A291" s="730" t="s">
        <v>375</v>
      </c>
      <c r="B291" s="730" t="s">
        <v>2051</v>
      </c>
      <c r="D291" s="730" t="s">
        <v>2297</v>
      </c>
      <c r="E291" s="730" t="s">
        <v>615</v>
      </c>
    </row>
    <row r="292" spans="1:5">
      <c r="A292" s="730" t="s">
        <v>503</v>
      </c>
      <c r="B292" s="730" t="s">
        <v>2182</v>
      </c>
      <c r="D292" s="730" t="s">
        <v>2298</v>
      </c>
      <c r="E292" s="730" t="s">
        <v>616</v>
      </c>
    </row>
    <row r="293" spans="1:5">
      <c r="A293" s="730" t="s">
        <v>696</v>
      </c>
      <c r="B293" s="730" t="s">
        <v>2378</v>
      </c>
      <c r="D293" s="730" t="s">
        <v>2299</v>
      </c>
      <c r="E293" s="730" t="s">
        <v>617</v>
      </c>
    </row>
    <row r="294" spans="1:5">
      <c r="A294" s="730" t="s">
        <v>807</v>
      </c>
      <c r="B294" s="730" t="s">
        <v>2496</v>
      </c>
      <c r="D294" s="730" t="s">
        <v>2300</v>
      </c>
      <c r="E294" s="730" t="s">
        <v>618</v>
      </c>
    </row>
    <row r="295" spans="1:5">
      <c r="A295" s="730" t="s">
        <v>382</v>
      </c>
      <c r="B295" s="730" t="s">
        <v>2058</v>
      </c>
      <c r="D295" s="730" t="s">
        <v>2301</v>
      </c>
      <c r="E295" s="730" t="s">
        <v>619</v>
      </c>
    </row>
    <row r="296" spans="1:5">
      <c r="A296" s="730" t="s">
        <v>511</v>
      </c>
      <c r="B296" s="730" t="s">
        <v>2190</v>
      </c>
      <c r="D296" s="730" t="s">
        <v>2302</v>
      </c>
      <c r="E296" s="730" t="s">
        <v>620</v>
      </c>
    </row>
    <row r="297" spans="1:5">
      <c r="A297" s="730" t="s">
        <v>611</v>
      </c>
      <c r="B297" s="730" t="s">
        <v>2293</v>
      </c>
      <c r="D297" s="730" t="s">
        <v>2303</v>
      </c>
      <c r="E297" s="730" t="s">
        <v>621</v>
      </c>
    </row>
    <row r="298" spans="1:5">
      <c r="A298" s="730" t="s">
        <v>388</v>
      </c>
      <c r="B298" s="730" t="s">
        <v>2065</v>
      </c>
      <c r="D298" s="730" t="s">
        <v>2304</v>
      </c>
      <c r="E298" s="730" t="s">
        <v>622</v>
      </c>
    </row>
    <row r="299" spans="1:5">
      <c r="A299" s="730" t="s">
        <v>518</v>
      </c>
      <c r="B299" s="730" t="s">
        <v>2197</v>
      </c>
      <c r="D299" s="730" t="s">
        <v>2305</v>
      </c>
      <c r="E299" s="730" t="s">
        <v>623</v>
      </c>
    </row>
    <row r="300" spans="1:5">
      <c r="A300" s="730" t="s">
        <v>705</v>
      </c>
      <c r="B300" s="730" t="s">
        <v>2387</v>
      </c>
      <c r="D300" s="730" t="s">
        <v>2306</v>
      </c>
      <c r="E300" s="730" t="s">
        <v>624</v>
      </c>
    </row>
    <row r="301" spans="1:5">
      <c r="A301" s="730" t="s">
        <v>771</v>
      </c>
      <c r="B301" s="730" t="s">
        <v>2458</v>
      </c>
      <c r="D301" s="730" t="s">
        <v>2307</v>
      </c>
      <c r="E301" s="730" t="s">
        <v>625</v>
      </c>
    </row>
    <row r="302" spans="1:5">
      <c r="A302" s="730" t="s">
        <v>395</v>
      </c>
      <c r="B302" s="730" t="s">
        <v>2072</v>
      </c>
      <c r="D302" s="730" t="s">
        <v>2308</v>
      </c>
      <c r="E302" s="730" t="s">
        <v>626</v>
      </c>
    </row>
    <row r="303" spans="1:5">
      <c r="A303" s="730" t="s">
        <v>523</v>
      </c>
      <c r="B303" s="730" t="s">
        <v>2202</v>
      </c>
      <c r="D303" s="730" t="s">
        <v>2309</v>
      </c>
      <c r="E303" s="730" t="s">
        <v>627</v>
      </c>
    </row>
    <row r="304" spans="1:5">
      <c r="A304" s="730" t="s">
        <v>712</v>
      </c>
      <c r="B304" s="730" t="s">
        <v>2396</v>
      </c>
      <c r="D304" s="730" t="s">
        <v>2310</v>
      </c>
      <c r="E304" s="730" t="s">
        <v>628</v>
      </c>
    </row>
    <row r="305" spans="1:5">
      <c r="A305" s="730" t="s">
        <v>401</v>
      </c>
      <c r="B305" s="730" t="s">
        <v>2078</v>
      </c>
      <c r="D305" s="730" t="s">
        <v>2311</v>
      </c>
      <c r="E305" s="730" t="s">
        <v>629</v>
      </c>
    </row>
    <row r="306" spans="1:5">
      <c r="A306" s="730" t="s">
        <v>528</v>
      </c>
      <c r="B306" s="730" t="s">
        <v>2207</v>
      </c>
      <c r="D306" s="730" t="s">
        <v>2312</v>
      </c>
      <c r="E306" s="730" t="s">
        <v>630</v>
      </c>
    </row>
    <row r="307" spans="1:5">
      <c r="A307" s="730" t="s">
        <v>662</v>
      </c>
      <c r="B307" s="730" t="s">
        <v>2344</v>
      </c>
      <c r="D307" s="730" t="s">
        <v>2313</v>
      </c>
      <c r="E307" s="730" t="s">
        <v>631</v>
      </c>
    </row>
    <row r="308" spans="1:5">
      <c r="A308" s="730" t="s">
        <v>406</v>
      </c>
      <c r="B308" s="730" t="s">
        <v>2083</v>
      </c>
      <c r="D308" s="730" t="s">
        <v>2314</v>
      </c>
      <c r="E308" s="730" t="s">
        <v>632</v>
      </c>
    </row>
    <row r="309" spans="1:5">
      <c r="A309" s="730" t="s">
        <v>541</v>
      </c>
      <c r="B309" s="730" t="s">
        <v>2220</v>
      </c>
      <c r="D309" s="730" t="s">
        <v>2315</v>
      </c>
      <c r="E309" s="730" t="s">
        <v>633</v>
      </c>
    </row>
    <row r="310" spans="1:5">
      <c r="A310" s="730" t="s">
        <v>1739</v>
      </c>
      <c r="B310" s="730" t="s">
        <v>2406</v>
      </c>
      <c r="D310" s="730" t="s">
        <v>2316</v>
      </c>
      <c r="E310" s="730" t="s">
        <v>634</v>
      </c>
    </row>
    <row r="311" spans="1:5">
      <c r="A311" s="730" t="s">
        <v>411</v>
      </c>
      <c r="B311" s="730" t="s">
        <v>2088</v>
      </c>
      <c r="D311" s="730" t="s">
        <v>2317</v>
      </c>
      <c r="E311" s="730" t="s">
        <v>635</v>
      </c>
    </row>
    <row r="312" spans="1:5">
      <c r="A312" s="730" t="s">
        <v>548</v>
      </c>
      <c r="B312" s="730" t="s">
        <v>2227</v>
      </c>
      <c r="D312" s="730" t="s">
        <v>2318</v>
      </c>
      <c r="E312" s="730" t="s">
        <v>636</v>
      </c>
    </row>
    <row r="313" spans="1:5">
      <c r="A313" s="730" t="s">
        <v>337</v>
      </c>
      <c r="B313" s="730" t="s">
        <v>2013</v>
      </c>
      <c r="D313" s="730" t="s">
        <v>2319</v>
      </c>
      <c r="E313" s="730" t="s">
        <v>637</v>
      </c>
    </row>
    <row r="314" spans="1:5">
      <c r="A314" s="730" t="s">
        <v>458</v>
      </c>
      <c r="B314" s="730" t="s">
        <v>2136</v>
      </c>
      <c r="D314" s="730" t="s">
        <v>2320</v>
      </c>
      <c r="E314" s="730" t="s">
        <v>638</v>
      </c>
    </row>
    <row r="315" spans="1:5">
      <c r="A315" s="730" t="s">
        <v>570</v>
      </c>
      <c r="B315" s="730" t="s">
        <v>2252</v>
      </c>
      <c r="D315" s="730" t="s">
        <v>2321</v>
      </c>
      <c r="E315" s="730" t="s">
        <v>639</v>
      </c>
    </row>
    <row r="316" spans="1:5">
      <c r="A316" s="730" t="s">
        <v>727</v>
      </c>
      <c r="B316" s="730" t="s">
        <v>2412</v>
      </c>
      <c r="D316" s="730" t="s">
        <v>2322</v>
      </c>
      <c r="E316" s="730" t="s">
        <v>640</v>
      </c>
    </row>
    <row r="317" spans="1:5">
      <c r="A317" s="730" t="s">
        <v>472</v>
      </c>
      <c r="B317" s="730" t="s">
        <v>2150</v>
      </c>
      <c r="D317" s="730" t="s">
        <v>2323</v>
      </c>
      <c r="E317" s="730" t="s">
        <v>641</v>
      </c>
    </row>
    <row r="318" spans="1:5">
      <c r="A318" s="730" t="s">
        <v>626</v>
      </c>
      <c r="B318" s="730" t="s">
        <v>2308</v>
      </c>
      <c r="D318" s="730" t="s">
        <v>2324</v>
      </c>
      <c r="E318" s="730" t="s">
        <v>642</v>
      </c>
    </row>
    <row r="319" spans="1:5">
      <c r="A319" s="730" t="s">
        <v>673</v>
      </c>
      <c r="B319" s="730" t="s">
        <v>2355</v>
      </c>
      <c r="D319" s="730" t="s">
        <v>2325</v>
      </c>
      <c r="E319" s="730" t="s">
        <v>643</v>
      </c>
    </row>
    <row r="320" spans="1:5">
      <c r="A320" s="730" t="s">
        <v>902</v>
      </c>
      <c r="B320" s="730" t="s">
        <v>2428</v>
      </c>
      <c r="D320" s="730" t="s">
        <v>2326</v>
      </c>
      <c r="E320" s="730" t="s">
        <v>644</v>
      </c>
    </row>
    <row r="321" spans="1:5">
      <c r="A321" s="730" t="s">
        <v>788</v>
      </c>
      <c r="B321" s="730" t="s">
        <v>2476</v>
      </c>
      <c r="D321" s="730" t="s">
        <v>2327</v>
      </c>
      <c r="E321" s="730" t="s">
        <v>645</v>
      </c>
    </row>
    <row r="322" spans="1:5">
      <c r="A322" s="730" t="s">
        <v>351</v>
      </c>
      <c r="B322" s="730" t="s">
        <v>2027</v>
      </c>
      <c r="D322" s="730" t="s">
        <v>2328</v>
      </c>
      <c r="E322" s="730" t="s">
        <v>646</v>
      </c>
    </row>
    <row r="323" spans="1:5">
      <c r="A323" s="730" t="s">
        <v>586</v>
      </c>
      <c r="B323" s="730" t="s">
        <v>2268</v>
      </c>
      <c r="D323" s="730" t="s">
        <v>2329</v>
      </c>
      <c r="E323" s="730" t="s">
        <v>647</v>
      </c>
    </row>
    <row r="324" spans="1:5">
      <c r="A324" s="730" t="s">
        <v>632</v>
      </c>
      <c r="B324" s="730" t="s">
        <v>2314</v>
      </c>
      <c r="D324" s="730" t="s">
        <v>2330</v>
      </c>
      <c r="E324" s="730" t="s">
        <v>648</v>
      </c>
    </row>
    <row r="325" spans="1:5">
      <c r="A325" s="730" t="s">
        <v>680</v>
      </c>
      <c r="B325" s="730" t="s">
        <v>2362</v>
      </c>
      <c r="D325" s="730" t="s">
        <v>2331</v>
      </c>
      <c r="E325" s="730" t="s">
        <v>649</v>
      </c>
    </row>
    <row r="326" spans="1:5">
      <c r="A326" s="730" t="s">
        <v>747</v>
      </c>
      <c r="B326" s="730" t="s">
        <v>2434</v>
      </c>
      <c r="D326" s="730" t="s">
        <v>2332</v>
      </c>
      <c r="E326" s="730" t="s">
        <v>650</v>
      </c>
    </row>
    <row r="327" spans="1:5">
      <c r="A327" s="730" t="s">
        <v>795</v>
      </c>
      <c r="B327" s="730" t="s">
        <v>2483</v>
      </c>
      <c r="D327" s="730" t="s">
        <v>2333</v>
      </c>
      <c r="E327" s="730" t="s">
        <v>651</v>
      </c>
    </row>
    <row r="328" spans="1:5">
      <c r="A328" s="730" t="s">
        <v>364</v>
      </c>
      <c r="B328" s="730" t="s">
        <v>2040</v>
      </c>
      <c r="D328" s="730" t="s">
        <v>2334</v>
      </c>
      <c r="E328" s="730" t="s">
        <v>652</v>
      </c>
    </row>
    <row r="329" spans="1:5">
      <c r="A329" s="730" t="s">
        <v>640</v>
      </c>
      <c r="B329" s="730" t="s">
        <v>2322</v>
      </c>
      <c r="D329" s="730" t="s">
        <v>2335</v>
      </c>
      <c r="E329" s="730" t="s">
        <v>653</v>
      </c>
    </row>
    <row r="330" spans="1:5">
      <c r="A330" s="730" t="s">
        <v>496</v>
      </c>
      <c r="B330" s="730" t="s">
        <v>2175</v>
      </c>
      <c r="D330" s="730" t="s">
        <v>2336</v>
      </c>
      <c r="E330" s="730" t="s">
        <v>654</v>
      </c>
    </row>
    <row r="331" spans="1:5">
      <c r="A331" s="730" t="s">
        <v>597</v>
      </c>
      <c r="B331" s="730" t="s">
        <v>2279</v>
      </c>
      <c r="D331" s="730" t="s">
        <v>2337</v>
      </c>
      <c r="E331" s="730" t="s">
        <v>655</v>
      </c>
    </row>
    <row r="332" spans="1:5">
      <c r="A332" s="730" t="s">
        <v>759</v>
      </c>
      <c r="B332" s="730" t="s">
        <v>2446</v>
      </c>
      <c r="D332" s="730" t="s">
        <v>2338</v>
      </c>
      <c r="E332" s="730" t="s">
        <v>656</v>
      </c>
    </row>
    <row r="333" spans="1:5">
      <c r="A333" s="730" t="s">
        <v>376</v>
      </c>
      <c r="B333" s="730" t="s">
        <v>2052</v>
      </c>
      <c r="D333" s="730" t="s">
        <v>2339</v>
      </c>
      <c r="E333" s="730" t="s">
        <v>657</v>
      </c>
    </row>
    <row r="334" spans="1:5">
      <c r="A334" s="730" t="s">
        <v>504</v>
      </c>
      <c r="B334" s="730" t="s">
        <v>2183</v>
      </c>
      <c r="D334" s="730" t="s">
        <v>2340</v>
      </c>
      <c r="E334" s="730" t="s">
        <v>658</v>
      </c>
    </row>
    <row r="335" spans="1:5">
      <c r="A335" s="730" t="s">
        <v>383</v>
      </c>
      <c r="B335" s="730" t="s">
        <v>2059</v>
      </c>
      <c r="D335" s="730" t="s">
        <v>2341</v>
      </c>
      <c r="E335" s="730" t="s">
        <v>659</v>
      </c>
    </row>
    <row r="336" spans="1:5">
      <c r="A336" s="730" t="s">
        <v>512</v>
      </c>
      <c r="B336" s="730" t="s">
        <v>2191</v>
      </c>
      <c r="D336" s="730" t="s">
        <v>2342</v>
      </c>
      <c r="E336" s="730" t="s">
        <v>660</v>
      </c>
    </row>
    <row r="337" spans="1:5">
      <c r="A337" s="730" t="s">
        <v>389</v>
      </c>
      <c r="B337" s="730" t="s">
        <v>2066</v>
      </c>
      <c r="D337" s="730" t="s">
        <v>2343</v>
      </c>
      <c r="E337" s="730" t="s">
        <v>661</v>
      </c>
    </row>
    <row r="338" spans="1:5">
      <c r="A338" s="730" t="s">
        <v>706</v>
      </c>
      <c r="B338" s="730" t="s">
        <v>2388</v>
      </c>
      <c r="D338" s="730" t="s">
        <v>2344</v>
      </c>
      <c r="E338" s="730" t="s">
        <v>662</v>
      </c>
    </row>
    <row r="339" spans="1:5">
      <c r="A339" s="730" t="s">
        <v>903</v>
      </c>
      <c r="B339" s="730" t="s">
        <v>2459</v>
      </c>
      <c r="D339" s="730" t="s">
        <v>2345</v>
      </c>
      <c r="E339" s="730" t="s">
        <v>663</v>
      </c>
    </row>
    <row r="340" spans="1:5">
      <c r="A340" s="730" t="s">
        <v>396</v>
      </c>
      <c r="B340" s="730" t="s">
        <v>2073</v>
      </c>
      <c r="D340" s="730" t="s">
        <v>2346</v>
      </c>
      <c r="E340" s="730" t="s">
        <v>664</v>
      </c>
    </row>
    <row r="341" spans="1:5">
      <c r="A341" s="730" t="s">
        <v>713</v>
      </c>
      <c r="B341" s="730" t="s">
        <v>2397</v>
      </c>
      <c r="D341" s="730" t="s">
        <v>2347</v>
      </c>
      <c r="E341" s="730" t="s">
        <v>665</v>
      </c>
    </row>
    <row r="342" spans="1:5">
      <c r="A342" s="730" t="s">
        <v>529</v>
      </c>
      <c r="B342" s="730" t="s">
        <v>2208</v>
      </c>
      <c r="D342" s="730" t="s">
        <v>2348</v>
      </c>
      <c r="E342" s="730" t="s">
        <v>666</v>
      </c>
    </row>
    <row r="343" spans="1:5">
      <c r="A343" s="730" t="s">
        <v>542</v>
      </c>
      <c r="B343" s="730" t="s">
        <v>2221</v>
      </c>
      <c r="D343" s="730" t="s">
        <v>2349</v>
      </c>
      <c r="E343" s="730" t="s">
        <v>667</v>
      </c>
    </row>
    <row r="344" spans="1:5">
      <c r="A344" s="730" t="s">
        <v>338</v>
      </c>
      <c r="B344" s="730" t="s">
        <v>2014</v>
      </c>
      <c r="D344" s="730" t="s">
        <v>2350</v>
      </c>
      <c r="E344" s="730" t="s">
        <v>668</v>
      </c>
    </row>
    <row r="345" spans="1:5">
      <c r="A345" s="730" t="s">
        <v>459</v>
      </c>
      <c r="B345" s="730" t="s">
        <v>2137</v>
      </c>
      <c r="D345" s="730" t="s">
        <v>2351</v>
      </c>
      <c r="E345" s="730" t="s">
        <v>669</v>
      </c>
    </row>
    <row r="346" spans="1:5">
      <c r="A346" s="730" t="s">
        <v>571</v>
      </c>
      <c r="B346" s="730" t="s">
        <v>2253</v>
      </c>
      <c r="D346" s="730" t="s">
        <v>2352</v>
      </c>
      <c r="E346" s="730" t="s">
        <v>670</v>
      </c>
    </row>
    <row r="347" spans="1:5">
      <c r="A347" s="730" t="s">
        <v>728</v>
      </c>
      <c r="B347" s="730" t="s">
        <v>2413</v>
      </c>
      <c r="D347" s="730" t="s">
        <v>2353</v>
      </c>
      <c r="E347" s="730" t="s">
        <v>671</v>
      </c>
    </row>
    <row r="348" spans="1:5">
      <c r="A348" s="730" t="s">
        <v>473</v>
      </c>
      <c r="B348" s="730" t="s">
        <v>2151</v>
      </c>
      <c r="D348" s="730" t="s">
        <v>2354</v>
      </c>
      <c r="E348" s="730" t="s">
        <v>672</v>
      </c>
    </row>
    <row r="349" spans="1:5">
      <c r="A349" s="730" t="s">
        <v>674</v>
      </c>
      <c r="B349" s="730" t="s">
        <v>2356</v>
      </c>
      <c r="D349" s="730" t="s">
        <v>2355</v>
      </c>
      <c r="E349" s="730" t="s">
        <v>673</v>
      </c>
    </row>
    <row r="350" spans="1:5">
      <c r="A350" s="730" t="s">
        <v>789</v>
      </c>
      <c r="B350" s="730" t="s">
        <v>2477</v>
      </c>
      <c r="D350" s="730" t="s">
        <v>2356</v>
      </c>
      <c r="E350" s="730" t="s">
        <v>674</v>
      </c>
    </row>
    <row r="351" spans="1:5">
      <c r="A351" s="730" t="s">
        <v>352</v>
      </c>
      <c r="B351" s="730" t="s">
        <v>2028</v>
      </c>
      <c r="D351" s="730" t="s">
        <v>2357</v>
      </c>
      <c r="E351" s="730" t="s">
        <v>675</v>
      </c>
    </row>
    <row r="352" spans="1:5">
      <c r="A352" s="730" t="s">
        <v>485</v>
      </c>
      <c r="B352" s="730" t="s">
        <v>2164</v>
      </c>
      <c r="D352" s="730" t="s">
        <v>2358</v>
      </c>
      <c r="E352" s="730" t="s">
        <v>676</v>
      </c>
    </row>
    <row r="353" spans="1:5">
      <c r="A353" s="730" t="s">
        <v>587</v>
      </c>
      <c r="B353" s="730" t="s">
        <v>2269</v>
      </c>
      <c r="D353" s="730" t="s">
        <v>2359</v>
      </c>
      <c r="E353" s="730" t="s">
        <v>677</v>
      </c>
    </row>
    <row r="354" spans="1:5">
      <c r="A354" s="730" t="s">
        <v>633</v>
      </c>
      <c r="B354" s="730" t="s">
        <v>2315</v>
      </c>
      <c r="D354" s="730" t="s">
        <v>2360</v>
      </c>
      <c r="E354" s="730" t="s">
        <v>678</v>
      </c>
    </row>
    <row r="355" spans="1:5">
      <c r="A355" s="730" t="s">
        <v>681</v>
      </c>
      <c r="B355" s="730" t="s">
        <v>2363</v>
      </c>
      <c r="D355" s="730" t="s">
        <v>2361</v>
      </c>
      <c r="E355" s="730" t="s">
        <v>679</v>
      </c>
    </row>
    <row r="356" spans="1:5">
      <c r="A356" s="730" t="s">
        <v>748</v>
      </c>
      <c r="B356" s="730" t="s">
        <v>2435</v>
      </c>
      <c r="D356" s="730" t="s">
        <v>2362</v>
      </c>
      <c r="E356" s="730" t="s">
        <v>680</v>
      </c>
    </row>
    <row r="357" spans="1:5">
      <c r="A357" s="730" t="s">
        <v>1910</v>
      </c>
      <c r="B357" s="730" t="s">
        <v>2484</v>
      </c>
      <c r="D357" s="730" t="s">
        <v>2363</v>
      </c>
      <c r="E357" s="730" t="s">
        <v>681</v>
      </c>
    </row>
    <row r="358" spans="1:5">
      <c r="A358" s="730" t="s">
        <v>365</v>
      </c>
      <c r="B358" s="730" t="s">
        <v>2041</v>
      </c>
      <c r="D358" s="730" t="s">
        <v>2364</v>
      </c>
      <c r="E358" s="730" t="s">
        <v>682</v>
      </c>
    </row>
    <row r="359" spans="1:5">
      <c r="A359" s="730" t="s">
        <v>497</v>
      </c>
      <c r="B359" s="730" t="s">
        <v>2176</v>
      </c>
      <c r="D359" s="730" t="s">
        <v>2365</v>
      </c>
      <c r="E359" s="730" t="s">
        <v>683</v>
      </c>
    </row>
    <row r="360" spans="1:5">
      <c r="A360" s="730" t="s">
        <v>598</v>
      </c>
      <c r="B360" s="730" t="s">
        <v>2280</v>
      </c>
      <c r="D360" s="730" t="s">
        <v>2366</v>
      </c>
      <c r="E360" s="730" t="s">
        <v>684</v>
      </c>
    </row>
    <row r="361" spans="1:5">
      <c r="A361" s="730" t="s">
        <v>377</v>
      </c>
      <c r="B361" s="730" t="s">
        <v>2053</v>
      </c>
      <c r="D361" s="730" t="s">
        <v>2367</v>
      </c>
      <c r="E361" s="730" t="s">
        <v>685</v>
      </c>
    </row>
    <row r="362" spans="1:5">
      <c r="A362" s="730" t="s">
        <v>505</v>
      </c>
      <c r="B362" s="730" t="s">
        <v>2184</v>
      </c>
      <c r="D362" s="730" t="s">
        <v>2368</v>
      </c>
      <c r="E362" s="730" t="s">
        <v>686</v>
      </c>
    </row>
    <row r="363" spans="1:5">
      <c r="A363" s="730" t="s">
        <v>899</v>
      </c>
      <c r="B363" s="730" t="s">
        <v>2060</v>
      </c>
      <c r="D363" s="730" t="s">
        <v>2369</v>
      </c>
      <c r="E363" s="730" t="s">
        <v>687</v>
      </c>
    </row>
    <row r="364" spans="1:5">
      <c r="A364" s="730" t="s">
        <v>513</v>
      </c>
      <c r="B364" s="730" t="s">
        <v>2192</v>
      </c>
      <c r="D364" s="730" t="s">
        <v>2370</v>
      </c>
      <c r="E364" s="730" t="s">
        <v>688</v>
      </c>
    </row>
    <row r="365" spans="1:5">
      <c r="A365" s="730" t="s">
        <v>390</v>
      </c>
      <c r="B365" s="730" t="s">
        <v>2067</v>
      </c>
      <c r="D365" s="730" t="s">
        <v>2371</v>
      </c>
      <c r="E365" s="730" t="s">
        <v>689</v>
      </c>
    </row>
    <row r="366" spans="1:5">
      <c r="A366" s="730" t="s">
        <v>707</v>
      </c>
      <c r="B366" s="730" t="s">
        <v>2389</v>
      </c>
      <c r="D366" s="730" t="s">
        <v>2372</v>
      </c>
      <c r="E366" s="730" t="s">
        <v>690</v>
      </c>
    </row>
    <row r="367" spans="1:5">
      <c r="A367" s="730" t="s">
        <v>530</v>
      </c>
      <c r="B367" s="730" t="s">
        <v>2209</v>
      </c>
      <c r="D367" s="730" t="s">
        <v>2373</v>
      </c>
      <c r="E367" s="730" t="s">
        <v>691</v>
      </c>
    </row>
    <row r="368" spans="1:5">
      <c r="A368" s="730" t="s">
        <v>543</v>
      </c>
      <c r="B368" s="730" t="s">
        <v>2222</v>
      </c>
      <c r="D368" s="730" t="s">
        <v>2374</v>
      </c>
      <c r="E368" s="730" t="s">
        <v>692</v>
      </c>
    </row>
    <row r="369" spans="1:5">
      <c r="A369" s="730" t="s">
        <v>339</v>
      </c>
      <c r="B369" s="730" t="s">
        <v>2015</v>
      </c>
      <c r="D369" s="730" t="s">
        <v>2375</v>
      </c>
      <c r="E369" s="730" t="s">
        <v>693</v>
      </c>
    </row>
    <row r="370" spans="1:5">
      <c r="A370" s="730" t="s">
        <v>460</v>
      </c>
      <c r="B370" s="730" t="s">
        <v>2138</v>
      </c>
      <c r="D370" s="730" t="s">
        <v>2376</v>
      </c>
      <c r="E370" s="730" t="s">
        <v>694</v>
      </c>
    </row>
    <row r="371" spans="1:5">
      <c r="A371" s="730" t="s">
        <v>572</v>
      </c>
      <c r="B371" s="730" t="s">
        <v>2254</v>
      </c>
      <c r="D371" s="730" t="s">
        <v>2377</v>
      </c>
      <c r="E371" s="730" t="s">
        <v>695</v>
      </c>
    </row>
    <row r="372" spans="1:5">
      <c r="A372" s="730" t="s">
        <v>729</v>
      </c>
      <c r="B372" s="730" t="s">
        <v>2414</v>
      </c>
      <c r="D372" s="730" t="s">
        <v>2378</v>
      </c>
      <c r="E372" s="730" t="s">
        <v>696</v>
      </c>
    </row>
    <row r="373" spans="1:5">
      <c r="A373" s="730" t="s">
        <v>474</v>
      </c>
      <c r="B373" s="730" t="s">
        <v>2152</v>
      </c>
      <c r="D373" s="730" t="s">
        <v>2379</v>
      </c>
      <c r="E373" s="730" t="s">
        <v>697</v>
      </c>
    </row>
    <row r="374" spans="1:5">
      <c r="A374" s="730" t="s">
        <v>353</v>
      </c>
      <c r="B374" s="730" t="s">
        <v>2029</v>
      </c>
      <c r="D374" s="730" t="s">
        <v>2380</v>
      </c>
      <c r="E374" s="730" t="s">
        <v>698</v>
      </c>
    </row>
    <row r="375" spans="1:5">
      <c r="A375" s="730" t="s">
        <v>486</v>
      </c>
      <c r="B375" s="730" t="s">
        <v>2165</v>
      </c>
      <c r="D375" s="730" t="s">
        <v>2381</v>
      </c>
      <c r="E375" s="730" t="s">
        <v>699</v>
      </c>
    </row>
    <row r="376" spans="1:5">
      <c r="A376" s="730" t="s">
        <v>588</v>
      </c>
      <c r="B376" s="730" t="s">
        <v>2270</v>
      </c>
      <c r="D376" s="730" t="s">
        <v>2382</v>
      </c>
      <c r="E376" s="730" t="s">
        <v>700</v>
      </c>
    </row>
    <row r="377" spans="1:5">
      <c r="A377" s="730" t="s">
        <v>634</v>
      </c>
      <c r="B377" s="730" t="s">
        <v>2316</v>
      </c>
      <c r="D377" s="730" t="s">
        <v>2383</v>
      </c>
      <c r="E377" s="730" t="s">
        <v>701</v>
      </c>
    </row>
    <row r="378" spans="1:5">
      <c r="A378" s="730" t="s">
        <v>682</v>
      </c>
      <c r="B378" s="730" t="s">
        <v>2364</v>
      </c>
      <c r="D378" s="730" t="s">
        <v>2384</v>
      </c>
      <c r="E378" s="730" t="s">
        <v>702</v>
      </c>
    </row>
    <row r="379" spans="1:5">
      <c r="A379" s="730" t="s">
        <v>749</v>
      </c>
      <c r="B379" s="730" t="s">
        <v>2436</v>
      </c>
      <c r="D379" s="730" t="s">
        <v>2385</v>
      </c>
      <c r="E379" s="730" t="s">
        <v>703</v>
      </c>
    </row>
    <row r="380" spans="1:5">
      <c r="A380" s="730" t="s">
        <v>366</v>
      </c>
      <c r="B380" s="730" t="s">
        <v>2042</v>
      </c>
      <c r="D380" s="730" t="s">
        <v>2386</v>
      </c>
      <c r="E380" s="730" t="s">
        <v>704</v>
      </c>
    </row>
    <row r="381" spans="1:5">
      <c r="A381" s="730" t="s">
        <v>498</v>
      </c>
      <c r="B381" s="730" t="s">
        <v>2177</v>
      </c>
      <c r="D381" s="730" t="s">
        <v>2387</v>
      </c>
      <c r="E381" s="730" t="s">
        <v>705</v>
      </c>
    </row>
    <row r="382" spans="1:5">
      <c r="A382" s="730" t="s">
        <v>599</v>
      </c>
      <c r="B382" s="730" t="s">
        <v>2281</v>
      </c>
      <c r="D382" s="730" t="s">
        <v>2388</v>
      </c>
      <c r="E382" s="730" t="s">
        <v>706</v>
      </c>
    </row>
    <row r="383" spans="1:5">
      <c r="A383" s="730" t="s">
        <v>506</v>
      </c>
      <c r="B383" s="730" t="s">
        <v>2185</v>
      </c>
      <c r="D383" s="730" t="s">
        <v>2389</v>
      </c>
      <c r="E383" s="730" t="s">
        <v>707</v>
      </c>
    </row>
    <row r="384" spans="1:5">
      <c r="A384" s="732" t="s">
        <v>2391</v>
      </c>
      <c r="B384" s="732" t="s">
        <v>2390</v>
      </c>
      <c r="D384" s="732" t="s">
        <v>2390</v>
      </c>
      <c r="E384" s="732" t="s">
        <v>2391</v>
      </c>
    </row>
    <row r="385" spans="1:5">
      <c r="A385" s="730" t="s">
        <v>531</v>
      </c>
      <c r="B385" s="730" t="s">
        <v>2210</v>
      </c>
      <c r="D385" s="730" t="s">
        <v>2392</v>
      </c>
      <c r="E385" s="730" t="s">
        <v>708</v>
      </c>
    </row>
    <row r="386" spans="1:5">
      <c r="A386" s="730" t="s">
        <v>340</v>
      </c>
      <c r="B386" s="730" t="s">
        <v>2016</v>
      </c>
      <c r="D386" s="730" t="s">
        <v>2393</v>
      </c>
      <c r="E386" s="730" t="s">
        <v>709</v>
      </c>
    </row>
    <row r="387" spans="1:5">
      <c r="A387" s="730" t="s">
        <v>461</v>
      </c>
      <c r="B387" s="730" t="s">
        <v>2139</v>
      </c>
      <c r="D387" s="730" t="s">
        <v>2394</v>
      </c>
      <c r="E387" s="730" t="s">
        <v>710</v>
      </c>
    </row>
    <row r="388" spans="1:5">
      <c r="A388" s="730" t="s">
        <v>573</v>
      </c>
      <c r="B388" s="730" t="s">
        <v>2255</v>
      </c>
      <c r="D388" s="730" t="s">
        <v>2395</v>
      </c>
      <c r="E388" s="730" t="s">
        <v>711</v>
      </c>
    </row>
    <row r="389" spans="1:5">
      <c r="A389" s="730" t="s">
        <v>730</v>
      </c>
      <c r="B389" s="730" t="s">
        <v>2415</v>
      </c>
      <c r="D389" s="730" t="s">
        <v>2396</v>
      </c>
      <c r="E389" s="730" t="s">
        <v>712</v>
      </c>
    </row>
    <row r="390" spans="1:5">
      <c r="A390" s="730" t="s">
        <v>475</v>
      </c>
      <c r="B390" s="730" t="s">
        <v>2153</v>
      </c>
      <c r="D390" s="730" t="s">
        <v>2397</v>
      </c>
      <c r="E390" s="730" t="s">
        <v>713</v>
      </c>
    </row>
    <row r="391" spans="1:5">
      <c r="A391" s="730" t="s">
        <v>354</v>
      </c>
      <c r="B391" s="730" t="s">
        <v>2030</v>
      </c>
      <c r="D391" s="730" t="s">
        <v>2398</v>
      </c>
      <c r="E391" s="730" t="s">
        <v>714</v>
      </c>
    </row>
    <row r="392" spans="1:5">
      <c r="A392" s="730" t="s">
        <v>683</v>
      </c>
      <c r="B392" s="730" t="s">
        <v>2365</v>
      </c>
      <c r="D392" s="730" t="s">
        <v>2399</v>
      </c>
      <c r="E392" s="730" t="s">
        <v>715</v>
      </c>
    </row>
    <row r="393" spans="1:5">
      <c r="A393" s="730" t="s">
        <v>750</v>
      </c>
      <c r="B393" s="730" t="s">
        <v>2437</v>
      </c>
      <c r="D393" s="730" t="s">
        <v>2400</v>
      </c>
      <c r="E393" s="730" t="s">
        <v>716</v>
      </c>
    </row>
    <row r="394" spans="1:5">
      <c r="A394" s="730" t="s">
        <v>367</v>
      </c>
      <c r="B394" s="730" t="s">
        <v>2043</v>
      </c>
      <c r="D394" s="730" t="s">
        <v>2401</v>
      </c>
      <c r="E394" s="730" t="s">
        <v>717</v>
      </c>
    </row>
    <row r="395" spans="1:5">
      <c r="A395" s="730" t="s">
        <v>600</v>
      </c>
      <c r="B395" s="730" t="s">
        <v>2282</v>
      </c>
      <c r="D395" s="730" t="s">
        <v>2402</v>
      </c>
      <c r="E395" s="730" t="s">
        <v>718</v>
      </c>
    </row>
    <row r="396" spans="1:5">
      <c r="A396" s="730" t="s">
        <v>532</v>
      </c>
      <c r="B396" s="730" t="s">
        <v>2211</v>
      </c>
      <c r="D396" s="730" t="s">
        <v>2403</v>
      </c>
      <c r="E396" s="730" t="s">
        <v>719</v>
      </c>
    </row>
    <row r="397" spans="1:5">
      <c r="A397" s="730" t="s">
        <v>341</v>
      </c>
      <c r="B397" s="730" t="s">
        <v>2017</v>
      </c>
      <c r="D397" s="730" t="s">
        <v>2404</v>
      </c>
      <c r="E397" s="730" t="s">
        <v>720</v>
      </c>
    </row>
    <row r="398" spans="1:5">
      <c r="A398" s="730" t="s">
        <v>462</v>
      </c>
      <c r="B398" s="730" t="s">
        <v>2140</v>
      </c>
      <c r="D398" s="730" t="s">
        <v>2405</v>
      </c>
      <c r="E398" s="730" t="s">
        <v>721</v>
      </c>
    </row>
    <row r="399" spans="1:5">
      <c r="A399" s="730" t="s">
        <v>574</v>
      </c>
      <c r="B399" s="730" t="s">
        <v>2256</v>
      </c>
      <c r="D399" s="730" t="s">
        <v>2406</v>
      </c>
      <c r="E399" s="730" t="s">
        <v>1739</v>
      </c>
    </row>
    <row r="400" spans="1:5">
      <c r="A400" s="730" t="s">
        <v>1672</v>
      </c>
      <c r="B400" s="730" t="s">
        <v>2416</v>
      </c>
      <c r="D400" s="730" t="s">
        <v>2407</v>
      </c>
      <c r="E400" s="730" t="s">
        <v>722</v>
      </c>
    </row>
    <row r="401" spans="1:5">
      <c r="A401" s="730" t="s">
        <v>476</v>
      </c>
      <c r="B401" s="730" t="s">
        <v>2154</v>
      </c>
      <c r="D401" s="730" t="s">
        <v>2408</v>
      </c>
      <c r="E401" s="730" t="s">
        <v>723</v>
      </c>
    </row>
    <row r="402" spans="1:5">
      <c r="A402" s="730" t="s">
        <v>355</v>
      </c>
      <c r="B402" s="730" t="s">
        <v>2031</v>
      </c>
      <c r="D402" s="730" t="s">
        <v>2409</v>
      </c>
      <c r="E402" s="730" t="s">
        <v>724</v>
      </c>
    </row>
    <row r="403" spans="1:5">
      <c r="A403" s="730" t="s">
        <v>601</v>
      </c>
      <c r="B403" s="730" t="s">
        <v>2283</v>
      </c>
      <c r="D403" s="730" t="s">
        <v>2410</v>
      </c>
      <c r="E403" s="730" t="s">
        <v>725</v>
      </c>
    </row>
    <row r="404" spans="1:5">
      <c r="A404" s="730" t="s">
        <v>533</v>
      </c>
      <c r="B404" s="730" t="s">
        <v>2212</v>
      </c>
      <c r="D404" s="730" t="s">
        <v>2411</v>
      </c>
      <c r="E404" s="730" t="s">
        <v>726</v>
      </c>
    </row>
    <row r="405" spans="1:5">
      <c r="A405" s="730" t="s">
        <v>342</v>
      </c>
      <c r="B405" s="730" t="s">
        <v>2018</v>
      </c>
      <c r="D405" s="730" t="s">
        <v>2412</v>
      </c>
      <c r="E405" s="730" t="s">
        <v>727</v>
      </c>
    </row>
    <row r="406" spans="1:5">
      <c r="A406" s="730" t="s">
        <v>463</v>
      </c>
      <c r="B406" s="730" t="s">
        <v>2141</v>
      </c>
      <c r="D406" s="730" t="s">
        <v>2413</v>
      </c>
      <c r="E406" s="730" t="s">
        <v>728</v>
      </c>
    </row>
    <row r="407" spans="1:5">
      <c r="A407" s="730" t="s">
        <v>575</v>
      </c>
      <c r="B407" s="730" t="s">
        <v>2257</v>
      </c>
      <c r="D407" s="730" t="s">
        <v>2414</v>
      </c>
      <c r="E407" s="730" t="s">
        <v>729</v>
      </c>
    </row>
    <row r="408" spans="1:5">
      <c r="A408" s="730" t="s">
        <v>731</v>
      </c>
      <c r="B408" s="730" t="s">
        <v>2417</v>
      </c>
      <c r="D408" s="730" t="s">
        <v>2415</v>
      </c>
      <c r="E408" s="730" t="s">
        <v>730</v>
      </c>
    </row>
    <row r="409" spans="1:5">
      <c r="A409" s="730" t="s">
        <v>477</v>
      </c>
      <c r="B409" s="730" t="s">
        <v>2155</v>
      </c>
      <c r="D409" s="730" t="s">
        <v>2416</v>
      </c>
      <c r="E409" s="730" t="s">
        <v>1672</v>
      </c>
    </row>
    <row r="410" spans="1:5">
      <c r="A410" s="730" t="s">
        <v>356</v>
      </c>
      <c r="B410" s="730" t="s">
        <v>2032</v>
      </c>
      <c r="D410" s="730" t="s">
        <v>2417</v>
      </c>
      <c r="E410" s="730" t="s">
        <v>731</v>
      </c>
    </row>
    <row r="411" spans="1:5">
      <c r="A411" s="730" t="s">
        <v>602</v>
      </c>
      <c r="B411" s="730" t="s">
        <v>2284</v>
      </c>
      <c r="D411" s="730" t="s">
        <v>2418</v>
      </c>
      <c r="E411" s="730" t="s">
        <v>732</v>
      </c>
    </row>
    <row r="412" spans="1:5">
      <c r="A412" s="730" t="s">
        <v>534</v>
      </c>
      <c r="B412" s="730" t="s">
        <v>2213</v>
      </c>
      <c r="D412" s="730" t="s">
        <v>2419</v>
      </c>
      <c r="E412" s="730" t="s">
        <v>733</v>
      </c>
    </row>
    <row r="413" spans="1:5">
      <c r="A413" s="730" t="s">
        <v>464</v>
      </c>
      <c r="B413" s="730" t="s">
        <v>2142</v>
      </c>
      <c r="D413" s="730" t="s">
        <v>2420</v>
      </c>
      <c r="E413" s="730" t="s">
        <v>734</v>
      </c>
    </row>
    <row r="414" spans="1:5">
      <c r="A414" s="730" t="s">
        <v>732</v>
      </c>
      <c r="B414" s="730" t="s">
        <v>2418</v>
      </c>
      <c r="D414" s="730" t="s">
        <v>2421</v>
      </c>
      <c r="E414" s="730" t="s">
        <v>735</v>
      </c>
    </row>
    <row r="415" spans="1:5">
      <c r="A415" s="730" t="s">
        <v>478</v>
      </c>
      <c r="B415" s="730" t="s">
        <v>2156</v>
      </c>
      <c r="D415" s="730" t="s">
        <v>2422</v>
      </c>
      <c r="E415" s="730" t="s">
        <v>736</v>
      </c>
    </row>
    <row r="416" spans="1:5">
      <c r="A416" s="730" t="s">
        <v>357</v>
      </c>
      <c r="B416" s="730" t="s">
        <v>2033</v>
      </c>
      <c r="D416" s="730" t="s">
        <v>2423</v>
      </c>
      <c r="E416" s="730" t="s">
        <v>737</v>
      </c>
    </row>
    <row r="417" spans="1:5">
      <c r="A417" s="730" t="s">
        <v>603</v>
      </c>
      <c r="B417" s="730" t="s">
        <v>2285</v>
      </c>
      <c r="D417" s="730" t="s">
        <v>2424</v>
      </c>
      <c r="E417" s="730" t="s">
        <v>738</v>
      </c>
    </row>
    <row r="418" spans="1:5">
      <c r="A418" s="730" t="s">
        <v>535</v>
      </c>
      <c r="B418" s="730" t="s">
        <v>2214</v>
      </c>
      <c r="D418" s="730" t="s">
        <v>2425</v>
      </c>
      <c r="E418" s="730" t="s">
        <v>739</v>
      </c>
    </row>
    <row r="419" spans="1:5">
      <c r="A419" s="730" t="s">
        <v>465</v>
      </c>
      <c r="B419" s="730" t="s">
        <v>2143</v>
      </c>
      <c r="D419" s="730" t="s">
        <v>2426</v>
      </c>
      <c r="E419" s="730" t="s">
        <v>740</v>
      </c>
    </row>
    <row r="420" spans="1:5">
      <c r="A420" s="730" t="s">
        <v>733</v>
      </c>
      <c r="B420" s="730" t="s">
        <v>2419</v>
      </c>
      <c r="D420" s="730" t="s">
        <v>2427</v>
      </c>
      <c r="E420" s="730" t="s">
        <v>741</v>
      </c>
    </row>
    <row r="421" spans="1:5">
      <c r="A421" s="730" t="s">
        <v>479</v>
      </c>
      <c r="B421" s="730" t="s">
        <v>2157</v>
      </c>
      <c r="D421" s="730" t="s">
        <v>2428</v>
      </c>
      <c r="E421" s="730" t="s">
        <v>902</v>
      </c>
    </row>
    <row r="422" spans="1:5">
      <c r="A422" s="730" t="s">
        <v>358</v>
      </c>
      <c r="B422" s="730" t="s">
        <v>2034</v>
      </c>
      <c r="D422" s="730" t="s">
        <v>2429</v>
      </c>
      <c r="E422" s="730" t="s">
        <v>742</v>
      </c>
    </row>
    <row r="423" spans="1:5">
      <c r="A423" s="730" t="s">
        <v>536</v>
      </c>
      <c r="B423" s="730" t="s">
        <v>2215</v>
      </c>
      <c r="D423" s="730" t="s">
        <v>2430</v>
      </c>
      <c r="E423" s="730" t="s">
        <v>743</v>
      </c>
    </row>
    <row r="424" spans="1:5">
      <c r="A424" s="730" t="s">
        <v>466</v>
      </c>
      <c r="B424" s="730" t="s">
        <v>2144</v>
      </c>
      <c r="D424" s="730" t="s">
        <v>2431</v>
      </c>
      <c r="E424" s="730" t="s">
        <v>744</v>
      </c>
    </row>
    <row r="425" spans="1:5">
      <c r="A425" s="730" t="s">
        <v>734</v>
      </c>
      <c r="B425" s="730" t="s">
        <v>2420</v>
      </c>
      <c r="D425" s="730" t="s">
        <v>2432</v>
      </c>
      <c r="E425" s="730" t="s">
        <v>745</v>
      </c>
    </row>
    <row r="426" spans="1:5">
      <c r="A426" s="730" t="s">
        <v>901</v>
      </c>
      <c r="B426" s="730" t="s">
        <v>2158</v>
      </c>
      <c r="D426" s="730" t="s">
        <v>2433</v>
      </c>
      <c r="E426" s="730" t="s">
        <v>746</v>
      </c>
    </row>
    <row r="427" spans="1:5">
      <c r="A427" s="730" t="s">
        <v>735</v>
      </c>
      <c r="B427" s="730" t="s">
        <v>2421</v>
      </c>
      <c r="D427" s="730" t="s">
        <v>2434</v>
      </c>
      <c r="E427" s="730" t="s">
        <v>747</v>
      </c>
    </row>
    <row r="428" spans="1:5">
      <c r="A428" s="730" t="s">
        <v>736</v>
      </c>
      <c r="B428" s="730" t="s">
        <v>2422</v>
      </c>
      <c r="D428" s="730" t="s">
        <v>2435</v>
      </c>
      <c r="E428" s="730" t="s">
        <v>748</v>
      </c>
    </row>
    <row r="429" spans="1:5">
      <c r="A429" s="730" t="s">
        <v>412</v>
      </c>
      <c r="B429" s="730" t="s">
        <v>2089</v>
      </c>
      <c r="D429" s="730" t="s">
        <v>2436</v>
      </c>
      <c r="E429" s="730" t="s">
        <v>749</v>
      </c>
    </row>
    <row r="430" spans="1:5">
      <c r="A430" s="730" t="s">
        <v>413</v>
      </c>
      <c r="B430" s="730" t="s">
        <v>2090</v>
      </c>
      <c r="D430" s="730" t="s">
        <v>2437</v>
      </c>
      <c r="E430" s="730" t="s">
        <v>750</v>
      </c>
    </row>
    <row r="431" spans="1:5">
      <c r="A431" s="730" t="s">
        <v>414</v>
      </c>
      <c r="B431" s="730" t="s">
        <v>2091</v>
      </c>
      <c r="D431" s="730" t="s">
        <v>2438</v>
      </c>
      <c r="E431" s="730" t="s">
        <v>751</v>
      </c>
    </row>
    <row r="432" spans="1:5">
      <c r="A432" s="730" t="s">
        <v>415</v>
      </c>
      <c r="B432" s="730" t="s">
        <v>2092</v>
      </c>
      <c r="D432" s="730" t="s">
        <v>2439</v>
      </c>
      <c r="E432" s="730" t="s">
        <v>752</v>
      </c>
    </row>
    <row r="433" spans="1:5">
      <c r="A433" s="730" t="s">
        <v>416</v>
      </c>
      <c r="B433" s="730" t="s">
        <v>2093</v>
      </c>
      <c r="D433" s="730" t="s">
        <v>2440</v>
      </c>
      <c r="E433" s="730" t="s">
        <v>753</v>
      </c>
    </row>
    <row r="434" spans="1:5">
      <c r="A434" s="730" t="s">
        <v>417</v>
      </c>
      <c r="B434" s="730" t="s">
        <v>2094</v>
      </c>
      <c r="D434" s="730" t="s">
        <v>2441</v>
      </c>
      <c r="E434" s="730" t="s">
        <v>754</v>
      </c>
    </row>
    <row r="435" spans="1:5">
      <c r="A435" s="730" t="s">
        <v>418</v>
      </c>
      <c r="B435" s="730" t="s">
        <v>2095</v>
      </c>
      <c r="D435" s="730" t="s">
        <v>2442</v>
      </c>
      <c r="E435" s="730" t="s">
        <v>755</v>
      </c>
    </row>
    <row r="436" spans="1:5">
      <c r="A436" s="730" t="s">
        <v>419</v>
      </c>
      <c r="B436" s="730" t="s">
        <v>2096</v>
      </c>
      <c r="D436" s="730" t="s">
        <v>2443</v>
      </c>
      <c r="E436" s="730" t="s">
        <v>756</v>
      </c>
    </row>
    <row r="437" spans="1:5">
      <c r="A437" s="730" t="s">
        <v>420</v>
      </c>
      <c r="B437" s="730" t="s">
        <v>2097</v>
      </c>
      <c r="D437" s="730" t="s">
        <v>2444</v>
      </c>
      <c r="E437" s="730" t="s">
        <v>757</v>
      </c>
    </row>
    <row r="438" spans="1:5">
      <c r="A438" s="730" t="s">
        <v>421</v>
      </c>
      <c r="B438" s="730" t="s">
        <v>2098</v>
      </c>
      <c r="D438" s="730" t="s">
        <v>2445</v>
      </c>
      <c r="E438" s="730" t="s">
        <v>758</v>
      </c>
    </row>
    <row r="439" spans="1:5">
      <c r="A439" s="730" t="s">
        <v>422</v>
      </c>
      <c r="B439" s="730" t="s">
        <v>2099</v>
      </c>
      <c r="D439" s="730" t="s">
        <v>2446</v>
      </c>
      <c r="E439" s="730" t="s">
        <v>759</v>
      </c>
    </row>
    <row r="440" spans="1:5">
      <c r="A440" s="730" t="s">
        <v>423</v>
      </c>
      <c r="B440" s="730" t="s">
        <v>2100</v>
      </c>
      <c r="D440" s="730" t="s">
        <v>2447</v>
      </c>
      <c r="E440" s="730" t="s">
        <v>760</v>
      </c>
    </row>
    <row r="441" spans="1:5">
      <c r="A441" s="730" t="s">
        <v>424</v>
      </c>
      <c r="B441" s="730" t="s">
        <v>2101</v>
      </c>
      <c r="D441" s="730" t="s">
        <v>2448</v>
      </c>
      <c r="E441" s="730" t="s">
        <v>761</v>
      </c>
    </row>
    <row r="442" spans="1:5">
      <c r="A442" s="730" t="s">
        <v>425</v>
      </c>
      <c r="B442" s="730" t="s">
        <v>2102</v>
      </c>
      <c r="D442" s="730" t="s">
        <v>2449</v>
      </c>
      <c r="E442" s="730" t="s">
        <v>762</v>
      </c>
    </row>
    <row r="443" spans="1:5">
      <c r="A443" s="730" t="s">
        <v>426</v>
      </c>
      <c r="B443" s="730" t="s">
        <v>2103</v>
      </c>
      <c r="D443" s="730" t="s">
        <v>2450</v>
      </c>
      <c r="E443" s="730" t="s">
        <v>763</v>
      </c>
    </row>
    <row r="444" spans="1:5">
      <c r="A444" s="730" t="s">
        <v>427</v>
      </c>
      <c r="B444" s="730" t="s">
        <v>2104</v>
      </c>
      <c r="D444" s="730" t="s">
        <v>2451</v>
      </c>
      <c r="E444" s="730" t="s">
        <v>764</v>
      </c>
    </row>
    <row r="445" spans="1:5">
      <c r="A445" s="730" t="s">
        <v>428</v>
      </c>
      <c r="B445" s="730" t="s">
        <v>2105</v>
      </c>
      <c r="D445" s="730" t="s">
        <v>2452</v>
      </c>
      <c r="E445" s="730" t="s">
        <v>765</v>
      </c>
    </row>
    <row r="446" spans="1:5">
      <c r="A446" s="730" t="s">
        <v>429</v>
      </c>
      <c r="B446" s="730" t="s">
        <v>2106</v>
      </c>
      <c r="D446" s="730" t="s">
        <v>2453</v>
      </c>
      <c r="E446" s="730" t="s">
        <v>766</v>
      </c>
    </row>
    <row r="447" spans="1:5">
      <c r="A447" s="730" t="s">
        <v>430</v>
      </c>
      <c r="B447" s="730" t="s">
        <v>2107</v>
      </c>
      <c r="D447" s="730" t="s">
        <v>2454</v>
      </c>
      <c r="E447" s="730" t="s">
        <v>767</v>
      </c>
    </row>
    <row r="448" spans="1:5">
      <c r="A448" s="730" t="s">
        <v>431</v>
      </c>
      <c r="B448" s="730" t="s">
        <v>2108</v>
      </c>
      <c r="D448" s="730" t="s">
        <v>2455</v>
      </c>
      <c r="E448" s="730" t="s">
        <v>768</v>
      </c>
    </row>
    <row r="449" spans="1:5">
      <c r="A449" s="730" t="s">
        <v>432</v>
      </c>
      <c r="B449" s="730" t="s">
        <v>2109</v>
      </c>
      <c r="D449" s="730" t="s">
        <v>2456</v>
      </c>
      <c r="E449" s="730" t="s">
        <v>769</v>
      </c>
    </row>
    <row r="450" spans="1:5">
      <c r="A450" s="730" t="s">
        <v>433</v>
      </c>
      <c r="B450" s="730" t="s">
        <v>2110</v>
      </c>
      <c r="D450" s="730" t="s">
        <v>2457</v>
      </c>
      <c r="E450" s="730" t="s">
        <v>770</v>
      </c>
    </row>
    <row r="451" spans="1:5">
      <c r="A451" s="730" t="s">
        <v>434</v>
      </c>
      <c r="B451" s="730" t="s">
        <v>2111</v>
      </c>
      <c r="D451" s="730" t="s">
        <v>2458</v>
      </c>
      <c r="E451" s="730" t="s">
        <v>771</v>
      </c>
    </row>
    <row r="452" spans="1:5">
      <c r="A452" s="730" t="s">
        <v>435</v>
      </c>
      <c r="B452" s="730" t="s">
        <v>2112</v>
      </c>
      <c r="D452" s="730" t="s">
        <v>2459</v>
      </c>
      <c r="E452" s="730" t="s">
        <v>903</v>
      </c>
    </row>
    <row r="453" spans="1:5">
      <c r="A453" s="730" t="s">
        <v>436</v>
      </c>
      <c r="B453" s="730" t="s">
        <v>2113</v>
      </c>
      <c r="D453" s="730" t="s">
        <v>2460</v>
      </c>
      <c r="E453" s="730" t="s">
        <v>772</v>
      </c>
    </row>
    <row r="454" spans="1:5">
      <c r="A454" s="730" t="s">
        <v>437</v>
      </c>
      <c r="B454" s="730" t="s">
        <v>2114</v>
      </c>
      <c r="D454" s="730" t="s">
        <v>2461</v>
      </c>
      <c r="E454" s="730" t="s">
        <v>773</v>
      </c>
    </row>
    <row r="455" spans="1:5">
      <c r="A455" s="730" t="s">
        <v>438</v>
      </c>
      <c r="B455" s="730" t="s">
        <v>2115</v>
      </c>
      <c r="D455" s="730" t="s">
        <v>2462</v>
      </c>
      <c r="E455" s="730" t="s">
        <v>774</v>
      </c>
    </row>
    <row r="456" spans="1:5">
      <c r="A456" s="730" t="s">
        <v>439</v>
      </c>
      <c r="B456" s="730" t="s">
        <v>2116</v>
      </c>
      <c r="D456" s="730" t="s">
        <v>2463</v>
      </c>
      <c r="E456" s="730" t="s">
        <v>775</v>
      </c>
    </row>
    <row r="457" spans="1:5">
      <c r="A457" s="730" t="s">
        <v>440</v>
      </c>
      <c r="B457" s="730" t="s">
        <v>2117</v>
      </c>
      <c r="D457" s="730" t="s">
        <v>2464</v>
      </c>
      <c r="E457" s="730" t="s">
        <v>776</v>
      </c>
    </row>
    <row r="458" spans="1:5">
      <c r="A458" s="730" t="s">
        <v>441</v>
      </c>
      <c r="B458" s="730" t="s">
        <v>2118</v>
      </c>
      <c r="D458" s="730" t="s">
        <v>2465</v>
      </c>
      <c r="E458" s="730" t="s">
        <v>777</v>
      </c>
    </row>
    <row r="459" spans="1:5">
      <c r="A459" s="730" t="s">
        <v>442</v>
      </c>
      <c r="B459" s="730" t="s">
        <v>2119</v>
      </c>
      <c r="D459" s="730" t="s">
        <v>2466</v>
      </c>
      <c r="E459" s="730" t="s">
        <v>778</v>
      </c>
    </row>
    <row r="460" spans="1:5">
      <c r="A460" s="730" t="s">
        <v>443</v>
      </c>
      <c r="B460" s="730" t="s">
        <v>2120</v>
      </c>
      <c r="D460" s="730" t="s">
        <v>2467</v>
      </c>
      <c r="E460" s="730" t="s">
        <v>779</v>
      </c>
    </row>
    <row r="461" spans="1:5">
      <c r="A461" s="730" t="s">
        <v>444</v>
      </c>
      <c r="B461" s="730" t="s">
        <v>2121</v>
      </c>
      <c r="D461" s="730" t="s">
        <v>2468</v>
      </c>
      <c r="E461" s="730" t="s">
        <v>780</v>
      </c>
    </row>
    <row r="462" spans="1:5">
      <c r="A462" s="730" t="s">
        <v>445</v>
      </c>
      <c r="B462" s="730" t="s">
        <v>2122</v>
      </c>
      <c r="D462" s="730" t="s">
        <v>2469</v>
      </c>
      <c r="E462" s="730" t="s">
        <v>781</v>
      </c>
    </row>
    <row r="463" spans="1:5">
      <c r="A463" s="730" t="s">
        <v>446</v>
      </c>
      <c r="B463" s="730" t="s">
        <v>2123</v>
      </c>
      <c r="D463" s="730" t="s">
        <v>2470</v>
      </c>
      <c r="E463" s="730" t="s">
        <v>782</v>
      </c>
    </row>
    <row r="464" spans="1:5">
      <c r="A464" s="730" t="s">
        <v>900</v>
      </c>
      <c r="B464" s="730" t="s">
        <v>2124</v>
      </c>
      <c r="D464" s="730" t="s">
        <v>2471</v>
      </c>
      <c r="E464" s="730" t="s">
        <v>783</v>
      </c>
    </row>
    <row r="465" spans="1:5">
      <c r="A465" s="730" t="s">
        <v>447</v>
      </c>
      <c r="B465" s="730" t="s">
        <v>2125</v>
      </c>
      <c r="D465" s="730" t="s">
        <v>2472</v>
      </c>
      <c r="E465" s="730" t="s">
        <v>784</v>
      </c>
    </row>
    <row r="466" spans="1:5">
      <c r="A466" s="730" t="s">
        <v>448</v>
      </c>
      <c r="B466" s="730" t="s">
        <v>2126</v>
      </c>
      <c r="D466" s="730" t="s">
        <v>2473</v>
      </c>
      <c r="E466" s="730" t="s">
        <v>785</v>
      </c>
    </row>
    <row r="467" spans="1:5">
      <c r="A467" s="730" t="s">
        <v>449</v>
      </c>
      <c r="B467" s="730" t="s">
        <v>2127</v>
      </c>
      <c r="D467" s="730" t="s">
        <v>2474</v>
      </c>
      <c r="E467" s="730" t="s">
        <v>786</v>
      </c>
    </row>
    <row r="468" spans="1:5">
      <c r="A468" s="730" t="s">
        <v>450</v>
      </c>
      <c r="B468" s="730" t="s">
        <v>2128</v>
      </c>
      <c r="D468" s="730" t="s">
        <v>2475</v>
      </c>
      <c r="E468" s="730" t="s">
        <v>787</v>
      </c>
    </row>
    <row r="469" spans="1:5">
      <c r="A469" s="730" t="s">
        <v>451</v>
      </c>
      <c r="B469" s="730" t="s">
        <v>2129</v>
      </c>
      <c r="D469" s="730" t="s">
        <v>2476</v>
      </c>
      <c r="E469" s="730" t="s">
        <v>788</v>
      </c>
    </row>
    <row r="470" spans="1:5">
      <c r="A470" s="730" t="s">
        <v>452</v>
      </c>
      <c r="B470" s="730" t="s">
        <v>2130</v>
      </c>
      <c r="D470" s="730" t="s">
        <v>2477</v>
      </c>
      <c r="E470" s="730" t="s">
        <v>789</v>
      </c>
    </row>
    <row r="471" spans="1:5">
      <c r="A471" s="730" t="s">
        <v>549</v>
      </c>
      <c r="B471" s="730" t="s">
        <v>2228</v>
      </c>
      <c r="D471" s="730" t="s">
        <v>2478</v>
      </c>
      <c r="E471" s="730" t="s">
        <v>790</v>
      </c>
    </row>
    <row r="472" spans="1:5">
      <c r="A472" s="730" t="s">
        <v>550</v>
      </c>
      <c r="B472" s="730" t="s">
        <v>2229</v>
      </c>
      <c r="D472" s="730" t="s">
        <v>2479</v>
      </c>
      <c r="E472" s="730" t="s">
        <v>791</v>
      </c>
    </row>
    <row r="473" spans="1:5">
      <c r="A473" s="730" t="s">
        <v>551</v>
      </c>
      <c r="B473" s="730" t="s">
        <v>2230</v>
      </c>
      <c r="D473" s="730" t="s">
        <v>2480</v>
      </c>
      <c r="E473" s="730" t="s">
        <v>792</v>
      </c>
    </row>
    <row r="474" spans="1:5">
      <c r="A474" s="730" t="s">
        <v>552</v>
      </c>
      <c r="B474" s="730" t="s">
        <v>2231</v>
      </c>
      <c r="D474" s="730" t="s">
        <v>2481</v>
      </c>
      <c r="E474" s="730" t="s">
        <v>793</v>
      </c>
    </row>
    <row r="475" spans="1:5">
      <c r="A475" s="730" t="s">
        <v>553</v>
      </c>
      <c r="B475" s="730" t="s">
        <v>2232</v>
      </c>
      <c r="D475" s="730" t="s">
        <v>2482</v>
      </c>
      <c r="E475" s="730" t="s">
        <v>794</v>
      </c>
    </row>
    <row r="476" spans="1:5">
      <c r="A476" s="730" t="s">
        <v>554</v>
      </c>
      <c r="B476" s="730" t="s">
        <v>2233</v>
      </c>
      <c r="D476" s="730" t="s">
        <v>2483</v>
      </c>
      <c r="E476" s="730" t="s">
        <v>795</v>
      </c>
    </row>
    <row r="477" spans="1:5">
      <c r="A477" s="730" t="s">
        <v>555</v>
      </c>
      <c r="B477" s="730" t="s">
        <v>2234</v>
      </c>
      <c r="D477" s="730" t="s">
        <v>2484</v>
      </c>
      <c r="E477" s="730" t="s">
        <v>1910</v>
      </c>
    </row>
    <row r="478" spans="1:5">
      <c r="A478" s="730" t="s">
        <v>556</v>
      </c>
      <c r="B478" s="730" t="s">
        <v>2235</v>
      </c>
      <c r="D478" s="730" t="s">
        <v>2485</v>
      </c>
      <c r="E478" s="730" t="s">
        <v>796</v>
      </c>
    </row>
    <row r="479" spans="1:5">
      <c r="A479" s="730" t="s">
        <v>557</v>
      </c>
      <c r="B479" s="730" t="s">
        <v>2236</v>
      </c>
      <c r="D479" s="730" t="s">
        <v>2486</v>
      </c>
      <c r="E479" s="730" t="s">
        <v>797</v>
      </c>
    </row>
    <row r="480" spans="1:5">
      <c r="A480" s="730" t="s">
        <v>558</v>
      </c>
      <c r="B480" s="730" t="s">
        <v>2237</v>
      </c>
      <c r="D480" s="730" t="s">
        <v>2487</v>
      </c>
      <c r="E480" s="730" t="s">
        <v>798</v>
      </c>
    </row>
    <row r="481" spans="1:5">
      <c r="A481" s="730" t="s">
        <v>559</v>
      </c>
      <c r="B481" s="730" t="s">
        <v>2238</v>
      </c>
      <c r="D481" s="730" t="s">
        <v>2488</v>
      </c>
      <c r="E481" s="730" t="s">
        <v>799</v>
      </c>
    </row>
    <row r="482" spans="1:5">
      <c r="A482" s="730" t="s">
        <v>560</v>
      </c>
      <c r="B482" s="730" t="s">
        <v>2239</v>
      </c>
      <c r="D482" s="730" t="s">
        <v>2489</v>
      </c>
      <c r="E482" s="730" t="s">
        <v>800</v>
      </c>
    </row>
    <row r="483" spans="1:5">
      <c r="A483" s="730" t="s">
        <v>561</v>
      </c>
      <c r="B483" s="730" t="s">
        <v>2240</v>
      </c>
      <c r="D483" s="730" t="s">
        <v>2490</v>
      </c>
      <c r="E483" s="730" t="s">
        <v>801</v>
      </c>
    </row>
    <row r="484" spans="1:5">
      <c r="A484" s="730" t="s">
        <v>562</v>
      </c>
      <c r="B484" s="730" t="s">
        <v>2241</v>
      </c>
      <c r="D484" s="730" t="s">
        <v>2491</v>
      </c>
      <c r="E484" s="730" t="s">
        <v>802</v>
      </c>
    </row>
    <row r="485" spans="1:5">
      <c r="A485" s="730" t="s">
        <v>563</v>
      </c>
      <c r="B485" s="730" t="s">
        <v>2242</v>
      </c>
      <c r="D485" s="730" t="s">
        <v>2492</v>
      </c>
      <c r="E485" s="730" t="s">
        <v>803</v>
      </c>
    </row>
    <row r="486" spans="1:5">
      <c r="A486" s="730" t="s">
        <v>564</v>
      </c>
      <c r="B486" s="730" t="s">
        <v>2243</v>
      </c>
      <c r="D486" s="730" t="s">
        <v>2493</v>
      </c>
      <c r="E486" s="730" t="s">
        <v>804</v>
      </c>
    </row>
    <row r="487" spans="1:5">
      <c r="A487" s="730" t="s">
        <v>1671</v>
      </c>
      <c r="B487" s="730" t="s">
        <v>2244</v>
      </c>
      <c r="D487" s="730" t="s">
        <v>2494</v>
      </c>
      <c r="E487" s="730" t="s">
        <v>805</v>
      </c>
    </row>
    <row r="488" spans="1:5">
      <c r="A488" s="730" t="s">
        <v>1938</v>
      </c>
      <c r="B488" s="730" t="s">
        <v>2245</v>
      </c>
      <c r="D488" s="730" t="s">
        <v>2495</v>
      </c>
      <c r="E488" s="730" t="s">
        <v>806</v>
      </c>
    </row>
    <row r="489" spans="1:5">
      <c r="A489" s="730" t="s">
        <v>1939</v>
      </c>
      <c r="B489" s="730" t="s">
        <v>2246</v>
      </c>
      <c r="D489" s="730" t="s">
        <v>2496</v>
      </c>
      <c r="E489" s="730" t="s">
        <v>807</v>
      </c>
    </row>
  </sheetData>
  <sheetProtection algorithmName="SHA-512" hashValue="Je3lFvVm8SYxasQcYaWnmQSY6L8Yjcsvy2nIhdiEA3ZRqfKFYJxP7llqjn0NIBt2rfzbKZ8vZ1khpUBfzOzWkA==" saltValue="jZleJL0ByO2U7T3ptu1mxw==" spinCount="100000" sheet="1" objects="1" scenarios="1"/>
  <pageMargins left="0.25" right="0.25" top="0.16" bottom="0.17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B1:N41"/>
  <sheetViews>
    <sheetView showGridLines="0" showRuler="0" zoomScale="90" zoomScaleNormal="90" zoomScalePageLayoutView="90" workbookViewId="0"/>
  </sheetViews>
  <sheetFormatPr baseColWidth="10" defaultRowHeight="14.25"/>
  <cols>
    <col min="1" max="1" width="6.5703125" style="212" customWidth="1"/>
    <col min="2" max="2" width="4" style="525" customWidth="1"/>
    <col min="3" max="3" width="35.85546875" style="212" customWidth="1"/>
    <col min="4" max="4" width="5.28515625" style="524" customWidth="1"/>
    <col min="5" max="13" width="9" style="212" customWidth="1"/>
    <col min="14" max="14" width="20.28515625" style="212" customWidth="1"/>
    <col min="15" max="16384" width="11.42578125" style="212"/>
  </cols>
  <sheetData>
    <row r="1" spans="2:14" ht="18" customHeight="1">
      <c r="B1" s="672" t="s">
        <v>819</v>
      </c>
      <c r="C1" s="399"/>
      <c r="D1" s="711"/>
      <c r="E1" s="482"/>
      <c r="F1" s="482"/>
      <c r="G1" s="482"/>
      <c r="H1" s="482"/>
      <c r="I1" s="738"/>
      <c r="J1" s="738"/>
      <c r="K1" s="738"/>
      <c r="L1" s="805" t="str">
        <f>+Portada!$M$2</f>
        <v/>
      </c>
      <c r="M1" s="806"/>
    </row>
    <row r="2" spans="2:14" ht="18">
      <c r="B2" s="101" t="s">
        <v>2004</v>
      </c>
      <c r="C2" s="400"/>
      <c r="D2" s="529"/>
      <c r="E2" s="400"/>
      <c r="F2" s="400"/>
      <c r="G2" s="400"/>
      <c r="H2" s="400"/>
      <c r="I2" s="400"/>
      <c r="J2" s="400"/>
      <c r="K2" s="400"/>
      <c r="L2" s="400"/>
      <c r="M2" s="400"/>
    </row>
    <row r="3" spans="2:14" ht="18.75" thickBot="1">
      <c r="B3" s="101" t="s">
        <v>2005</v>
      </c>
      <c r="C3" s="483"/>
      <c r="D3" s="712"/>
      <c r="E3" s="483"/>
      <c r="F3" s="483"/>
      <c r="G3" s="483"/>
      <c r="H3" s="483"/>
      <c r="I3" s="483"/>
      <c r="J3" s="483"/>
      <c r="K3" s="483"/>
      <c r="L3" s="483"/>
      <c r="M3" s="483"/>
    </row>
    <row r="4" spans="2:14" ht="33" customHeight="1" thickTop="1">
      <c r="B4" s="822" t="s">
        <v>2006</v>
      </c>
      <c r="C4" s="822"/>
      <c r="D4" s="707"/>
      <c r="E4" s="878" t="s">
        <v>2007</v>
      </c>
      <c r="F4" s="879"/>
      <c r="G4" s="879"/>
      <c r="H4" s="880" t="s">
        <v>1736</v>
      </c>
      <c r="I4" s="879"/>
      <c r="J4" s="881"/>
      <c r="K4" s="880" t="s">
        <v>1737</v>
      </c>
      <c r="L4" s="879"/>
      <c r="M4" s="879"/>
    </row>
    <row r="5" spans="2:14" ht="23.25" customHeight="1" thickBot="1">
      <c r="B5" s="823"/>
      <c r="C5" s="823"/>
      <c r="D5" s="708"/>
      <c r="E5" s="402" t="s">
        <v>0</v>
      </c>
      <c r="F5" s="484" t="s">
        <v>165</v>
      </c>
      <c r="G5" s="404" t="s">
        <v>166</v>
      </c>
      <c r="H5" s="409" t="s">
        <v>0</v>
      </c>
      <c r="I5" s="484" t="s">
        <v>165</v>
      </c>
      <c r="J5" s="485" t="s">
        <v>166</v>
      </c>
      <c r="K5" s="404" t="s">
        <v>0</v>
      </c>
      <c r="L5" s="484" t="s">
        <v>165</v>
      </c>
      <c r="M5" s="404" t="s">
        <v>166</v>
      </c>
    </row>
    <row r="6" spans="2:14" ht="18" customHeight="1" thickTop="1" thickBot="1">
      <c r="B6" s="882" t="s">
        <v>0</v>
      </c>
      <c r="C6" s="882"/>
      <c r="D6" s="486" t="str">
        <f>IF(OR(F6&gt;'CUADRO 1'!E6,G6&gt;'CUADRO 1'!F6),"/*/","")</f>
        <v/>
      </c>
      <c r="E6" s="487">
        <f>+F6+G6</f>
        <v>0</v>
      </c>
      <c r="F6" s="488">
        <f>SUM(F7:F35)</f>
        <v>0</v>
      </c>
      <c r="G6" s="489">
        <f>SUM(G7:G35)</f>
        <v>0</v>
      </c>
      <c r="H6" s="490">
        <f>+I6+J6</f>
        <v>0</v>
      </c>
      <c r="I6" s="488">
        <f>SUM(I7:I35)</f>
        <v>0</v>
      </c>
      <c r="J6" s="491">
        <f>SUM(J7:J35)</f>
        <v>0</v>
      </c>
      <c r="K6" s="489">
        <f>+L6+M6</f>
        <v>0</v>
      </c>
      <c r="L6" s="488">
        <f>SUM(L7:L35)</f>
        <v>0</v>
      </c>
      <c r="M6" s="489">
        <f>SUM(M7:M35)</f>
        <v>0</v>
      </c>
      <c r="N6" s="877" t="str">
        <f>IF(D6="/*/","/*/ El dato indicado en Extranjeros (hombres o mujeres) es mayor al total de Técnica Diurna del Cuadro 1.","")</f>
        <v/>
      </c>
    </row>
    <row r="7" spans="2:14" ht="18" customHeight="1">
      <c r="B7" s="492" t="s">
        <v>198</v>
      </c>
      <c r="C7" s="493" t="s">
        <v>244</v>
      </c>
      <c r="D7" s="494" t="str">
        <f>IF(OR(I7&gt;F7,L7&gt;F7,J7&gt;G7,M7&gt;G7),"**","")</f>
        <v/>
      </c>
      <c r="E7" s="160">
        <f>+F7+G7</f>
        <v>0</v>
      </c>
      <c r="F7" s="311"/>
      <c r="G7" s="312"/>
      <c r="H7" s="422">
        <f>+I7+J7</f>
        <v>0</v>
      </c>
      <c r="I7" s="311"/>
      <c r="J7" s="421"/>
      <c r="K7" s="200">
        <f>+L7+M7</f>
        <v>0</v>
      </c>
      <c r="L7" s="311"/>
      <c r="M7" s="312"/>
      <c r="N7" s="877"/>
    </row>
    <row r="8" spans="2:14" ht="18" customHeight="1">
      <c r="B8" s="495" t="s">
        <v>199</v>
      </c>
      <c r="C8" s="496" t="s">
        <v>230</v>
      </c>
      <c r="D8" s="497" t="str">
        <f t="shared" ref="D8:D35" si="0">IF(OR(I8&gt;F8,L8&gt;F8,J8&gt;G8,M8&gt;G8),"**","")</f>
        <v/>
      </c>
      <c r="E8" s="314">
        <f>+F8+G8</f>
        <v>0</v>
      </c>
      <c r="F8" s="315"/>
      <c r="G8" s="316"/>
      <c r="H8" s="428">
        <f>+I8+J8</f>
        <v>0</v>
      </c>
      <c r="I8" s="315"/>
      <c r="J8" s="427"/>
      <c r="K8" s="498">
        <f>+L8+M8</f>
        <v>0</v>
      </c>
      <c r="L8" s="315"/>
      <c r="M8" s="316"/>
      <c r="N8" s="877"/>
    </row>
    <row r="9" spans="2:14" ht="18" customHeight="1">
      <c r="B9" s="495" t="s">
        <v>200</v>
      </c>
      <c r="C9" s="496" t="s">
        <v>242</v>
      </c>
      <c r="D9" s="497" t="str">
        <f t="shared" si="0"/>
        <v/>
      </c>
      <c r="E9" s="314">
        <f t="shared" ref="E9:E35" si="1">+F9+G9</f>
        <v>0</v>
      </c>
      <c r="F9" s="315"/>
      <c r="G9" s="316"/>
      <c r="H9" s="428">
        <f t="shared" ref="H9:H35" si="2">+I9+J9</f>
        <v>0</v>
      </c>
      <c r="I9" s="315"/>
      <c r="J9" s="427"/>
      <c r="K9" s="498">
        <f t="shared" ref="K9:K35" si="3">+L9+M9</f>
        <v>0</v>
      </c>
      <c r="L9" s="315"/>
      <c r="M9" s="316"/>
      <c r="N9" s="877"/>
    </row>
    <row r="10" spans="2:14" ht="18" customHeight="1">
      <c r="B10" s="495" t="s">
        <v>201</v>
      </c>
      <c r="C10" s="496" t="s">
        <v>247</v>
      </c>
      <c r="D10" s="497" t="str">
        <f t="shared" si="0"/>
        <v/>
      </c>
      <c r="E10" s="314">
        <f t="shared" si="1"/>
        <v>0</v>
      </c>
      <c r="F10" s="315"/>
      <c r="G10" s="316"/>
      <c r="H10" s="428">
        <f t="shared" si="2"/>
        <v>0</v>
      </c>
      <c r="I10" s="315"/>
      <c r="J10" s="427"/>
      <c r="K10" s="498">
        <f t="shared" si="3"/>
        <v>0</v>
      </c>
      <c r="L10" s="315"/>
      <c r="M10" s="316"/>
      <c r="N10" s="877"/>
    </row>
    <row r="11" spans="2:14" ht="18" customHeight="1">
      <c r="B11" s="495" t="s">
        <v>202</v>
      </c>
      <c r="C11" s="496" t="s">
        <v>227</v>
      </c>
      <c r="D11" s="497" t="str">
        <f t="shared" si="0"/>
        <v/>
      </c>
      <c r="E11" s="314">
        <f t="shared" si="1"/>
        <v>0</v>
      </c>
      <c r="F11" s="315"/>
      <c r="G11" s="316"/>
      <c r="H11" s="428">
        <f t="shared" si="2"/>
        <v>0</v>
      </c>
      <c r="I11" s="315"/>
      <c r="J11" s="427"/>
      <c r="K11" s="498">
        <f t="shared" si="3"/>
        <v>0</v>
      </c>
      <c r="L11" s="315"/>
      <c r="M11" s="316"/>
      <c r="N11" s="877"/>
    </row>
    <row r="12" spans="2:14" ht="18" customHeight="1">
      <c r="B12" s="495" t="s">
        <v>203</v>
      </c>
      <c r="C12" s="496" t="s">
        <v>243</v>
      </c>
      <c r="D12" s="497" t="str">
        <f t="shared" si="0"/>
        <v/>
      </c>
      <c r="E12" s="314">
        <f t="shared" si="1"/>
        <v>0</v>
      </c>
      <c r="F12" s="315"/>
      <c r="G12" s="316"/>
      <c r="H12" s="428">
        <f t="shared" si="2"/>
        <v>0</v>
      </c>
      <c r="I12" s="315"/>
      <c r="J12" s="427"/>
      <c r="K12" s="498">
        <f t="shared" si="3"/>
        <v>0</v>
      </c>
      <c r="L12" s="315"/>
      <c r="M12" s="316"/>
      <c r="N12" s="877"/>
    </row>
    <row r="13" spans="2:14" ht="18" customHeight="1">
      <c r="B13" s="495" t="s">
        <v>204</v>
      </c>
      <c r="C13" s="496" t="s">
        <v>239</v>
      </c>
      <c r="D13" s="497" t="str">
        <f t="shared" si="0"/>
        <v/>
      </c>
      <c r="E13" s="314">
        <f t="shared" si="1"/>
        <v>0</v>
      </c>
      <c r="F13" s="315"/>
      <c r="G13" s="316"/>
      <c r="H13" s="428">
        <f t="shared" si="2"/>
        <v>0</v>
      </c>
      <c r="I13" s="315"/>
      <c r="J13" s="427"/>
      <c r="K13" s="498">
        <f t="shared" si="3"/>
        <v>0</v>
      </c>
      <c r="L13" s="315"/>
      <c r="M13" s="316"/>
      <c r="N13" s="877"/>
    </row>
    <row r="14" spans="2:14" s="93" customFormat="1" ht="18" customHeight="1">
      <c r="B14" s="495" t="s">
        <v>205</v>
      </c>
      <c r="C14" s="496" t="s">
        <v>236</v>
      </c>
      <c r="D14" s="497" t="str">
        <f t="shared" si="0"/>
        <v/>
      </c>
      <c r="E14" s="314">
        <f t="shared" si="1"/>
        <v>0</v>
      </c>
      <c r="F14" s="315"/>
      <c r="G14" s="316"/>
      <c r="H14" s="428">
        <f t="shared" si="2"/>
        <v>0</v>
      </c>
      <c r="I14" s="315"/>
      <c r="J14" s="427"/>
      <c r="K14" s="498">
        <f t="shared" si="3"/>
        <v>0</v>
      </c>
      <c r="L14" s="315"/>
      <c r="M14" s="316"/>
    </row>
    <row r="15" spans="2:14" s="93" customFormat="1" ht="18" customHeight="1">
      <c r="B15" s="499" t="s">
        <v>206</v>
      </c>
      <c r="C15" s="496" t="s">
        <v>240</v>
      </c>
      <c r="D15" s="497" t="str">
        <f t="shared" si="0"/>
        <v/>
      </c>
      <c r="E15" s="314">
        <f t="shared" si="1"/>
        <v>0</v>
      </c>
      <c r="F15" s="315"/>
      <c r="G15" s="316"/>
      <c r="H15" s="428">
        <f t="shared" si="2"/>
        <v>0</v>
      </c>
      <c r="I15" s="315"/>
      <c r="J15" s="427"/>
      <c r="K15" s="498">
        <f t="shared" si="3"/>
        <v>0</v>
      </c>
      <c r="L15" s="315"/>
      <c r="M15" s="316"/>
      <c r="N15" s="876" t="str">
        <f>IF(OR(D7="**",D8="**",D9="**",D10="**",D11="**",D12="**",D13="**",D14="**",D15="**",D16="**",D17="**",D18="**",D19="**",D20="**",D21="**",D22="**",D23="**",D24="**",D25="**",D26="**",D27="**",D28="**",D29="**",D30="**",D31="**",D32="**",D33="**",D34="**",D35="**",),"** El dato indicado en Refugiados o en Solicitante de Asilo, es mayor a lo indicado en Extranjeros.","")</f>
        <v/>
      </c>
    </row>
    <row r="16" spans="2:14" ht="18" customHeight="1">
      <c r="B16" s="499" t="s">
        <v>207</v>
      </c>
      <c r="C16" s="496" t="s">
        <v>233</v>
      </c>
      <c r="D16" s="497" t="str">
        <f t="shared" si="0"/>
        <v/>
      </c>
      <c r="E16" s="314">
        <f t="shared" si="1"/>
        <v>0</v>
      </c>
      <c r="F16" s="315"/>
      <c r="G16" s="316"/>
      <c r="H16" s="428">
        <f t="shared" si="2"/>
        <v>0</v>
      </c>
      <c r="I16" s="315"/>
      <c r="J16" s="427"/>
      <c r="K16" s="498">
        <f t="shared" si="3"/>
        <v>0</v>
      </c>
      <c r="L16" s="315"/>
      <c r="M16" s="316"/>
      <c r="N16" s="876"/>
    </row>
    <row r="17" spans="2:14" ht="18" customHeight="1">
      <c r="B17" s="495" t="s">
        <v>208</v>
      </c>
      <c r="C17" s="496" t="s">
        <v>228</v>
      </c>
      <c r="D17" s="497" t="str">
        <f t="shared" si="0"/>
        <v/>
      </c>
      <c r="E17" s="314">
        <f t="shared" si="1"/>
        <v>0</v>
      </c>
      <c r="F17" s="315"/>
      <c r="G17" s="316"/>
      <c r="H17" s="428">
        <f t="shared" si="2"/>
        <v>0</v>
      </c>
      <c r="I17" s="315"/>
      <c r="J17" s="427"/>
      <c r="K17" s="498">
        <f t="shared" si="3"/>
        <v>0</v>
      </c>
      <c r="L17" s="315"/>
      <c r="M17" s="316"/>
      <c r="N17" s="876"/>
    </row>
    <row r="18" spans="2:14" ht="18" customHeight="1">
      <c r="B18" s="495" t="s">
        <v>209</v>
      </c>
      <c r="C18" s="496" t="s">
        <v>231</v>
      </c>
      <c r="D18" s="497" t="str">
        <f t="shared" si="0"/>
        <v/>
      </c>
      <c r="E18" s="314">
        <f t="shared" si="1"/>
        <v>0</v>
      </c>
      <c r="F18" s="315"/>
      <c r="G18" s="316"/>
      <c r="H18" s="428">
        <f t="shared" si="2"/>
        <v>0</v>
      </c>
      <c r="I18" s="315"/>
      <c r="J18" s="427"/>
      <c r="K18" s="498">
        <f t="shared" si="3"/>
        <v>0</v>
      </c>
      <c r="L18" s="315"/>
      <c r="M18" s="316"/>
      <c r="N18" s="876"/>
    </row>
    <row r="19" spans="2:14" ht="18" customHeight="1">
      <c r="B19" s="495" t="s">
        <v>210</v>
      </c>
      <c r="C19" s="496" t="s">
        <v>249</v>
      </c>
      <c r="D19" s="497" t="str">
        <f t="shared" si="0"/>
        <v/>
      </c>
      <c r="E19" s="314">
        <f t="shared" si="1"/>
        <v>0</v>
      </c>
      <c r="F19" s="315"/>
      <c r="G19" s="316"/>
      <c r="H19" s="428">
        <f t="shared" si="2"/>
        <v>0</v>
      </c>
      <c r="I19" s="315"/>
      <c r="J19" s="427"/>
      <c r="K19" s="498">
        <f t="shared" si="3"/>
        <v>0</v>
      </c>
      <c r="L19" s="315"/>
      <c r="M19" s="316"/>
      <c r="N19" s="876"/>
    </row>
    <row r="20" spans="2:14" ht="18" customHeight="1">
      <c r="B20" s="495" t="s">
        <v>211</v>
      </c>
      <c r="C20" s="496" t="s">
        <v>238</v>
      </c>
      <c r="D20" s="497" t="str">
        <f t="shared" si="0"/>
        <v/>
      </c>
      <c r="E20" s="314">
        <f t="shared" si="1"/>
        <v>0</v>
      </c>
      <c r="F20" s="315"/>
      <c r="G20" s="316"/>
      <c r="H20" s="428">
        <f t="shared" si="2"/>
        <v>0</v>
      </c>
      <c r="I20" s="315"/>
      <c r="J20" s="427"/>
      <c r="K20" s="498">
        <f t="shared" si="3"/>
        <v>0</v>
      </c>
      <c r="L20" s="315"/>
      <c r="M20" s="316"/>
      <c r="N20" s="876"/>
    </row>
    <row r="21" spans="2:14" ht="18" customHeight="1">
      <c r="B21" s="495" t="s">
        <v>212</v>
      </c>
      <c r="C21" s="496" t="s">
        <v>232</v>
      </c>
      <c r="D21" s="497" t="str">
        <f t="shared" si="0"/>
        <v/>
      </c>
      <c r="E21" s="314">
        <f t="shared" si="1"/>
        <v>0</v>
      </c>
      <c r="F21" s="315"/>
      <c r="G21" s="316"/>
      <c r="H21" s="428">
        <f t="shared" si="2"/>
        <v>0</v>
      </c>
      <c r="I21" s="315"/>
      <c r="J21" s="427"/>
      <c r="K21" s="498">
        <f t="shared" si="3"/>
        <v>0</v>
      </c>
      <c r="L21" s="315"/>
      <c r="M21" s="316"/>
      <c r="N21" s="876"/>
    </row>
    <row r="22" spans="2:14" ht="18" customHeight="1">
      <c r="B22" s="495" t="s">
        <v>213</v>
      </c>
      <c r="C22" s="496" t="s">
        <v>229</v>
      </c>
      <c r="D22" s="497" t="str">
        <f t="shared" si="0"/>
        <v/>
      </c>
      <c r="E22" s="314">
        <f t="shared" si="1"/>
        <v>0</v>
      </c>
      <c r="F22" s="315"/>
      <c r="G22" s="316"/>
      <c r="H22" s="428">
        <f t="shared" si="2"/>
        <v>0</v>
      </c>
      <c r="I22" s="315"/>
      <c r="J22" s="427"/>
      <c r="K22" s="498">
        <f t="shared" si="3"/>
        <v>0</v>
      </c>
      <c r="L22" s="315"/>
      <c r="M22" s="316"/>
      <c r="N22" s="680"/>
    </row>
    <row r="23" spans="2:14" ht="18" customHeight="1">
      <c r="B23" s="495" t="s">
        <v>214</v>
      </c>
      <c r="C23" s="496" t="s">
        <v>234</v>
      </c>
      <c r="D23" s="497" t="str">
        <f t="shared" si="0"/>
        <v/>
      </c>
      <c r="E23" s="314">
        <f t="shared" si="1"/>
        <v>0</v>
      </c>
      <c r="F23" s="315"/>
      <c r="G23" s="316"/>
      <c r="H23" s="428">
        <f t="shared" si="2"/>
        <v>0</v>
      </c>
      <c r="I23" s="315"/>
      <c r="J23" s="427"/>
      <c r="K23" s="498">
        <f t="shared" si="3"/>
        <v>0</v>
      </c>
      <c r="L23" s="315"/>
      <c r="M23" s="316"/>
    </row>
    <row r="24" spans="2:14" ht="18" customHeight="1">
      <c r="B24" s="495" t="s">
        <v>215</v>
      </c>
      <c r="C24" s="496" t="s">
        <v>235</v>
      </c>
      <c r="D24" s="497" t="str">
        <f t="shared" si="0"/>
        <v/>
      </c>
      <c r="E24" s="314">
        <f t="shared" si="1"/>
        <v>0</v>
      </c>
      <c r="F24" s="315"/>
      <c r="G24" s="316"/>
      <c r="H24" s="428">
        <f t="shared" si="2"/>
        <v>0</v>
      </c>
      <c r="I24" s="315"/>
      <c r="J24" s="427"/>
      <c r="K24" s="498">
        <f t="shared" si="3"/>
        <v>0</v>
      </c>
      <c r="L24" s="315"/>
      <c r="M24" s="316"/>
    </row>
    <row r="25" spans="2:14" ht="18" customHeight="1">
      <c r="B25" s="495" t="s">
        <v>216</v>
      </c>
      <c r="C25" s="496" t="s">
        <v>245</v>
      </c>
      <c r="D25" s="497" t="str">
        <f t="shared" si="0"/>
        <v/>
      </c>
      <c r="E25" s="314">
        <f t="shared" si="1"/>
        <v>0</v>
      </c>
      <c r="F25" s="315"/>
      <c r="G25" s="316"/>
      <c r="H25" s="428">
        <f t="shared" si="2"/>
        <v>0</v>
      </c>
      <c r="I25" s="315"/>
      <c r="J25" s="427"/>
      <c r="K25" s="498">
        <f t="shared" si="3"/>
        <v>0</v>
      </c>
      <c r="L25" s="315"/>
      <c r="M25" s="316"/>
    </row>
    <row r="26" spans="2:14" ht="18" customHeight="1">
      <c r="B26" s="495" t="s">
        <v>217</v>
      </c>
      <c r="C26" s="496" t="s">
        <v>241</v>
      </c>
      <c r="D26" s="497" t="str">
        <f t="shared" si="0"/>
        <v/>
      </c>
      <c r="E26" s="314">
        <f t="shared" si="1"/>
        <v>0</v>
      </c>
      <c r="F26" s="315"/>
      <c r="G26" s="316"/>
      <c r="H26" s="428">
        <f t="shared" si="2"/>
        <v>0</v>
      </c>
      <c r="I26" s="315"/>
      <c r="J26" s="427"/>
      <c r="K26" s="498">
        <f t="shared" si="3"/>
        <v>0</v>
      </c>
      <c r="L26" s="315"/>
      <c r="M26" s="316"/>
    </row>
    <row r="27" spans="2:14" ht="18" customHeight="1">
      <c r="B27" s="495" t="s">
        <v>218</v>
      </c>
      <c r="C27" s="496" t="s">
        <v>237</v>
      </c>
      <c r="D27" s="497" t="str">
        <f t="shared" si="0"/>
        <v/>
      </c>
      <c r="E27" s="314">
        <f t="shared" si="1"/>
        <v>0</v>
      </c>
      <c r="F27" s="315"/>
      <c r="G27" s="316"/>
      <c r="H27" s="428">
        <f t="shared" si="2"/>
        <v>0</v>
      </c>
      <c r="I27" s="315"/>
      <c r="J27" s="427"/>
      <c r="K27" s="498">
        <f t="shared" si="3"/>
        <v>0</v>
      </c>
      <c r="L27" s="315"/>
      <c r="M27" s="316"/>
    </row>
    <row r="28" spans="2:14" ht="18" customHeight="1">
      <c r="B28" s="495" t="s">
        <v>219</v>
      </c>
      <c r="C28" s="496" t="s">
        <v>246</v>
      </c>
      <c r="D28" s="497" t="str">
        <f t="shared" si="0"/>
        <v/>
      </c>
      <c r="E28" s="314">
        <f t="shared" si="1"/>
        <v>0</v>
      </c>
      <c r="F28" s="315"/>
      <c r="G28" s="316"/>
      <c r="H28" s="428">
        <f t="shared" si="2"/>
        <v>0</v>
      </c>
      <c r="I28" s="315"/>
      <c r="J28" s="427"/>
      <c r="K28" s="498">
        <f t="shared" si="3"/>
        <v>0</v>
      </c>
      <c r="L28" s="315"/>
      <c r="M28" s="316"/>
    </row>
    <row r="29" spans="2:14" ht="18" customHeight="1">
      <c r="B29" s="495" t="s">
        <v>220</v>
      </c>
      <c r="C29" s="496" t="s">
        <v>248</v>
      </c>
      <c r="D29" s="497" t="str">
        <f t="shared" si="0"/>
        <v/>
      </c>
      <c r="E29" s="314">
        <f t="shared" si="1"/>
        <v>0</v>
      </c>
      <c r="F29" s="315"/>
      <c r="G29" s="316"/>
      <c r="H29" s="428">
        <f t="shared" si="2"/>
        <v>0</v>
      </c>
      <c r="I29" s="315"/>
      <c r="J29" s="427"/>
      <c r="K29" s="498">
        <f t="shared" si="3"/>
        <v>0</v>
      </c>
      <c r="L29" s="315"/>
      <c r="M29" s="316"/>
    </row>
    <row r="30" spans="2:14" ht="18" customHeight="1">
      <c r="B30" s="500" t="s">
        <v>221</v>
      </c>
      <c r="C30" s="501" t="s">
        <v>250</v>
      </c>
      <c r="D30" s="502" t="str">
        <f t="shared" si="0"/>
        <v/>
      </c>
      <c r="E30" s="503">
        <f t="shared" si="1"/>
        <v>0</v>
      </c>
      <c r="F30" s="504"/>
      <c r="G30" s="505"/>
      <c r="H30" s="506">
        <f t="shared" si="2"/>
        <v>0</v>
      </c>
      <c r="I30" s="504"/>
      <c r="J30" s="507"/>
      <c r="K30" s="508">
        <f t="shared" si="3"/>
        <v>0</v>
      </c>
      <c r="L30" s="504"/>
      <c r="M30" s="505"/>
    </row>
    <row r="31" spans="2:14" ht="18" customHeight="1">
      <c r="B31" s="500" t="s">
        <v>222</v>
      </c>
      <c r="C31" s="501" t="s">
        <v>197</v>
      </c>
      <c r="D31" s="502" t="str">
        <f t="shared" si="0"/>
        <v/>
      </c>
      <c r="E31" s="503">
        <f t="shared" si="1"/>
        <v>0</v>
      </c>
      <c r="F31" s="504"/>
      <c r="G31" s="505"/>
      <c r="H31" s="506">
        <f t="shared" si="2"/>
        <v>0</v>
      </c>
      <c r="I31" s="504"/>
      <c r="J31" s="507"/>
      <c r="K31" s="508">
        <f t="shared" si="3"/>
        <v>0</v>
      </c>
      <c r="L31" s="504"/>
      <c r="M31" s="505"/>
    </row>
    <row r="32" spans="2:14" ht="18" customHeight="1">
      <c r="B32" s="509" t="s">
        <v>223</v>
      </c>
      <c r="C32" s="510" t="s">
        <v>196</v>
      </c>
      <c r="D32" s="511" t="str">
        <f t="shared" si="0"/>
        <v/>
      </c>
      <c r="E32" s="512">
        <f t="shared" si="1"/>
        <v>0</v>
      </c>
      <c r="F32" s="513"/>
      <c r="G32" s="514"/>
      <c r="H32" s="515">
        <f t="shared" si="2"/>
        <v>0</v>
      </c>
      <c r="I32" s="513"/>
      <c r="J32" s="516"/>
      <c r="K32" s="517">
        <f t="shared" si="3"/>
        <v>0</v>
      </c>
      <c r="L32" s="513"/>
      <c r="M32" s="514"/>
    </row>
    <row r="33" spans="2:14" ht="18" customHeight="1">
      <c r="B33" s="509" t="s">
        <v>224</v>
      </c>
      <c r="C33" s="510" t="s">
        <v>195</v>
      </c>
      <c r="D33" s="511" t="str">
        <f t="shared" si="0"/>
        <v/>
      </c>
      <c r="E33" s="512">
        <f t="shared" si="1"/>
        <v>0</v>
      </c>
      <c r="F33" s="513"/>
      <c r="G33" s="514"/>
      <c r="H33" s="515">
        <f t="shared" si="2"/>
        <v>0</v>
      </c>
      <c r="I33" s="513"/>
      <c r="J33" s="516"/>
      <c r="K33" s="517">
        <f t="shared" si="3"/>
        <v>0</v>
      </c>
      <c r="L33" s="513"/>
      <c r="M33" s="514"/>
    </row>
    <row r="34" spans="2:14" ht="18" customHeight="1">
      <c r="B34" s="509" t="s">
        <v>225</v>
      </c>
      <c r="C34" s="510" t="s">
        <v>194</v>
      </c>
      <c r="D34" s="511" t="str">
        <f t="shared" si="0"/>
        <v/>
      </c>
      <c r="E34" s="512">
        <f t="shared" si="1"/>
        <v>0</v>
      </c>
      <c r="F34" s="513"/>
      <c r="G34" s="514"/>
      <c r="H34" s="515">
        <f t="shared" si="2"/>
        <v>0</v>
      </c>
      <c r="I34" s="513"/>
      <c r="J34" s="516"/>
      <c r="K34" s="517">
        <f t="shared" si="3"/>
        <v>0</v>
      </c>
      <c r="L34" s="513"/>
      <c r="M34" s="514"/>
    </row>
    <row r="35" spans="2:14" s="55" customFormat="1" ht="18" customHeight="1" thickBot="1">
      <c r="B35" s="518" t="s">
        <v>226</v>
      </c>
      <c r="C35" s="519" t="s">
        <v>193</v>
      </c>
      <c r="D35" s="520" t="str">
        <f t="shared" si="0"/>
        <v/>
      </c>
      <c r="E35" s="318">
        <f t="shared" si="1"/>
        <v>0</v>
      </c>
      <c r="F35" s="319"/>
      <c r="G35" s="320"/>
      <c r="H35" s="468">
        <f t="shared" si="2"/>
        <v>0</v>
      </c>
      <c r="I35" s="319"/>
      <c r="J35" s="467"/>
      <c r="K35" s="521">
        <f t="shared" si="3"/>
        <v>0</v>
      </c>
      <c r="L35" s="319"/>
      <c r="M35" s="320"/>
      <c r="N35" s="212"/>
    </row>
    <row r="36" spans="2:14" ht="17.25" customHeight="1" thickTop="1">
      <c r="B36" s="253"/>
      <c r="C36" s="130"/>
      <c r="D36" s="522"/>
      <c r="E36" s="200"/>
      <c r="F36" s="254"/>
      <c r="G36" s="254"/>
      <c r="H36" s="200"/>
      <c r="I36" s="254"/>
      <c r="J36" s="254"/>
      <c r="K36" s="200"/>
      <c r="L36" s="254"/>
      <c r="M36" s="254"/>
      <c r="N36" s="55"/>
    </row>
    <row r="37" spans="2:14" ht="16.5" customHeight="1">
      <c r="B37" s="523" t="s">
        <v>290</v>
      </c>
      <c r="E37" s="883"/>
      <c r="F37" s="883"/>
      <c r="G37" s="883"/>
      <c r="H37" s="883"/>
      <c r="I37" s="883"/>
      <c r="J37" s="883"/>
      <c r="K37" s="883"/>
      <c r="L37" s="883"/>
      <c r="M37" s="883"/>
    </row>
    <row r="38" spans="2:14" ht="16.5" customHeight="1">
      <c r="B38" s="810"/>
      <c r="C38" s="811"/>
      <c r="D38" s="811"/>
      <c r="E38" s="811"/>
      <c r="F38" s="811"/>
      <c r="G38" s="811"/>
      <c r="H38" s="811"/>
      <c r="I38" s="811"/>
      <c r="J38" s="811"/>
      <c r="K38" s="811"/>
      <c r="L38" s="811"/>
      <c r="M38" s="812"/>
    </row>
    <row r="39" spans="2:14" ht="16.5" customHeight="1">
      <c r="B39" s="813"/>
      <c r="C39" s="814"/>
      <c r="D39" s="814"/>
      <c r="E39" s="814"/>
      <c r="F39" s="814"/>
      <c r="G39" s="814"/>
      <c r="H39" s="814"/>
      <c r="I39" s="814"/>
      <c r="J39" s="814"/>
      <c r="K39" s="814"/>
      <c r="L39" s="814"/>
      <c r="M39" s="815"/>
    </row>
    <row r="40" spans="2:14" ht="16.5" customHeight="1">
      <c r="B40" s="813"/>
      <c r="C40" s="814"/>
      <c r="D40" s="814"/>
      <c r="E40" s="814"/>
      <c r="F40" s="814"/>
      <c r="G40" s="814"/>
      <c r="H40" s="814"/>
      <c r="I40" s="814"/>
      <c r="J40" s="814"/>
      <c r="K40" s="814"/>
      <c r="L40" s="814"/>
      <c r="M40" s="815"/>
    </row>
    <row r="41" spans="2:14">
      <c r="B41" s="816"/>
      <c r="C41" s="817"/>
      <c r="D41" s="817"/>
      <c r="E41" s="817"/>
      <c r="F41" s="817"/>
      <c r="G41" s="817"/>
      <c r="H41" s="817"/>
      <c r="I41" s="817"/>
      <c r="J41" s="817"/>
      <c r="K41" s="817"/>
      <c r="L41" s="817"/>
      <c r="M41" s="818"/>
    </row>
  </sheetData>
  <sheetProtection algorithmName="SHA-512" hashValue="IR9PWmATf2FzyZYlhWmnVaQmMP/9PvHewBNLVOvImReThUm+C6NAEvjPar4LsWj0bDmPZrFfscNh/d1U9gZ3BA==" saltValue="Dh9Yh9q1SPcgHpIwkskfnQ==" spinCount="100000" sheet="1" objects="1" scenarios="1"/>
  <mergeCells count="12">
    <mergeCell ref="L1:M1"/>
    <mergeCell ref="N15:N21"/>
    <mergeCell ref="N6:N13"/>
    <mergeCell ref="B38:M41"/>
    <mergeCell ref="B4:C5"/>
    <mergeCell ref="E4:G4"/>
    <mergeCell ref="H4:J4"/>
    <mergeCell ref="K4:M4"/>
    <mergeCell ref="B6:C6"/>
    <mergeCell ref="E37:G37"/>
    <mergeCell ref="H37:J37"/>
    <mergeCell ref="K37:M37"/>
  </mergeCells>
  <conditionalFormatting sqref="K6:M6 K7:K36">
    <cfRule type="cellIs" dxfId="196" priority="2" operator="equal">
      <formula>0</formula>
    </cfRule>
  </conditionalFormatting>
  <conditionalFormatting sqref="E6:G6 E7:E36">
    <cfRule type="cellIs" dxfId="195" priority="4" operator="equal">
      <formula>0</formula>
    </cfRule>
  </conditionalFormatting>
  <conditionalFormatting sqref="H6:J6 H7:H36">
    <cfRule type="cellIs" dxfId="194" priority="3" operator="equal">
      <formula>0</formula>
    </cfRule>
  </conditionalFormatting>
  <conditionalFormatting sqref="N6:N13 N15:N21">
    <cfRule type="notContainsBlanks" dxfId="193" priority="1">
      <formula>LEN(TRIM(N6))&gt;0</formula>
    </cfRule>
  </conditionalFormatting>
  <dataValidations count="1">
    <dataValidation type="whole" operator="greaterThanOrEqual" allowBlank="1" showInputMessage="1" showErrorMessage="1" sqref="E6:M35">
      <formula1>0</formula1>
    </dataValidation>
  </dataValidations>
  <printOptions horizontalCentered="1" verticalCentered="1"/>
  <pageMargins left="0" right="0.17" top="0.23622047244094491" bottom="0.19685039370078741" header="0.43307086614173229" footer="0.19685039370078741"/>
  <pageSetup scale="80" orientation="landscape" r:id="rId1"/>
  <headerFooter scaleWithDoc="0">
    <oddFooter>&amp;R&amp;"Goudy,Negrita Cursiva"Técnica Diurna&amp;"Goudy,Cursiva", página 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B1:T39"/>
  <sheetViews>
    <sheetView showGridLines="0" zoomScale="90" zoomScaleNormal="90" workbookViewId="0"/>
  </sheetViews>
  <sheetFormatPr baseColWidth="10" defaultRowHeight="14.25"/>
  <cols>
    <col min="1" max="1" width="6.140625" style="212" customWidth="1"/>
    <col min="2" max="2" width="46.28515625" style="212" customWidth="1"/>
    <col min="3" max="20" width="8.28515625" style="212" customWidth="1"/>
    <col min="21" max="16384" width="11.42578125" style="212"/>
  </cols>
  <sheetData>
    <row r="1" spans="2:20" ht="18" customHeight="1">
      <c r="B1" s="672" t="s">
        <v>914</v>
      </c>
      <c r="O1" s="738"/>
      <c r="P1" s="738"/>
      <c r="Q1" s="738"/>
      <c r="R1" s="738"/>
      <c r="S1" s="805" t="str">
        <f>+Portada!$M$2</f>
        <v/>
      </c>
      <c r="T1" s="806"/>
    </row>
    <row r="2" spans="2:20" ht="18.75" thickBot="1">
      <c r="B2" s="101" t="s">
        <v>918</v>
      </c>
      <c r="C2" s="142"/>
      <c r="D2" s="142"/>
      <c r="E2" s="142"/>
      <c r="F2" s="142"/>
      <c r="G2" s="142"/>
      <c r="H2" s="142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</row>
    <row r="3" spans="2:20" ht="21.75" customHeight="1" thickTop="1" thickBot="1">
      <c r="B3" s="887" t="str">
        <f>IF(AND(Portada!F26="Sí",(F7+L7)=0),"En la portada se indicó que tienen Servicios de Apoyo Educativo, pero en este cuadro (Parte 2) no indica cuántos estudiantes se benefician.",(IF(AND(OR(Portada!F26="No",Portada!F26=""),(F7+L7)&gt;=1),"En la portada no indicó que tienen Servicios de Apoyo Educativo, pero en la Parte (2) de este cuadro se están indicando datos.","")))</f>
        <v/>
      </c>
      <c r="C3" s="884" t="s">
        <v>877</v>
      </c>
      <c r="D3" s="885"/>
      <c r="E3" s="885"/>
      <c r="F3" s="885"/>
      <c r="G3" s="885"/>
      <c r="H3" s="885"/>
      <c r="I3" s="886" t="s">
        <v>878</v>
      </c>
      <c r="J3" s="885"/>
      <c r="K3" s="885"/>
      <c r="L3" s="885"/>
      <c r="M3" s="885"/>
      <c r="N3" s="885"/>
      <c r="O3" s="889" t="s">
        <v>1800</v>
      </c>
      <c r="P3" s="890"/>
      <c r="Q3" s="890"/>
      <c r="R3" s="890"/>
      <c r="S3" s="890"/>
      <c r="T3" s="890"/>
    </row>
    <row r="4" spans="2:20" ht="45.75" customHeight="1" thickBot="1">
      <c r="B4" s="888"/>
      <c r="C4" s="893" t="s">
        <v>1953</v>
      </c>
      <c r="D4" s="894"/>
      <c r="E4" s="894"/>
      <c r="F4" s="900" t="s">
        <v>1954</v>
      </c>
      <c r="G4" s="894"/>
      <c r="H4" s="901"/>
      <c r="I4" s="904" t="s">
        <v>1953</v>
      </c>
      <c r="J4" s="894"/>
      <c r="K4" s="894"/>
      <c r="L4" s="900" t="s">
        <v>1954</v>
      </c>
      <c r="M4" s="894"/>
      <c r="N4" s="894"/>
      <c r="O4" s="891"/>
      <c r="P4" s="892"/>
      <c r="Q4" s="892"/>
      <c r="R4" s="892"/>
      <c r="S4" s="892"/>
      <c r="T4" s="892"/>
    </row>
    <row r="5" spans="2:20" ht="45.75" customHeight="1">
      <c r="B5" s="888"/>
      <c r="C5" s="895"/>
      <c r="D5" s="896"/>
      <c r="E5" s="896"/>
      <c r="F5" s="902"/>
      <c r="G5" s="896"/>
      <c r="H5" s="903"/>
      <c r="I5" s="905"/>
      <c r="J5" s="896"/>
      <c r="K5" s="896"/>
      <c r="L5" s="902"/>
      <c r="M5" s="896"/>
      <c r="N5" s="896"/>
      <c r="O5" s="906" t="s">
        <v>877</v>
      </c>
      <c r="P5" s="907"/>
      <c r="Q5" s="907"/>
      <c r="R5" s="908" t="s">
        <v>1801</v>
      </c>
      <c r="S5" s="907"/>
      <c r="T5" s="907"/>
    </row>
    <row r="6" spans="2:20" ht="31.5" customHeight="1" thickBot="1">
      <c r="B6" s="401" t="s">
        <v>891</v>
      </c>
      <c r="C6" s="402" t="s">
        <v>0</v>
      </c>
      <c r="D6" s="403" t="s">
        <v>21</v>
      </c>
      <c r="E6" s="404" t="s">
        <v>20</v>
      </c>
      <c r="F6" s="405" t="s">
        <v>0</v>
      </c>
      <c r="G6" s="403" t="s">
        <v>21</v>
      </c>
      <c r="H6" s="406" t="s">
        <v>20</v>
      </c>
      <c r="I6" s="407" t="s">
        <v>0</v>
      </c>
      <c r="J6" s="403" t="s">
        <v>21</v>
      </c>
      <c r="K6" s="404" t="s">
        <v>20</v>
      </c>
      <c r="L6" s="405" t="s">
        <v>0</v>
      </c>
      <c r="M6" s="403" t="s">
        <v>21</v>
      </c>
      <c r="N6" s="408" t="s">
        <v>20</v>
      </c>
      <c r="O6" s="409" t="s">
        <v>0</v>
      </c>
      <c r="P6" s="403" t="s">
        <v>21</v>
      </c>
      <c r="Q6" s="404" t="s">
        <v>20</v>
      </c>
      <c r="R6" s="405" t="s">
        <v>0</v>
      </c>
      <c r="S6" s="403" t="s">
        <v>21</v>
      </c>
      <c r="T6" s="406" t="s">
        <v>20</v>
      </c>
    </row>
    <row r="7" spans="2:20" ht="23.25" customHeight="1" thickTop="1" thickBot="1">
      <c r="B7" s="410" t="s">
        <v>917</v>
      </c>
      <c r="C7" s="411">
        <f>+D7+E7</f>
        <v>0</v>
      </c>
      <c r="D7" s="412">
        <f>+D8+D9+D10+D11+D12+D13+D14+D18+D22+D23+D24+D25+D26+D27+D28</f>
        <v>0</v>
      </c>
      <c r="E7" s="413">
        <f>+E8+E9+E10+E11+E12+E13+E14+E18+E22+E23+E24+E25+E26+E27+E28</f>
        <v>0</v>
      </c>
      <c r="F7" s="414">
        <f>+G7+H7</f>
        <v>0</v>
      </c>
      <c r="G7" s="412">
        <f>+G8+G9+G10+G11+G12+G13+G14+G18+G22+G23+G24+G25+G26+G27+G28</f>
        <v>0</v>
      </c>
      <c r="H7" s="413">
        <f>+H8+H9+H10+H11+H12+H13+H14+H18+H22+H23+H24+H25+H26+H27+H28</f>
        <v>0</v>
      </c>
      <c r="I7" s="415">
        <f>+J7+K7</f>
        <v>0</v>
      </c>
      <c r="J7" s="412">
        <f>+J8+J9+J10+J11+J12+J13+J14+J18+J22+J23+J24+J25+J26+J27+J28</f>
        <v>0</v>
      </c>
      <c r="K7" s="413">
        <f>+K8+K9+K10+K11+K12+K13+K14+K18+K22+K23+K24+K25+K26+K27+K28</f>
        <v>0</v>
      </c>
      <c r="L7" s="414">
        <f>+M7+N7</f>
        <v>0</v>
      </c>
      <c r="M7" s="412">
        <f>+M8+M9+M10+M11+M12+M13+M14+M18+M22+M23+M24+M25+M26+M27+M28</f>
        <v>0</v>
      </c>
      <c r="N7" s="416">
        <f>+N8+N9+N10+N11+N12+N13+N14+N18+N22+N23+N24+N25+N26+N27+N28</f>
        <v>0</v>
      </c>
      <c r="O7" s="417">
        <f>+P7+Q7</f>
        <v>0</v>
      </c>
      <c r="P7" s="412">
        <f>+P8+P9+P10+P11+P12+P13+P14+P18+P22+P23+P24+P25+P26+P27+P28</f>
        <v>0</v>
      </c>
      <c r="Q7" s="413">
        <f>+Q8+Q9+Q10+Q11+Q12+Q13+Q14+Q18+Q22+Q23+Q24+Q25+Q26+Q27+Q28</f>
        <v>0</v>
      </c>
      <c r="R7" s="414">
        <f>+S7+T7</f>
        <v>0</v>
      </c>
      <c r="S7" s="412">
        <f>+S8+S9+S10+S11+S12+S13+S14+S18+S22+S23+S24+S25+S26+S27+S28</f>
        <v>0</v>
      </c>
      <c r="T7" s="413">
        <f>+T8+T9+T10+T11+T12+T13+T14+T18+T22+T23+T24+T25+T26+T27+T28</f>
        <v>0</v>
      </c>
    </row>
    <row r="8" spans="2:20" ht="25.5" customHeight="1">
      <c r="B8" s="418" t="s">
        <v>306</v>
      </c>
      <c r="C8" s="160">
        <f>+D8+E8</f>
        <v>0</v>
      </c>
      <c r="D8" s="311"/>
      <c r="E8" s="312"/>
      <c r="F8" s="419">
        <f>+G8+H8</f>
        <v>0</v>
      </c>
      <c r="G8" s="311"/>
      <c r="H8" s="312"/>
      <c r="I8" s="420">
        <f>+J8+K8</f>
        <v>0</v>
      </c>
      <c r="J8" s="311"/>
      <c r="K8" s="312"/>
      <c r="L8" s="419">
        <f>+M8+N8</f>
        <v>0</v>
      </c>
      <c r="M8" s="311"/>
      <c r="N8" s="421"/>
      <c r="O8" s="422">
        <f>+P8+Q8</f>
        <v>0</v>
      </c>
      <c r="P8" s="423"/>
      <c r="Q8" s="423"/>
      <c r="R8" s="419">
        <f>+S8+T8</f>
        <v>0</v>
      </c>
      <c r="S8" s="423"/>
      <c r="T8" s="424"/>
    </row>
    <row r="9" spans="2:20" ht="25.5" customHeight="1">
      <c r="B9" s="418" t="s">
        <v>183</v>
      </c>
      <c r="C9" s="314">
        <f>+D9+E9</f>
        <v>0</v>
      </c>
      <c r="D9" s="315"/>
      <c r="E9" s="316"/>
      <c r="F9" s="425">
        <f>+G9+H9</f>
        <v>0</v>
      </c>
      <c r="G9" s="315"/>
      <c r="H9" s="316"/>
      <c r="I9" s="426">
        <f>+J9+K9</f>
        <v>0</v>
      </c>
      <c r="J9" s="315"/>
      <c r="K9" s="316"/>
      <c r="L9" s="425">
        <f>+M9+N9</f>
        <v>0</v>
      </c>
      <c r="M9" s="315"/>
      <c r="N9" s="427"/>
      <c r="O9" s="428">
        <f>+P9+Q9</f>
        <v>0</v>
      </c>
      <c r="P9" s="315"/>
      <c r="Q9" s="315"/>
      <c r="R9" s="425">
        <f>+S9+T9</f>
        <v>0</v>
      </c>
      <c r="S9" s="315"/>
      <c r="T9" s="166"/>
    </row>
    <row r="10" spans="2:20" ht="25.5" customHeight="1">
      <c r="B10" s="418" t="s">
        <v>307</v>
      </c>
      <c r="C10" s="314">
        <f t="shared" ref="C10:C26" si="0">+D10+E10</f>
        <v>0</v>
      </c>
      <c r="D10" s="315"/>
      <c r="E10" s="316"/>
      <c r="F10" s="425">
        <f t="shared" ref="F10:F13" si="1">+G10+H10</f>
        <v>0</v>
      </c>
      <c r="G10" s="315"/>
      <c r="H10" s="316"/>
      <c r="I10" s="426">
        <f t="shared" ref="I10:I13" si="2">+J10+K10</f>
        <v>0</v>
      </c>
      <c r="J10" s="315"/>
      <c r="K10" s="316"/>
      <c r="L10" s="425">
        <f t="shared" ref="L10:L13" si="3">+M10+N10</f>
        <v>0</v>
      </c>
      <c r="M10" s="315"/>
      <c r="N10" s="427"/>
      <c r="O10" s="428">
        <f t="shared" ref="O10:O13" si="4">+P10+Q10</f>
        <v>0</v>
      </c>
      <c r="P10" s="315"/>
      <c r="Q10" s="315"/>
      <c r="R10" s="425">
        <f t="shared" ref="R10:R13" si="5">+S10+T10</f>
        <v>0</v>
      </c>
      <c r="S10" s="315"/>
      <c r="T10" s="166"/>
    </row>
    <row r="11" spans="2:20" ht="25.5" customHeight="1">
      <c r="B11" s="418" t="s">
        <v>308</v>
      </c>
      <c r="C11" s="314">
        <f t="shared" si="0"/>
        <v>0</v>
      </c>
      <c r="D11" s="315"/>
      <c r="E11" s="316"/>
      <c r="F11" s="425">
        <f t="shared" si="1"/>
        <v>0</v>
      </c>
      <c r="G11" s="315"/>
      <c r="H11" s="316"/>
      <c r="I11" s="426">
        <f t="shared" si="2"/>
        <v>0</v>
      </c>
      <c r="J11" s="315"/>
      <c r="K11" s="316"/>
      <c r="L11" s="425">
        <f t="shared" si="3"/>
        <v>0</v>
      </c>
      <c r="M11" s="315"/>
      <c r="N11" s="427"/>
      <c r="O11" s="428">
        <f t="shared" si="4"/>
        <v>0</v>
      </c>
      <c r="P11" s="315"/>
      <c r="Q11" s="315"/>
      <c r="R11" s="425">
        <f t="shared" si="5"/>
        <v>0</v>
      </c>
      <c r="S11" s="315"/>
      <c r="T11" s="166"/>
    </row>
    <row r="12" spans="2:20" ht="25.5" customHeight="1">
      <c r="B12" s="418" t="s">
        <v>1955</v>
      </c>
      <c r="C12" s="314">
        <f t="shared" si="0"/>
        <v>0</v>
      </c>
      <c r="D12" s="315"/>
      <c r="E12" s="316"/>
      <c r="F12" s="425">
        <f t="shared" si="1"/>
        <v>0</v>
      </c>
      <c r="G12" s="315"/>
      <c r="H12" s="316"/>
      <c r="I12" s="426">
        <f t="shared" si="2"/>
        <v>0</v>
      </c>
      <c r="J12" s="315"/>
      <c r="K12" s="316"/>
      <c r="L12" s="425">
        <f t="shared" si="3"/>
        <v>0</v>
      </c>
      <c r="M12" s="315"/>
      <c r="N12" s="427"/>
      <c r="O12" s="428">
        <f t="shared" si="4"/>
        <v>0</v>
      </c>
      <c r="P12" s="315"/>
      <c r="Q12" s="315"/>
      <c r="R12" s="425">
        <f t="shared" si="5"/>
        <v>0</v>
      </c>
      <c r="S12" s="315"/>
      <c r="T12" s="166"/>
    </row>
    <row r="13" spans="2:20" ht="25.5" customHeight="1">
      <c r="B13" s="418" t="s">
        <v>1802</v>
      </c>
      <c r="C13" s="314">
        <f t="shared" si="0"/>
        <v>0</v>
      </c>
      <c r="D13" s="315"/>
      <c r="E13" s="316"/>
      <c r="F13" s="425">
        <f t="shared" si="1"/>
        <v>0</v>
      </c>
      <c r="G13" s="315"/>
      <c r="H13" s="316"/>
      <c r="I13" s="426">
        <f t="shared" si="2"/>
        <v>0</v>
      </c>
      <c r="J13" s="315"/>
      <c r="K13" s="316"/>
      <c r="L13" s="425">
        <f t="shared" si="3"/>
        <v>0</v>
      </c>
      <c r="M13" s="315"/>
      <c r="N13" s="427"/>
      <c r="O13" s="428">
        <f t="shared" si="4"/>
        <v>0</v>
      </c>
      <c r="P13" s="311"/>
      <c r="Q13" s="311"/>
      <c r="R13" s="429">
        <f t="shared" si="5"/>
        <v>0</v>
      </c>
      <c r="S13" s="315"/>
      <c r="T13" s="166"/>
    </row>
    <row r="14" spans="2:20" ht="25.5" customHeight="1">
      <c r="B14" s="418" t="s">
        <v>186</v>
      </c>
      <c r="C14" s="430">
        <f>+D14+E14</f>
        <v>0</v>
      </c>
      <c r="D14" s="431">
        <f>SUM(D15:D17)</f>
        <v>0</v>
      </c>
      <c r="E14" s="432">
        <f>SUM(E15:E17)</f>
        <v>0</v>
      </c>
      <c r="F14" s="433">
        <f>+G14+H14</f>
        <v>0</v>
      </c>
      <c r="G14" s="431">
        <f>SUM(G15:G17)</f>
        <v>0</v>
      </c>
      <c r="H14" s="432">
        <f>SUM(H15:H17)</f>
        <v>0</v>
      </c>
      <c r="I14" s="434">
        <f>+J14+K14</f>
        <v>0</v>
      </c>
      <c r="J14" s="431">
        <f>SUM(J15:J17)</f>
        <v>0</v>
      </c>
      <c r="K14" s="432">
        <f>SUM(K15:K17)</f>
        <v>0</v>
      </c>
      <c r="L14" s="433">
        <f>+M14+N14</f>
        <v>0</v>
      </c>
      <c r="M14" s="431">
        <f>SUM(M15:M17)</f>
        <v>0</v>
      </c>
      <c r="N14" s="435">
        <f>SUM(N15:N17)</f>
        <v>0</v>
      </c>
      <c r="O14" s="436">
        <f>+P14+Q14</f>
        <v>0</v>
      </c>
      <c r="P14" s="437">
        <f>SUM(P15:P17)</f>
        <v>0</v>
      </c>
      <c r="Q14" s="437">
        <f>SUM(Q15:Q17)</f>
        <v>0</v>
      </c>
      <c r="R14" s="438">
        <f>+S14+T14</f>
        <v>0</v>
      </c>
      <c r="S14" s="437">
        <f>SUM(S15:S17)</f>
        <v>0</v>
      </c>
      <c r="T14" s="439">
        <f>SUM(T15:T17)</f>
        <v>0</v>
      </c>
    </row>
    <row r="15" spans="2:20" ht="25.5" customHeight="1">
      <c r="B15" s="440" t="s">
        <v>1803</v>
      </c>
      <c r="C15" s="228">
        <f t="shared" si="0"/>
        <v>0</v>
      </c>
      <c r="D15" s="229"/>
      <c r="E15" s="276"/>
      <c r="F15" s="441">
        <f t="shared" ref="F15:F17" si="6">+G15+H15</f>
        <v>0</v>
      </c>
      <c r="G15" s="229"/>
      <c r="H15" s="276"/>
      <c r="I15" s="442">
        <f t="shared" ref="I15:I17" si="7">+J15+K15</f>
        <v>0</v>
      </c>
      <c r="J15" s="229"/>
      <c r="K15" s="276"/>
      <c r="L15" s="441">
        <f t="shared" ref="L15:L17" si="8">+M15+N15</f>
        <v>0</v>
      </c>
      <c r="M15" s="229"/>
      <c r="N15" s="443"/>
      <c r="O15" s="444">
        <f t="shared" ref="O15:O17" si="9">+P15+Q15</f>
        <v>0</v>
      </c>
      <c r="P15" s="229"/>
      <c r="Q15" s="229"/>
      <c r="R15" s="441">
        <f t="shared" ref="R15:R17" si="10">+S15+T15</f>
        <v>0</v>
      </c>
      <c r="S15" s="229"/>
      <c r="T15" s="113"/>
    </row>
    <row r="16" spans="2:20" ht="25.5" customHeight="1">
      <c r="B16" s="445" t="s">
        <v>1804</v>
      </c>
      <c r="C16" s="228">
        <f t="shared" si="0"/>
        <v>0</v>
      </c>
      <c r="D16" s="229"/>
      <c r="E16" s="276"/>
      <c r="F16" s="441">
        <f t="shared" si="6"/>
        <v>0</v>
      </c>
      <c r="G16" s="229"/>
      <c r="H16" s="276"/>
      <c r="I16" s="442">
        <f t="shared" si="7"/>
        <v>0</v>
      </c>
      <c r="J16" s="229"/>
      <c r="K16" s="276"/>
      <c r="L16" s="441">
        <f t="shared" si="8"/>
        <v>0</v>
      </c>
      <c r="M16" s="229"/>
      <c r="N16" s="443"/>
      <c r="O16" s="444">
        <f t="shared" si="9"/>
        <v>0</v>
      </c>
      <c r="P16" s="229"/>
      <c r="Q16" s="229"/>
      <c r="R16" s="441">
        <f t="shared" si="10"/>
        <v>0</v>
      </c>
      <c r="S16" s="229"/>
      <c r="T16" s="113"/>
    </row>
    <row r="17" spans="2:20" ht="25.5" customHeight="1">
      <c r="B17" s="446" t="s">
        <v>1805</v>
      </c>
      <c r="C17" s="160">
        <f t="shared" si="0"/>
        <v>0</v>
      </c>
      <c r="D17" s="311"/>
      <c r="E17" s="312"/>
      <c r="F17" s="419">
        <f t="shared" si="6"/>
        <v>0</v>
      </c>
      <c r="G17" s="311"/>
      <c r="H17" s="312"/>
      <c r="I17" s="420">
        <f t="shared" si="7"/>
        <v>0</v>
      </c>
      <c r="J17" s="311"/>
      <c r="K17" s="312"/>
      <c r="L17" s="419">
        <f t="shared" si="8"/>
        <v>0</v>
      </c>
      <c r="M17" s="311"/>
      <c r="N17" s="421"/>
      <c r="O17" s="422">
        <f t="shared" si="9"/>
        <v>0</v>
      </c>
      <c r="P17" s="311"/>
      <c r="Q17" s="311"/>
      <c r="R17" s="419">
        <f t="shared" si="10"/>
        <v>0</v>
      </c>
      <c r="S17" s="311"/>
      <c r="T17" s="447"/>
    </row>
    <row r="18" spans="2:20" ht="25.5" customHeight="1">
      <c r="B18" s="448" t="s">
        <v>1905</v>
      </c>
      <c r="C18" s="430">
        <f>+D18+E18</f>
        <v>0</v>
      </c>
      <c r="D18" s="431">
        <f>SUM(D19:D21)</f>
        <v>0</v>
      </c>
      <c r="E18" s="432">
        <f>SUM(E19:E21)</f>
        <v>0</v>
      </c>
      <c r="F18" s="433">
        <f>+G18+H18</f>
        <v>0</v>
      </c>
      <c r="G18" s="431">
        <f>SUM(G19:G21)</f>
        <v>0</v>
      </c>
      <c r="H18" s="432">
        <f>SUM(H19:H21)</f>
        <v>0</v>
      </c>
      <c r="I18" s="434">
        <f>+J18+K18</f>
        <v>0</v>
      </c>
      <c r="J18" s="431">
        <f>SUM(J19:J21)</f>
        <v>0</v>
      </c>
      <c r="K18" s="432">
        <f>SUM(K19:K21)</f>
        <v>0</v>
      </c>
      <c r="L18" s="433">
        <f>+M18+N18</f>
        <v>0</v>
      </c>
      <c r="M18" s="431">
        <f>SUM(M19:M21)</f>
        <v>0</v>
      </c>
      <c r="N18" s="435">
        <f>SUM(N19:N21)</f>
        <v>0</v>
      </c>
      <c r="O18" s="436">
        <f>+P18+Q18</f>
        <v>0</v>
      </c>
      <c r="P18" s="437">
        <f>SUM(P19:P21)</f>
        <v>0</v>
      </c>
      <c r="Q18" s="437">
        <f>SUM(Q19:Q21)</f>
        <v>0</v>
      </c>
      <c r="R18" s="438">
        <f>+S18+T18</f>
        <v>0</v>
      </c>
      <c r="S18" s="437">
        <f>SUM(S19:S21)</f>
        <v>0</v>
      </c>
      <c r="T18" s="439">
        <f>SUM(T19:T21)</f>
        <v>0</v>
      </c>
    </row>
    <row r="19" spans="2:20" ht="25.5" customHeight="1">
      <c r="B19" s="440" t="s">
        <v>1803</v>
      </c>
      <c r="C19" s="228">
        <f t="shared" ref="C19:C21" si="11">+D19+E19</f>
        <v>0</v>
      </c>
      <c r="D19" s="229"/>
      <c r="E19" s="276"/>
      <c r="F19" s="441">
        <f t="shared" ref="F19:F24" si="12">+G19+H19</f>
        <v>0</v>
      </c>
      <c r="G19" s="229"/>
      <c r="H19" s="276"/>
      <c r="I19" s="442">
        <f t="shared" ref="I19:I24" si="13">+J19+K19</f>
        <v>0</v>
      </c>
      <c r="J19" s="229"/>
      <c r="K19" s="276"/>
      <c r="L19" s="441">
        <f t="shared" ref="L19:L24" si="14">+M19+N19</f>
        <v>0</v>
      </c>
      <c r="M19" s="229"/>
      <c r="N19" s="443"/>
      <c r="O19" s="444">
        <f t="shared" ref="O19:O24" si="15">+P19+Q19</f>
        <v>0</v>
      </c>
      <c r="P19" s="229"/>
      <c r="Q19" s="229"/>
      <c r="R19" s="441">
        <f t="shared" ref="R19:R24" si="16">+S19+T19</f>
        <v>0</v>
      </c>
      <c r="S19" s="229"/>
      <c r="T19" s="113"/>
    </row>
    <row r="20" spans="2:20" ht="25.5" customHeight="1">
      <c r="B20" s="445" t="s">
        <v>1804</v>
      </c>
      <c r="C20" s="228">
        <f t="shared" si="11"/>
        <v>0</v>
      </c>
      <c r="D20" s="229"/>
      <c r="E20" s="276"/>
      <c r="F20" s="441">
        <f t="shared" si="12"/>
        <v>0</v>
      </c>
      <c r="G20" s="229"/>
      <c r="H20" s="276"/>
      <c r="I20" s="442">
        <f t="shared" si="13"/>
        <v>0</v>
      </c>
      <c r="J20" s="229"/>
      <c r="K20" s="276"/>
      <c r="L20" s="441">
        <f t="shared" si="14"/>
        <v>0</v>
      </c>
      <c r="M20" s="229"/>
      <c r="N20" s="443"/>
      <c r="O20" s="444">
        <f t="shared" si="15"/>
        <v>0</v>
      </c>
      <c r="P20" s="229"/>
      <c r="Q20" s="229"/>
      <c r="R20" s="441">
        <f t="shared" si="16"/>
        <v>0</v>
      </c>
      <c r="S20" s="229"/>
      <c r="T20" s="113"/>
    </row>
    <row r="21" spans="2:20" ht="25.5" customHeight="1">
      <c r="B21" s="449" t="s">
        <v>1805</v>
      </c>
      <c r="C21" s="160">
        <f t="shared" si="11"/>
        <v>0</v>
      </c>
      <c r="D21" s="311"/>
      <c r="E21" s="312"/>
      <c r="F21" s="419">
        <f t="shared" si="12"/>
        <v>0</v>
      </c>
      <c r="G21" s="311"/>
      <c r="H21" s="312"/>
      <c r="I21" s="420">
        <f t="shared" si="13"/>
        <v>0</v>
      </c>
      <c r="J21" s="311"/>
      <c r="K21" s="312"/>
      <c r="L21" s="419">
        <f t="shared" si="14"/>
        <v>0</v>
      </c>
      <c r="M21" s="311"/>
      <c r="N21" s="421"/>
      <c r="O21" s="422">
        <f t="shared" si="15"/>
        <v>0</v>
      </c>
      <c r="P21" s="311"/>
      <c r="Q21" s="311"/>
      <c r="R21" s="419">
        <f t="shared" si="16"/>
        <v>0</v>
      </c>
      <c r="S21" s="311"/>
      <c r="T21" s="447"/>
    </row>
    <row r="22" spans="2:20" ht="25.5" customHeight="1">
      <c r="B22" s="418" t="s">
        <v>187</v>
      </c>
      <c r="C22" s="314">
        <f t="shared" si="0"/>
        <v>0</v>
      </c>
      <c r="D22" s="315"/>
      <c r="E22" s="316"/>
      <c r="F22" s="425">
        <f t="shared" si="12"/>
        <v>0</v>
      </c>
      <c r="G22" s="315"/>
      <c r="H22" s="316"/>
      <c r="I22" s="426">
        <f t="shared" si="13"/>
        <v>0</v>
      </c>
      <c r="J22" s="315"/>
      <c r="K22" s="316"/>
      <c r="L22" s="425">
        <f t="shared" si="14"/>
        <v>0</v>
      </c>
      <c r="M22" s="315"/>
      <c r="N22" s="427"/>
      <c r="O22" s="428">
        <f t="shared" si="15"/>
        <v>0</v>
      </c>
      <c r="P22" s="315"/>
      <c r="Q22" s="315"/>
      <c r="R22" s="425">
        <f t="shared" si="16"/>
        <v>0</v>
      </c>
      <c r="S22" s="315"/>
      <c r="T22" s="166"/>
    </row>
    <row r="23" spans="2:20" ht="25.5" customHeight="1" thickBot="1">
      <c r="B23" s="418" t="s">
        <v>1963</v>
      </c>
      <c r="C23" s="314">
        <f t="shared" si="0"/>
        <v>0</v>
      </c>
      <c r="D23" s="315"/>
      <c r="E23" s="316"/>
      <c r="F23" s="425">
        <f t="shared" si="12"/>
        <v>0</v>
      </c>
      <c r="G23" s="315"/>
      <c r="H23" s="316"/>
      <c r="I23" s="426">
        <f t="shared" si="13"/>
        <v>0</v>
      </c>
      <c r="J23" s="315"/>
      <c r="K23" s="316"/>
      <c r="L23" s="425">
        <f t="shared" si="14"/>
        <v>0</v>
      </c>
      <c r="M23" s="315"/>
      <c r="N23" s="427"/>
      <c r="O23" s="428">
        <f t="shared" si="15"/>
        <v>0</v>
      </c>
      <c r="P23" s="315"/>
      <c r="Q23" s="315"/>
      <c r="R23" s="425">
        <f t="shared" si="16"/>
        <v>0</v>
      </c>
      <c r="S23" s="315"/>
      <c r="T23" s="166"/>
    </row>
    <row r="24" spans="2:20" ht="25.5" hidden="1" customHeight="1" thickBot="1">
      <c r="B24" s="418" t="s">
        <v>1806</v>
      </c>
      <c r="C24" s="314">
        <f t="shared" si="0"/>
        <v>0</v>
      </c>
      <c r="D24" s="315"/>
      <c r="E24" s="316"/>
      <c r="F24" s="425">
        <f t="shared" si="12"/>
        <v>0</v>
      </c>
      <c r="G24" s="315"/>
      <c r="H24" s="316"/>
      <c r="I24" s="426">
        <f t="shared" si="13"/>
        <v>0</v>
      </c>
      <c r="J24" s="315"/>
      <c r="K24" s="316"/>
      <c r="L24" s="425">
        <f t="shared" si="14"/>
        <v>0</v>
      </c>
      <c r="M24" s="315"/>
      <c r="N24" s="427"/>
      <c r="O24" s="450">
        <f t="shared" si="15"/>
        <v>0</v>
      </c>
      <c r="P24" s="451"/>
      <c r="Q24" s="451"/>
      <c r="R24" s="452">
        <f t="shared" si="16"/>
        <v>0</v>
      </c>
      <c r="S24" s="311"/>
      <c r="T24" s="447"/>
    </row>
    <row r="25" spans="2:20" ht="25.5" customHeight="1">
      <c r="B25" s="453" t="s">
        <v>1964</v>
      </c>
      <c r="C25" s="454">
        <f>+D25+E25</f>
        <v>0</v>
      </c>
      <c r="D25" s="455"/>
      <c r="E25" s="456"/>
      <c r="F25" s="457">
        <f>+G25+H25</f>
        <v>0</v>
      </c>
      <c r="G25" s="455"/>
      <c r="H25" s="456"/>
      <c r="I25" s="458">
        <f>+J25+K25</f>
        <v>0</v>
      </c>
      <c r="J25" s="455"/>
      <c r="K25" s="456"/>
      <c r="L25" s="457">
        <f>+M25+N25</f>
        <v>0</v>
      </c>
      <c r="M25" s="455"/>
      <c r="N25" s="459"/>
      <c r="O25" s="692">
        <f>+P25+Q25</f>
        <v>0</v>
      </c>
      <c r="P25" s="455"/>
      <c r="Q25" s="455"/>
      <c r="R25" s="457">
        <f>+S25+T25</f>
        <v>0</v>
      </c>
      <c r="S25" s="460"/>
      <c r="T25" s="461"/>
    </row>
    <row r="26" spans="2:20" ht="25.5" customHeight="1">
      <c r="B26" s="462" t="s">
        <v>1965</v>
      </c>
      <c r="C26" s="314">
        <f t="shared" si="0"/>
        <v>0</v>
      </c>
      <c r="D26" s="315"/>
      <c r="E26" s="316"/>
      <c r="F26" s="425">
        <f t="shared" ref="F26" si="17">+G26+H26</f>
        <v>0</v>
      </c>
      <c r="G26" s="315"/>
      <c r="H26" s="316"/>
      <c r="I26" s="426">
        <f t="shared" ref="I26" si="18">+J26+K26</f>
        <v>0</v>
      </c>
      <c r="J26" s="315"/>
      <c r="K26" s="316"/>
      <c r="L26" s="425">
        <f t="shared" ref="L26" si="19">+M26+N26</f>
        <v>0</v>
      </c>
      <c r="M26" s="315"/>
      <c r="N26" s="427"/>
      <c r="O26" s="428">
        <f t="shared" ref="O26" si="20">+P26+Q26</f>
        <v>0</v>
      </c>
      <c r="P26" s="315"/>
      <c r="Q26" s="315"/>
      <c r="R26" s="425">
        <f t="shared" ref="R26" si="21">+S26+T26</f>
        <v>0</v>
      </c>
      <c r="S26" s="315"/>
      <c r="T26" s="166"/>
    </row>
    <row r="27" spans="2:20" s="93" customFormat="1" ht="25.5" customHeight="1">
      <c r="B27" s="463" t="s">
        <v>1903</v>
      </c>
      <c r="C27" s="314">
        <f>+D27+E27</f>
        <v>0</v>
      </c>
      <c r="D27" s="315"/>
      <c r="E27" s="316"/>
      <c r="F27" s="425">
        <f>+G27+H27</f>
        <v>0</v>
      </c>
      <c r="G27" s="315"/>
      <c r="H27" s="316"/>
      <c r="I27" s="426">
        <f>+J27+K27</f>
        <v>0</v>
      </c>
      <c r="J27" s="315"/>
      <c r="K27" s="316"/>
      <c r="L27" s="425">
        <f>+M27+N27</f>
        <v>0</v>
      </c>
      <c r="M27" s="315"/>
      <c r="N27" s="427"/>
      <c r="O27" s="428">
        <f>+P27+Q27</f>
        <v>0</v>
      </c>
      <c r="P27" s="315"/>
      <c r="Q27" s="315"/>
      <c r="R27" s="425">
        <f>+S27+T27</f>
        <v>0</v>
      </c>
      <c r="S27" s="315"/>
      <c r="T27" s="166"/>
    </row>
    <row r="28" spans="2:20" s="93" customFormat="1" ht="25.5" customHeight="1" thickBot="1">
      <c r="B28" s="464" t="s">
        <v>1966</v>
      </c>
      <c r="C28" s="318">
        <f>+D28+E28</f>
        <v>0</v>
      </c>
      <c r="D28" s="319"/>
      <c r="E28" s="320"/>
      <c r="F28" s="465">
        <f>+G28+H28</f>
        <v>0</v>
      </c>
      <c r="G28" s="319"/>
      <c r="H28" s="320"/>
      <c r="I28" s="466">
        <f>+J28+K28</f>
        <v>0</v>
      </c>
      <c r="J28" s="319"/>
      <c r="K28" s="320"/>
      <c r="L28" s="465">
        <f>+M28+N28</f>
        <v>0</v>
      </c>
      <c r="M28" s="319"/>
      <c r="N28" s="467"/>
      <c r="O28" s="468">
        <f>+P28+Q28</f>
        <v>0</v>
      </c>
      <c r="P28" s="469"/>
      <c r="Q28" s="469"/>
      <c r="R28" s="470">
        <f>+S28+T28</f>
        <v>0</v>
      </c>
      <c r="S28" s="469"/>
      <c r="T28" s="471"/>
    </row>
    <row r="29" spans="2:20" ht="18" customHeight="1" thickTop="1">
      <c r="B29" s="683" t="s">
        <v>1807</v>
      </c>
      <c r="C29" s="472"/>
      <c r="D29" s="325" t="str">
        <f>IF(D7&lt;=('CUADRO 1'!E7+'CUADRO 1'!E8+'CUADRO 1'!E9),"","XX")</f>
        <v/>
      </c>
      <c r="E29" s="325" t="str">
        <f>IF(E7&lt;=('CUADRO 1'!F7+'CUADRO 1'!F8+'CUADRO 1'!F9),"","XX")</f>
        <v/>
      </c>
      <c r="F29" s="472"/>
      <c r="G29" s="473" t="str">
        <f>IF(OR(G8&gt;D8,G9&gt;D9,G10&gt;D10,G11&gt;D11,G12&gt;D12,G13&gt;D13,G15&gt;D15,G16&gt;D16,G17&gt;D17,G19&gt;D19,G20&gt;D20,G21&gt;D21,G22&gt;D22,G23&gt;D23,G24&gt;D24,G25&gt;D25,G26&gt;D26,G27&gt;D27,G28&gt;D28),"XXX","")</f>
        <v/>
      </c>
      <c r="H29" s="473" t="str">
        <f>IF(OR(H8&gt;E8,H9&gt;E9,H10&gt;E10,H11&gt;E11,H12&gt;E12,H13&gt;E13,H15&gt;E15,H16&gt;E16,H17&gt;E17,H19&gt;E19,H20&gt;E20,H21&gt;E21,H22&gt;E22,H23&gt;E23,H24&gt;E24,H25&gt;E25,H26&gt;E26,H27&gt;E27,H28&gt;E28),"XXX","")</f>
        <v/>
      </c>
      <c r="I29" s="472"/>
      <c r="J29" s="325" t="str">
        <f>IF(J7&lt;=('CUADRO 1'!E10+'CUADRO 1'!E11+'CUADRO 1'!E12),"","XX")</f>
        <v/>
      </c>
      <c r="K29" s="325" t="str">
        <f>IF(K7&lt;=('CUADRO 1'!F10+'CUADRO 1'!F11+'CUADRO 1'!F12),"","XX")</f>
        <v/>
      </c>
      <c r="L29" s="472"/>
      <c r="M29" s="473" t="str">
        <f>IF(OR(M8&gt;J8,M9&gt;J9,M10&gt;J10,M11&gt;J11,M12&gt;J12,M13&gt;J13,M15&gt;J15,M16&gt;J16,M17&gt;J17,M19&gt;J19,M20&gt;J20,M21&gt;J21,M22&gt;J22,M23&gt;J23,M24&gt;J24,M25&gt;J25,M26&gt;J26,M27&gt;J27,M28&gt;J28),"XXX","")</f>
        <v/>
      </c>
      <c r="N29" s="473" t="str">
        <f>IF(OR(N8&gt;K8,N9&gt;K9,N10&gt;K10,N11&gt;K11,N12&gt;K12,N13&gt;K13,N15&gt;K15,N16&gt;K16,N17&gt;K17,N19&gt;K19,N20&gt;K20,N21&gt;K21,N22&gt;K22,N23&gt;K23,N24&gt;K24,N25&gt;K25,N26&gt;K26,N27&gt;K27,N28&gt;K28),"XXX","")</f>
        <v/>
      </c>
      <c r="O29" s="472"/>
      <c r="P29" s="474" t="str">
        <f>IF(OR(P8&gt;D8,P9&gt;D9,P10&gt;D10,P11&gt;D11,P12&gt;D12,P13&gt;D13,P15&gt;D15,P16&gt;D16,P17&gt;D17,P19&gt;D19,P20&gt;D20,P21&gt;D21,P22&gt;D22,P23&gt;D23,P24&gt;D24,P25&gt;D25,P26&gt;D26,P27&gt;D27,P28&gt;D28),"XXX","")</f>
        <v/>
      </c>
      <c r="Q29" s="474" t="str">
        <f>IF(OR(Q8&gt;E8,Q9&gt;E9,Q10&gt;E10,Q11&gt;E11,Q12&gt;E12,Q13&gt;E13,Q15&gt;E15,Q16&gt;E16,Q17&gt;E17,Q19&gt;E19,Q20&gt;E20,Q21&gt;E21,Q22&gt;E22,Q23&gt;E23,Q24&gt;E24,Q25&gt;E25,Q26&gt;E26,Q27&gt;E27,Q28&gt;E28),"XXX","")</f>
        <v/>
      </c>
      <c r="R29" s="472"/>
      <c r="S29" s="474" t="str">
        <f>IF(OR(S8&gt;J8,S9&gt;J9,S10&gt;J10,S11&gt;J11,S12&gt;J12,S13&gt;J13,S15&gt;J15,S16&gt;J16,S17&gt;J17,S19&gt;J19,S20&gt;J20,S21&gt;J21,S22&gt;J22,S23&gt;J23,S24&gt;J24,S25&gt;J25,S26&gt;J26,S27&gt;J27,S28&gt;J28),"XXX","")</f>
        <v/>
      </c>
      <c r="T29" s="474" t="str">
        <f>IF(OR(T8&gt;K8,T9&gt;K9,T10&gt;K10,T11&gt;K11,T12&gt;K12,T13&gt;K13,T15&gt;K15,T16&gt;K16,T17&gt;K17,T19&gt;K19,T20&gt;K20,T21&gt;K21,T22&gt;K22,T23&gt;K23,T24&gt;K24,T25&gt;K25,T26&gt;K26,T27&gt;K27,T28&gt;K28),"XXX","")</f>
        <v/>
      </c>
    </row>
    <row r="30" spans="2:20" ht="18" customHeight="1">
      <c r="B30" s="687" t="s">
        <v>1967</v>
      </c>
      <c r="E30" s="475"/>
      <c r="F30" s="897" t="str">
        <f>IF(OR(D29="XX",E29="XX",J29="XX",K29="XX",),"XX = ¡VERIFICAR!.  El total de hombres o mujeres de la Parte 1 de este Cuadro, es mayor a lo reportado en el Cuadro 1.","")</f>
        <v/>
      </c>
      <c r="G30" s="897"/>
      <c r="H30" s="897"/>
      <c r="I30" s="897"/>
      <c r="J30" s="897"/>
      <c r="K30" s="897"/>
      <c r="L30" s="897"/>
      <c r="M30" s="897"/>
      <c r="N30" s="897"/>
      <c r="P30" s="898" t="str">
        <f>IF(OR(P29="XXX",Q29="XXX",S29="XXX",T29="XXX"),"XXX = ¡VERIFICAR!.  En alguna Discapacidad o Condición se están indicando más estudiantes Alfabetizados que los reportados en la parte (1).","")</f>
        <v/>
      </c>
      <c r="Q30" s="898"/>
      <c r="R30" s="898"/>
      <c r="S30" s="898"/>
      <c r="T30" s="898"/>
    </row>
    <row r="31" spans="2:20" ht="18" customHeight="1">
      <c r="B31" s="687" t="s">
        <v>1968</v>
      </c>
      <c r="D31" s="475"/>
      <c r="E31" s="475"/>
      <c r="F31" s="897"/>
      <c r="G31" s="897"/>
      <c r="H31" s="897"/>
      <c r="I31" s="897"/>
      <c r="J31" s="897"/>
      <c r="K31" s="897"/>
      <c r="L31" s="897"/>
      <c r="M31" s="897"/>
      <c r="N31" s="897"/>
      <c r="P31" s="898"/>
      <c r="Q31" s="898"/>
      <c r="R31" s="898"/>
      <c r="S31" s="898"/>
      <c r="T31" s="898"/>
    </row>
    <row r="32" spans="2:20" ht="18" customHeight="1">
      <c r="B32" s="688" t="s">
        <v>1969</v>
      </c>
      <c r="C32" s="476"/>
      <c r="F32" s="897" t="str">
        <f>IF(OR(G29="XXX",H29="XXX",M29="XXX",N29="XXX"),"XXX = ¡VERIFICAR!.  En alguna Discapacidad o Condición se están indicando más estudiantes con Servicios de Apoyo que el total indicado con la Discapacidad o Condición.","")</f>
        <v/>
      </c>
      <c r="G32" s="897"/>
      <c r="H32" s="897"/>
      <c r="I32" s="897"/>
      <c r="J32" s="897"/>
      <c r="K32" s="897"/>
      <c r="L32" s="897"/>
      <c r="M32" s="897"/>
      <c r="N32" s="897"/>
      <c r="O32" s="476"/>
      <c r="P32" s="898"/>
      <c r="Q32" s="898"/>
      <c r="R32" s="898"/>
      <c r="S32" s="898"/>
      <c r="T32" s="898"/>
    </row>
    <row r="33" spans="2:20" ht="18" customHeight="1">
      <c r="B33" s="477"/>
      <c r="C33" s="478"/>
      <c r="E33" s="475"/>
      <c r="F33" s="897"/>
      <c r="G33" s="897"/>
      <c r="H33" s="897"/>
      <c r="I33" s="897"/>
      <c r="J33" s="897"/>
      <c r="K33" s="897"/>
      <c r="L33" s="897"/>
      <c r="M33" s="897"/>
      <c r="N33" s="897"/>
      <c r="P33" s="898"/>
      <c r="Q33" s="898"/>
      <c r="R33" s="898"/>
      <c r="S33" s="898"/>
      <c r="T33" s="898"/>
    </row>
    <row r="34" spans="2:20" ht="18" customHeight="1">
      <c r="B34" s="257" t="s">
        <v>290</v>
      </c>
      <c r="C34" s="479"/>
      <c r="D34" s="480"/>
      <c r="E34" s="480"/>
      <c r="F34" s="899"/>
      <c r="G34" s="899"/>
      <c r="H34" s="899"/>
      <c r="I34" s="899"/>
      <c r="J34" s="899"/>
      <c r="K34" s="899"/>
      <c r="L34" s="899"/>
      <c r="M34" s="899"/>
      <c r="N34" s="899"/>
      <c r="P34" s="898"/>
      <c r="Q34" s="898"/>
      <c r="R34" s="898"/>
      <c r="S34" s="898"/>
      <c r="T34" s="898"/>
    </row>
    <row r="35" spans="2:20" ht="14.25" customHeight="1">
      <c r="B35" s="810"/>
      <c r="C35" s="811"/>
      <c r="D35" s="811"/>
      <c r="E35" s="811"/>
      <c r="F35" s="811"/>
      <c r="G35" s="811"/>
      <c r="H35" s="811"/>
      <c r="I35" s="811"/>
      <c r="J35" s="811"/>
      <c r="K35" s="811"/>
      <c r="L35" s="811"/>
      <c r="M35" s="811"/>
      <c r="N35" s="812"/>
      <c r="P35" s="481"/>
      <c r="Q35" s="481"/>
    </row>
    <row r="36" spans="2:20" ht="14.25" customHeight="1">
      <c r="B36" s="813"/>
      <c r="C36" s="814"/>
      <c r="D36" s="814"/>
      <c r="E36" s="814"/>
      <c r="F36" s="814"/>
      <c r="G36" s="814"/>
      <c r="H36" s="814"/>
      <c r="I36" s="814"/>
      <c r="J36" s="814"/>
      <c r="K36" s="814"/>
      <c r="L36" s="814"/>
      <c r="M36" s="814"/>
      <c r="N36" s="815"/>
      <c r="P36" s="481"/>
      <c r="Q36" s="481"/>
    </row>
    <row r="37" spans="2:20" ht="14.25" customHeight="1">
      <c r="B37" s="813"/>
      <c r="C37" s="814"/>
      <c r="D37" s="814"/>
      <c r="E37" s="814"/>
      <c r="F37" s="814"/>
      <c r="G37" s="814"/>
      <c r="H37" s="814"/>
      <c r="I37" s="814"/>
      <c r="J37" s="814"/>
      <c r="K37" s="814"/>
      <c r="L37" s="814"/>
      <c r="M37" s="814"/>
      <c r="N37" s="815"/>
      <c r="P37" s="481"/>
      <c r="Q37" s="481"/>
    </row>
    <row r="38" spans="2:20" ht="14.25" customHeight="1">
      <c r="B38" s="816"/>
      <c r="C38" s="817"/>
      <c r="D38" s="817"/>
      <c r="E38" s="817"/>
      <c r="F38" s="817"/>
      <c r="G38" s="817"/>
      <c r="H38" s="817"/>
      <c r="I38" s="817"/>
      <c r="J38" s="817"/>
      <c r="K38" s="817"/>
      <c r="L38" s="817"/>
      <c r="M38" s="817"/>
      <c r="N38" s="818"/>
      <c r="P38" s="481"/>
      <c r="Q38" s="481"/>
    </row>
    <row r="39" spans="2:20" ht="8.25" customHeight="1"/>
  </sheetData>
  <sheetProtection algorithmName="SHA-512" hashValue="8d+jhL5MJzuswYBkzDKpWGCpDzaKaCiz7C6/+kW80tw4aq/X+fOjqNg4Mfwi6EGr1uXpi93mV9lCqYKM6lyNyw==" saltValue="/nHzsfEgylWfcla5l3kTSA==" spinCount="100000" sheet="1" objects="1" scenarios="1"/>
  <mergeCells count="15">
    <mergeCell ref="F30:N31"/>
    <mergeCell ref="P30:T34"/>
    <mergeCell ref="F32:N34"/>
    <mergeCell ref="B35:N38"/>
    <mergeCell ref="F4:H5"/>
    <mergeCell ref="I4:K5"/>
    <mergeCell ref="L4:N5"/>
    <mergeCell ref="O5:Q5"/>
    <mergeCell ref="R5:T5"/>
    <mergeCell ref="S1:T1"/>
    <mergeCell ref="C3:H3"/>
    <mergeCell ref="I3:N3"/>
    <mergeCell ref="B3:B5"/>
    <mergeCell ref="O3:T4"/>
    <mergeCell ref="C4:E5"/>
  </mergeCells>
  <conditionalFormatting sqref="O7:Q7">
    <cfRule type="cellIs" dxfId="192" priority="297" operator="equal">
      <formula>0</formula>
    </cfRule>
  </conditionalFormatting>
  <conditionalFormatting sqref="F32:N34">
    <cfRule type="notContainsBlanks" dxfId="191" priority="355">
      <formula>LEN(TRIM(F32))&gt;0</formula>
    </cfRule>
  </conditionalFormatting>
  <conditionalFormatting sqref="F30:N31">
    <cfRule type="notContainsBlanks" dxfId="190" priority="354">
      <formula>LEN(TRIM(F30))&gt;0</formula>
    </cfRule>
  </conditionalFormatting>
  <conditionalFormatting sqref="C7:E7">
    <cfRule type="cellIs" dxfId="189" priority="343" operator="equal">
      <formula>0</formula>
    </cfRule>
  </conditionalFormatting>
  <conditionalFormatting sqref="F7:H7">
    <cfRule type="cellIs" dxfId="188" priority="332" operator="equal">
      <formula>0</formula>
    </cfRule>
  </conditionalFormatting>
  <conditionalFormatting sqref="I7:K7">
    <cfRule type="cellIs" dxfId="187" priority="321" operator="equal">
      <formula>0</formula>
    </cfRule>
  </conditionalFormatting>
  <conditionalFormatting sqref="L7:N7">
    <cfRule type="cellIs" dxfId="186" priority="310" operator="equal">
      <formula>0</formula>
    </cfRule>
  </conditionalFormatting>
  <conditionalFormatting sqref="O33:O34">
    <cfRule type="notContainsBlanks" dxfId="185" priority="309">
      <formula>LEN(TRIM(O33))&gt;0</formula>
    </cfRule>
  </conditionalFormatting>
  <conditionalFormatting sqref="O30:O31">
    <cfRule type="notContainsBlanks" dxfId="184" priority="308">
      <formula>LEN(TRIM(O30))&gt;0</formula>
    </cfRule>
  </conditionalFormatting>
  <conditionalFormatting sqref="R7:T7">
    <cfRule type="cellIs" dxfId="183" priority="286" operator="equal">
      <formula>0</formula>
    </cfRule>
  </conditionalFormatting>
  <conditionalFormatting sqref="P30:T34">
    <cfRule type="notContainsBlanks" dxfId="182" priority="285">
      <formula>LEN(TRIM(P30))&gt;0</formula>
    </cfRule>
  </conditionalFormatting>
  <conditionalFormatting sqref="Q18">
    <cfRule type="cellIs" dxfId="181" priority="63" operator="equal">
      <formula>0</formula>
    </cfRule>
  </conditionalFormatting>
  <conditionalFormatting sqref="Q14">
    <cfRule type="cellIs" dxfId="180" priority="62" operator="equal">
      <formula>0</formula>
    </cfRule>
  </conditionalFormatting>
  <conditionalFormatting sqref="S18">
    <cfRule type="cellIs" dxfId="179" priority="42" operator="equal">
      <formula>0</formula>
    </cfRule>
  </conditionalFormatting>
  <conditionalFormatting sqref="S14">
    <cfRule type="cellIs" dxfId="178" priority="41" operator="equal">
      <formula>0</formula>
    </cfRule>
  </conditionalFormatting>
  <conditionalFormatting sqref="O18:O19 O21">
    <cfRule type="cellIs" dxfId="177" priority="101" operator="equal">
      <formula>0</formula>
    </cfRule>
  </conditionalFormatting>
  <conditionalFormatting sqref="O18:P18">
    <cfRule type="cellIs" dxfId="176" priority="100" operator="equal">
      <formula>0</formula>
    </cfRule>
  </conditionalFormatting>
  <conditionalFormatting sqref="O10:O13">
    <cfRule type="cellIs" dxfId="175" priority="99" operator="equal">
      <formula>0</formula>
    </cfRule>
  </conditionalFormatting>
  <conditionalFormatting sqref="O27">
    <cfRule type="cellIs" dxfId="174" priority="98" operator="equal">
      <formula>0</formula>
    </cfRule>
  </conditionalFormatting>
  <conditionalFormatting sqref="O20">
    <cfRule type="cellIs" dxfId="173" priority="97" operator="equal">
      <formula>0</formula>
    </cfRule>
  </conditionalFormatting>
  <conditionalFormatting sqref="O15 O17">
    <cfRule type="cellIs" dxfId="172" priority="96" operator="equal">
      <formula>0</formula>
    </cfRule>
  </conditionalFormatting>
  <conditionalFormatting sqref="O16">
    <cfRule type="cellIs" dxfId="171" priority="95" operator="equal">
      <formula>0</formula>
    </cfRule>
  </conditionalFormatting>
  <conditionalFormatting sqref="O14">
    <cfRule type="cellIs" dxfId="170" priority="94" operator="equal">
      <formula>0</formula>
    </cfRule>
  </conditionalFormatting>
  <conditionalFormatting sqref="O14:P14">
    <cfRule type="cellIs" dxfId="169" priority="93" operator="equal">
      <formula>0</formula>
    </cfRule>
  </conditionalFormatting>
  <conditionalFormatting sqref="R8:R9 R28 R22:R26">
    <cfRule type="cellIs" dxfId="168" priority="92" operator="equal">
      <formula>0</formula>
    </cfRule>
  </conditionalFormatting>
  <conditionalFormatting sqref="R18:R19 R21">
    <cfRule type="cellIs" dxfId="167" priority="91" operator="equal">
      <formula>0</formula>
    </cfRule>
  </conditionalFormatting>
  <conditionalFormatting sqref="R18">
    <cfRule type="cellIs" dxfId="166" priority="90" operator="equal">
      <formula>0</formula>
    </cfRule>
  </conditionalFormatting>
  <conditionalFormatting sqref="R10:R13">
    <cfRule type="cellIs" dxfId="165" priority="89" operator="equal">
      <formula>0</formula>
    </cfRule>
  </conditionalFormatting>
  <conditionalFormatting sqref="R27">
    <cfRule type="cellIs" dxfId="164" priority="88" operator="equal">
      <formula>0</formula>
    </cfRule>
  </conditionalFormatting>
  <conditionalFormatting sqref="R20">
    <cfRule type="cellIs" dxfId="163" priority="87" operator="equal">
      <formula>0</formula>
    </cfRule>
  </conditionalFormatting>
  <conditionalFormatting sqref="F8:F9 F28 F22:F26">
    <cfRule type="cellIs" dxfId="162" priority="132" operator="equal">
      <formula>0</formula>
    </cfRule>
  </conditionalFormatting>
  <conditionalFormatting sqref="F18:F19 F21">
    <cfRule type="cellIs" dxfId="161" priority="131" operator="equal">
      <formula>0</formula>
    </cfRule>
  </conditionalFormatting>
  <conditionalFormatting sqref="F18:H18">
    <cfRule type="cellIs" dxfId="160" priority="130" operator="equal">
      <formula>0</formula>
    </cfRule>
  </conditionalFormatting>
  <conditionalFormatting sqref="F10:F13">
    <cfRule type="cellIs" dxfId="159" priority="129" operator="equal">
      <formula>0</formula>
    </cfRule>
  </conditionalFormatting>
  <conditionalFormatting sqref="F27">
    <cfRule type="cellIs" dxfId="158" priority="128" operator="equal">
      <formula>0</formula>
    </cfRule>
  </conditionalFormatting>
  <conditionalFormatting sqref="F20">
    <cfRule type="cellIs" dxfId="157" priority="127" operator="equal">
      <formula>0</formula>
    </cfRule>
  </conditionalFormatting>
  <conditionalFormatting sqref="F15 F17">
    <cfRule type="cellIs" dxfId="156" priority="126" operator="equal">
      <formula>0</formula>
    </cfRule>
  </conditionalFormatting>
  <conditionalFormatting sqref="F16">
    <cfRule type="cellIs" dxfId="155" priority="125" operator="equal">
      <formula>0</formula>
    </cfRule>
  </conditionalFormatting>
  <conditionalFormatting sqref="C8:C9 C28 C22:C26">
    <cfRule type="cellIs" dxfId="154" priority="142" operator="equal">
      <formula>0</formula>
    </cfRule>
  </conditionalFormatting>
  <conditionalFormatting sqref="C18:C19 C21">
    <cfRule type="cellIs" dxfId="153" priority="141" operator="equal">
      <formula>0</formula>
    </cfRule>
  </conditionalFormatting>
  <conditionalFormatting sqref="C18:E18">
    <cfRule type="cellIs" dxfId="152" priority="140" operator="equal">
      <formula>0</formula>
    </cfRule>
  </conditionalFormatting>
  <conditionalFormatting sqref="C10:C13">
    <cfRule type="cellIs" dxfId="151" priority="139" operator="equal">
      <formula>0</formula>
    </cfRule>
  </conditionalFormatting>
  <conditionalFormatting sqref="C27">
    <cfRule type="cellIs" dxfId="150" priority="138" operator="equal">
      <formula>0</formula>
    </cfRule>
  </conditionalFormatting>
  <conditionalFormatting sqref="C20">
    <cfRule type="cellIs" dxfId="149" priority="137" operator="equal">
      <formula>0</formula>
    </cfRule>
  </conditionalFormatting>
  <conditionalFormatting sqref="C15 C17">
    <cfRule type="cellIs" dxfId="148" priority="136" operator="equal">
      <formula>0</formula>
    </cfRule>
  </conditionalFormatting>
  <conditionalFormatting sqref="C16">
    <cfRule type="cellIs" dxfId="147" priority="135" operator="equal">
      <formula>0</formula>
    </cfRule>
  </conditionalFormatting>
  <conditionalFormatting sqref="C14">
    <cfRule type="cellIs" dxfId="146" priority="134" operator="equal">
      <formula>0</formula>
    </cfRule>
  </conditionalFormatting>
  <conditionalFormatting sqref="C14:E14">
    <cfRule type="cellIs" dxfId="145" priority="133" operator="equal">
      <formula>0</formula>
    </cfRule>
  </conditionalFormatting>
  <conditionalFormatting sqref="F14">
    <cfRule type="cellIs" dxfId="144" priority="124" operator="equal">
      <formula>0</formula>
    </cfRule>
  </conditionalFormatting>
  <conditionalFormatting sqref="F14:H14">
    <cfRule type="cellIs" dxfId="143" priority="123" operator="equal">
      <formula>0</formula>
    </cfRule>
  </conditionalFormatting>
  <conditionalFormatting sqref="I8:I9 I28 I22:I26">
    <cfRule type="cellIs" dxfId="142" priority="122" operator="equal">
      <formula>0</formula>
    </cfRule>
  </conditionalFormatting>
  <conditionalFormatting sqref="I18:I19 I21">
    <cfRule type="cellIs" dxfId="141" priority="121" operator="equal">
      <formula>0</formula>
    </cfRule>
  </conditionalFormatting>
  <conditionalFormatting sqref="I18:K18">
    <cfRule type="cellIs" dxfId="140" priority="120" operator="equal">
      <formula>0</formula>
    </cfRule>
  </conditionalFormatting>
  <conditionalFormatting sqref="I10:I13">
    <cfRule type="cellIs" dxfId="139" priority="119" operator="equal">
      <formula>0</formula>
    </cfRule>
  </conditionalFormatting>
  <conditionalFormatting sqref="I27">
    <cfRule type="cellIs" dxfId="138" priority="118" operator="equal">
      <formula>0</formula>
    </cfRule>
  </conditionalFormatting>
  <conditionalFormatting sqref="I20">
    <cfRule type="cellIs" dxfId="137" priority="117" operator="equal">
      <formula>0</formula>
    </cfRule>
  </conditionalFormatting>
  <conditionalFormatting sqref="I15 I17">
    <cfRule type="cellIs" dxfId="136" priority="116" operator="equal">
      <formula>0</formula>
    </cfRule>
  </conditionalFormatting>
  <conditionalFormatting sqref="I16">
    <cfRule type="cellIs" dxfId="135" priority="115" operator="equal">
      <formula>0</formula>
    </cfRule>
  </conditionalFormatting>
  <conditionalFormatting sqref="I14">
    <cfRule type="cellIs" dxfId="134" priority="114" operator="equal">
      <formula>0</formula>
    </cfRule>
  </conditionalFormatting>
  <conditionalFormatting sqref="I14:K14">
    <cfRule type="cellIs" dxfId="133" priority="113" operator="equal">
      <formula>0</formula>
    </cfRule>
  </conditionalFormatting>
  <conditionalFormatting sqref="L8:L9 L28 L22:L26">
    <cfRule type="cellIs" dxfId="132" priority="112" operator="equal">
      <formula>0</formula>
    </cfRule>
  </conditionalFormatting>
  <conditionalFormatting sqref="L18:L19 L21">
    <cfRule type="cellIs" dxfId="131" priority="111" operator="equal">
      <formula>0</formula>
    </cfRule>
  </conditionalFormatting>
  <conditionalFormatting sqref="L18:N18">
    <cfRule type="cellIs" dxfId="130" priority="110" operator="equal">
      <formula>0</formula>
    </cfRule>
  </conditionalFormatting>
  <conditionalFormatting sqref="L10:L13">
    <cfRule type="cellIs" dxfId="129" priority="109" operator="equal">
      <formula>0</formula>
    </cfRule>
  </conditionalFormatting>
  <conditionalFormatting sqref="L27">
    <cfRule type="cellIs" dxfId="128" priority="108" operator="equal">
      <formula>0</formula>
    </cfRule>
  </conditionalFormatting>
  <conditionalFormatting sqref="L20">
    <cfRule type="cellIs" dxfId="127" priority="107" operator="equal">
      <formula>0</formula>
    </cfRule>
  </conditionalFormatting>
  <conditionalFormatting sqref="L15 L17">
    <cfRule type="cellIs" dxfId="126" priority="106" operator="equal">
      <formula>0</formula>
    </cfRule>
  </conditionalFormatting>
  <conditionalFormatting sqref="L16">
    <cfRule type="cellIs" dxfId="125" priority="105" operator="equal">
      <formula>0</formula>
    </cfRule>
  </conditionalFormatting>
  <conditionalFormatting sqref="L14">
    <cfRule type="cellIs" dxfId="124" priority="104" operator="equal">
      <formula>0</formula>
    </cfRule>
  </conditionalFormatting>
  <conditionalFormatting sqref="L14:N14">
    <cfRule type="cellIs" dxfId="123" priority="103" operator="equal">
      <formula>0</formula>
    </cfRule>
  </conditionalFormatting>
  <conditionalFormatting sqref="O8:O9 O28 O22:O26">
    <cfRule type="cellIs" dxfId="122" priority="102" operator="equal">
      <formula>0</formula>
    </cfRule>
  </conditionalFormatting>
  <conditionalFormatting sqref="R15 R17">
    <cfRule type="cellIs" dxfId="121" priority="86" operator="equal">
      <formula>0</formula>
    </cfRule>
  </conditionalFormatting>
  <conditionalFormatting sqref="R16">
    <cfRule type="cellIs" dxfId="120" priority="85" operator="equal">
      <formula>0</formula>
    </cfRule>
  </conditionalFormatting>
  <conditionalFormatting sqref="R14">
    <cfRule type="cellIs" dxfId="119" priority="84" operator="equal">
      <formula>0</formula>
    </cfRule>
  </conditionalFormatting>
  <conditionalFormatting sqref="R14">
    <cfRule type="cellIs" dxfId="118" priority="83" operator="equal">
      <formula>0</formula>
    </cfRule>
  </conditionalFormatting>
  <conditionalFormatting sqref="P8">
    <cfRule type="cellIs" dxfId="117" priority="82" operator="greaterThan">
      <formula>D8</formula>
    </cfRule>
  </conditionalFormatting>
  <conditionalFormatting sqref="P9">
    <cfRule type="cellIs" dxfId="116" priority="81" operator="greaterThan">
      <formula>D9</formula>
    </cfRule>
  </conditionalFormatting>
  <conditionalFormatting sqref="P10">
    <cfRule type="cellIs" dxfId="115" priority="80" operator="greaterThan">
      <formula>D10</formula>
    </cfRule>
  </conditionalFormatting>
  <conditionalFormatting sqref="P11">
    <cfRule type="cellIs" dxfId="114" priority="79" operator="greaterThan">
      <formula>D11</formula>
    </cfRule>
  </conditionalFormatting>
  <conditionalFormatting sqref="P12">
    <cfRule type="cellIs" dxfId="113" priority="78" operator="greaterThan">
      <formula>D12</formula>
    </cfRule>
  </conditionalFormatting>
  <conditionalFormatting sqref="P13">
    <cfRule type="cellIs" dxfId="112" priority="77" operator="greaterThan">
      <formula>D13</formula>
    </cfRule>
  </conditionalFormatting>
  <conditionalFormatting sqref="P15">
    <cfRule type="cellIs" dxfId="111" priority="76" operator="greaterThan">
      <formula>D15</formula>
    </cfRule>
  </conditionalFormatting>
  <conditionalFormatting sqref="P16">
    <cfRule type="cellIs" dxfId="110" priority="75" operator="greaterThan">
      <formula>D16</formula>
    </cfRule>
  </conditionalFormatting>
  <conditionalFormatting sqref="P17">
    <cfRule type="cellIs" dxfId="109" priority="74" operator="greaterThan">
      <formula>D17</formula>
    </cfRule>
  </conditionalFormatting>
  <conditionalFormatting sqref="P19">
    <cfRule type="cellIs" dxfId="108" priority="73" operator="greaterThan">
      <formula>D19</formula>
    </cfRule>
  </conditionalFormatting>
  <conditionalFormatting sqref="P20">
    <cfRule type="cellIs" dxfId="107" priority="72" operator="greaterThan">
      <formula>D20</formula>
    </cfRule>
  </conditionalFormatting>
  <conditionalFormatting sqref="P21">
    <cfRule type="cellIs" dxfId="106" priority="71" operator="greaterThan">
      <formula>D21</formula>
    </cfRule>
  </conditionalFormatting>
  <conditionalFormatting sqref="P22">
    <cfRule type="cellIs" dxfId="105" priority="70" operator="greaterThan">
      <formula>D22</formula>
    </cfRule>
  </conditionalFormatting>
  <conditionalFormatting sqref="P23">
    <cfRule type="cellIs" dxfId="104" priority="69" operator="greaterThan">
      <formula>D23</formula>
    </cfRule>
  </conditionalFormatting>
  <conditionalFormatting sqref="P24">
    <cfRule type="cellIs" dxfId="103" priority="68" operator="greaterThan">
      <formula>D24</formula>
    </cfRule>
  </conditionalFormatting>
  <conditionalFormatting sqref="P25">
    <cfRule type="cellIs" dxfId="102" priority="67" operator="greaterThan">
      <formula>D25</formula>
    </cfRule>
  </conditionalFormatting>
  <conditionalFormatting sqref="P26">
    <cfRule type="cellIs" dxfId="101" priority="66" operator="greaterThan">
      <formula>D26</formula>
    </cfRule>
  </conditionalFormatting>
  <conditionalFormatting sqref="P27">
    <cfRule type="cellIs" dxfId="100" priority="65" operator="greaterThan">
      <formula>D27</formula>
    </cfRule>
  </conditionalFormatting>
  <conditionalFormatting sqref="P28">
    <cfRule type="cellIs" dxfId="99" priority="64" operator="greaterThan">
      <formula>D28</formula>
    </cfRule>
  </conditionalFormatting>
  <conditionalFormatting sqref="Q8">
    <cfRule type="cellIs" dxfId="98" priority="61" operator="greaterThan">
      <formula>E8</formula>
    </cfRule>
  </conditionalFormatting>
  <conditionalFormatting sqref="Q9">
    <cfRule type="cellIs" dxfId="97" priority="60" operator="greaterThan">
      <formula>E9</formula>
    </cfRule>
  </conditionalFormatting>
  <conditionalFormatting sqref="Q10">
    <cfRule type="cellIs" dxfId="96" priority="59" operator="greaterThan">
      <formula>E10</formula>
    </cfRule>
  </conditionalFormatting>
  <conditionalFormatting sqref="Q11">
    <cfRule type="cellIs" dxfId="95" priority="58" operator="greaterThan">
      <formula>E11</formula>
    </cfRule>
  </conditionalFormatting>
  <conditionalFormatting sqref="Q12">
    <cfRule type="cellIs" dxfId="94" priority="57" operator="greaterThan">
      <formula>E12</formula>
    </cfRule>
  </conditionalFormatting>
  <conditionalFormatting sqref="Q13">
    <cfRule type="cellIs" dxfId="93" priority="56" operator="greaterThan">
      <formula>E13</formula>
    </cfRule>
  </conditionalFormatting>
  <conditionalFormatting sqref="Q15">
    <cfRule type="cellIs" dxfId="92" priority="55" operator="greaterThan">
      <formula>E15</formula>
    </cfRule>
  </conditionalFormatting>
  <conditionalFormatting sqref="Q16">
    <cfRule type="cellIs" dxfId="91" priority="54" operator="greaterThan">
      <formula>E16</formula>
    </cfRule>
  </conditionalFormatting>
  <conditionalFormatting sqref="Q17">
    <cfRule type="cellIs" dxfId="90" priority="53" operator="greaterThan">
      <formula>E17</formula>
    </cfRule>
  </conditionalFormatting>
  <conditionalFormatting sqref="Q19">
    <cfRule type="cellIs" dxfId="89" priority="52" operator="greaterThan">
      <formula>E19</formula>
    </cfRule>
  </conditionalFormatting>
  <conditionalFormatting sqref="Q20">
    <cfRule type="cellIs" dxfId="88" priority="51" operator="greaterThan">
      <formula>E20</formula>
    </cfRule>
  </conditionalFormatting>
  <conditionalFormatting sqref="Q21">
    <cfRule type="cellIs" dxfId="87" priority="50" operator="greaterThan">
      <formula>E21</formula>
    </cfRule>
  </conditionalFormatting>
  <conditionalFormatting sqref="Q22">
    <cfRule type="cellIs" dxfId="86" priority="49" operator="greaterThan">
      <formula>E22</formula>
    </cfRule>
  </conditionalFormatting>
  <conditionalFormatting sqref="Q23">
    <cfRule type="cellIs" dxfId="85" priority="48" operator="greaterThan">
      <formula>E23</formula>
    </cfRule>
  </conditionalFormatting>
  <conditionalFormatting sqref="Q24">
    <cfRule type="cellIs" dxfId="84" priority="47" operator="greaterThan">
      <formula>E24</formula>
    </cfRule>
  </conditionalFormatting>
  <conditionalFormatting sqref="Q25">
    <cfRule type="cellIs" dxfId="83" priority="46" operator="greaterThan">
      <formula>E25</formula>
    </cfRule>
  </conditionalFormatting>
  <conditionalFormatting sqref="Q26">
    <cfRule type="cellIs" dxfId="82" priority="45" operator="greaterThan">
      <formula>E26</formula>
    </cfRule>
  </conditionalFormatting>
  <conditionalFormatting sqref="Q27">
    <cfRule type="cellIs" dxfId="81" priority="44" operator="greaterThan">
      <formula>E27</formula>
    </cfRule>
  </conditionalFormatting>
  <conditionalFormatting sqref="Q28">
    <cfRule type="cellIs" dxfId="80" priority="43" operator="greaterThan">
      <formula>E28</formula>
    </cfRule>
  </conditionalFormatting>
  <conditionalFormatting sqref="S8">
    <cfRule type="cellIs" dxfId="79" priority="40" operator="greaterThan">
      <formula>J8</formula>
    </cfRule>
  </conditionalFormatting>
  <conditionalFormatting sqref="S9">
    <cfRule type="cellIs" dxfId="78" priority="39" operator="greaterThan">
      <formula>J9</formula>
    </cfRule>
  </conditionalFormatting>
  <conditionalFormatting sqref="S10">
    <cfRule type="cellIs" dxfId="77" priority="38" operator="greaterThan">
      <formula>J10</formula>
    </cfRule>
  </conditionalFormatting>
  <conditionalFormatting sqref="S11">
    <cfRule type="cellIs" dxfId="76" priority="37" operator="greaterThan">
      <formula>J11</formula>
    </cfRule>
  </conditionalFormatting>
  <conditionalFormatting sqref="S12">
    <cfRule type="cellIs" dxfId="75" priority="36" operator="greaterThan">
      <formula>J12</formula>
    </cfRule>
  </conditionalFormatting>
  <conditionalFormatting sqref="S13">
    <cfRule type="cellIs" dxfId="74" priority="35" operator="greaterThan">
      <formula>J13</formula>
    </cfRule>
  </conditionalFormatting>
  <conditionalFormatting sqref="S15">
    <cfRule type="cellIs" dxfId="73" priority="34" operator="greaterThan">
      <formula>J15</formula>
    </cfRule>
  </conditionalFormatting>
  <conditionalFormatting sqref="S16">
    <cfRule type="cellIs" dxfId="72" priority="33" operator="greaterThan">
      <formula>J16</formula>
    </cfRule>
  </conditionalFormatting>
  <conditionalFormatting sqref="S17">
    <cfRule type="cellIs" dxfId="71" priority="32" operator="greaterThan">
      <formula>J17</formula>
    </cfRule>
  </conditionalFormatting>
  <conditionalFormatting sqref="S19">
    <cfRule type="cellIs" dxfId="70" priority="31" operator="greaterThan">
      <formula>J19</formula>
    </cfRule>
  </conditionalFormatting>
  <conditionalFormatting sqref="S20">
    <cfRule type="cellIs" dxfId="69" priority="30" operator="greaterThan">
      <formula>J20</formula>
    </cfRule>
  </conditionalFormatting>
  <conditionalFormatting sqref="S21">
    <cfRule type="cellIs" dxfId="68" priority="29" operator="greaterThan">
      <formula>J21</formula>
    </cfRule>
  </conditionalFormatting>
  <conditionalFormatting sqref="S22">
    <cfRule type="cellIs" dxfId="67" priority="28" operator="greaterThan">
      <formula>J22</formula>
    </cfRule>
  </conditionalFormatting>
  <conditionalFormatting sqref="S23">
    <cfRule type="cellIs" dxfId="66" priority="27" operator="greaterThan">
      <formula>J23</formula>
    </cfRule>
  </conditionalFormatting>
  <conditionalFormatting sqref="S24">
    <cfRule type="cellIs" dxfId="65" priority="26" operator="greaterThan">
      <formula>J24</formula>
    </cfRule>
  </conditionalFormatting>
  <conditionalFormatting sqref="S25">
    <cfRule type="cellIs" dxfId="64" priority="25" operator="greaterThan">
      <formula>J25</formula>
    </cfRule>
  </conditionalFormatting>
  <conditionalFormatting sqref="S26">
    <cfRule type="cellIs" dxfId="63" priority="24" operator="greaterThan">
      <formula>J26</formula>
    </cfRule>
  </conditionalFormatting>
  <conditionalFormatting sqref="S27">
    <cfRule type="cellIs" dxfId="62" priority="23" operator="greaterThan">
      <formula>J27</formula>
    </cfRule>
  </conditionalFormatting>
  <conditionalFormatting sqref="S28">
    <cfRule type="cellIs" dxfId="61" priority="22" operator="greaterThan">
      <formula>J28</formula>
    </cfRule>
  </conditionalFormatting>
  <conditionalFormatting sqref="T18">
    <cfRule type="cellIs" dxfId="60" priority="21" operator="equal">
      <formula>0</formula>
    </cfRule>
  </conditionalFormatting>
  <conditionalFormatting sqref="T14">
    <cfRule type="cellIs" dxfId="59" priority="20" operator="equal">
      <formula>0</formula>
    </cfRule>
  </conditionalFormatting>
  <conditionalFormatting sqref="T8">
    <cfRule type="cellIs" dxfId="58" priority="19" operator="greaterThan">
      <formula>K8</formula>
    </cfRule>
  </conditionalFormatting>
  <conditionalFormatting sqref="T9">
    <cfRule type="cellIs" dxfId="57" priority="18" operator="greaterThan">
      <formula>K9</formula>
    </cfRule>
  </conditionalFormatting>
  <conditionalFormatting sqref="T10">
    <cfRule type="cellIs" dxfId="56" priority="17" operator="greaterThan">
      <formula>K10</formula>
    </cfRule>
  </conditionalFormatting>
  <conditionalFormatting sqref="T11">
    <cfRule type="cellIs" dxfId="55" priority="16" operator="greaterThan">
      <formula>K11</formula>
    </cfRule>
  </conditionalFormatting>
  <conditionalFormatting sqref="T12">
    <cfRule type="cellIs" dxfId="54" priority="15" operator="greaterThan">
      <formula>K12</formula>
    </cfRule>
  </conditionalFormatting>
  <conditionalFormatting sqref="T13">
    <cfRule type="cellIs" dxfId="53" priority="14" operator="greaterThan">
      <formula>K13</formula>
    </cfRule>
  </conditionalFormatting>
  <conditionalFormatting sqref="T15">
    <cfRule type="cellIs" dxfId="52" priority="13" operator="greaterThan">
      <formula>K15</formula>
    </cfRule>
  </conditionalFormatting>
  <conditionalFormatting sqref="T16">
    <cfRule type="cellIs" dxfId="51" priority="12" operator="greaterThan">
      <formula>K16</formula>
    </cfRule>
  </conditionalFormatting>
  <conditionalFormatting sqref="T17">
    <cfRule type="cellIs" dxfId="50" priority="11" operator="greaterThan">
      <formula>K17</formula>
    </cfRule>
  </conditionalFormatting>
  <conditionalFormatting sqref="T19">
    <cfRule type="cellIs" dxfId="49" priority="10" operator="greaterThan">
      <formula>K19</formula>
    </cfRule>
  </conditionalFormatting>
  <conditionalFormatting sqref="T20">
    <cfRule type="cellIs" dxfId="48" priority="9" operator="greaterThan">
      <formula>K20</formula>
    </cfRule>
  </conditionalFormatting>
  <conditionalFormatting sqref="T21">
    <cfRule type="cellIs" dxfId="47" priority="8" operator="greaterThan">
      <formula>K21</formula>
    </cfRule>
  </conditionalFormatting>
  <conditionalFormatting sqref="T22">
    <cfRule type="cellIs" dxfId="46" priority="7" operator="greaterThan">
      <formula>K22</formula>
    </cfRule>
  </conditionalFormatting>
  <conditionalFormatting sqref="T23">
    <cfRule type="cellIs" dxfId="45" priority="6" operator="greaterThan">
      <formula>K23</formula>
    </cfRule>
  </conditionalFormatting>
  <conditionalFormatting sqref="T24">
    <cfRule type="cellIs" dxfId="44" priority="5" operator="greaterThan">
      <formula>K24</formula>
    </cfRule>
  </conditionalFormatting>
  <conditionalFormatting sqref="T25">
    <cfRule type="cellIs" dxfId="43" priority="4" operator="greaterThan">
      <formula>K25</formula>
    </cfRule>
  </conditionalFormatting>
  <conditionalFormatting sqref="T26">
    <cfRule type="cellIs" dxfId="42" priority="3" operator="greaterThan">
      <formula>K26</formula>
    </cfRule>
  </conditionalFormatting>
  <conditionalFormatting sqref="T27">
    <cfRule type="cellIs" dxfId="41" priority="2" operator="greaterThan">
      <formula>K27</formula>
    </cfRule>
  </conditionalFormatting>
  <conditionalFormatting sqref="T28">
    <cfRule type="cellIs" dxfId="40" priority="1" operator="greaterThan">
      <formula>K28</formula>
    </cfRule>
  </conditionalFormatting>
  <dataValidations count="1">
    <dataValidation type="whole" operator="greaterThanOrEqual" allowBlank="1" showInputMessage="1" showErrorMessage="1" sqref="C7:T28">
      <formula1>0</formula1>
    </dataValidation>
  </dataValidations>
  <printOptions horizontalCentered="1" verticalCentered="1"/>
  <pageMargins left="0" right="0.17" top="0.23622047244094491" bottom="0.19685039370078741" header="0.43307086614173229" footer="0.19685039370078741"/>
  <pageSetup scale="68" orientation="landscape" r:id="rId1"/>
  <headerFooter scaleWithDoc="0">
    <oddFooter>&amp;R&amp;"Goudy,Negrita Cursiva"Técnica Diurna&amp;"Goudy,Cursiva", página 10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A1:H21"/>
  <sheetViews>
    <sheetView showGridLines="0" showRuler="0" zoomScale="90" zoomScaleNormal="90" workbookViewId="0"/>
  </sheetViews>
  <sheetFormatPr baseColWidth="10" defaultRowHeight="14.25"/>
  <cols>
    <col min="1" max="1" width="8.140625" style="23" customWidth="1"/>
    <col min="2" max="2" width="31.85546875" style="23" customWidth="1"/>
    <col min="3" max="4" width="15.140625" style="23" customWidth="1"/>
    <col min="5" max="5" width="8" style="23" customWidth="1"/>
    <col min="6" max="6" width="15.140625" style="23" customWidth="1"/>
    <col min="7" max="7" width="8" style="23" customWidth="1"/>
    <col min="8" max="16384" width="11.42578125" style="23"/>
  </cols>
  <sheetData>
    <row r="1" spans="1:8" ht="18" customHeight="1">
      <c r="B1" s="371" t="s">
        <v>915</v>
      </c>
      <c r="D1" s="738"/>
      <c r="E1" s="738"/>
      <c r="F1" s="805" t="str">
        <f>+Portada!$M$2</f>
        <v/>
      </c>
      <c r="G1" s="806"/>
      <c r="H1" s="47"/>
    </row>
    <row r="2" spans="1:8" ht="18">
      <c r="B2" s="371" t="s">
        <v>1808</v>
      </c>
      <c r="C2" s="371"/>
      <c r="D2" s="371"/>
      <c r="E2" s="371"/>
      <c r="F2" s="371"/>
      <c r="G2" s="371"/>
    </row>
    <row r="3" spans="1:8" ht="18">
      <c r="B3" s="371" t="s">
        <v>2551</v>
      </c>
      <c r="C3" s="371"/>
      <c r="D3" s="371"/>
      <c r="E3" s="371"/>
      <c r="F3" s="371"/>
      <c r="G3" s="371"/>
    </row>
    <row r="4" spans="1:8" ht="23.25" customHeight="1" thickBot="1">
      <c r="A4" s="372"/>
      <c r="B4" s="373" t="s">
        <v>1952</v>
      </c>
      <c r="C4" s="372"/>
      <c r="D4" s="372"/>
      <c r="E4" s="372"/>
      <c r="F4" s="372"/>
      <c r="G4" s="372"/>
    </row>
    <row r="5" spans="1:8" ht="27" customHeight="1" thickTop="1" thickBot="1">
      <c r="B5" s="374" t="s">
        <v>289</v>
      </c>
      <c r="C5" s="375" t="s">
        <v>0</v>
      </c>
      <c r="D5" s="918" t="s">
        <v>165</v>
      </c>
      <c r="E5" s="919"/>
      <c r="F5" s="920" t="s">
        <v>166</v>
      </c>
      <c r="G5" s="920"/>
    </row>
    <row r="6" spans="1:8" ht="30.75" customHeight="1" thickTop="1" thickBot="1">
      <c r="B6" s="376" t="s">
        <v>917</v>
      </c>
      <c r="C6" s="377">
        <f>SUM(C7:C12)</f>
        <v>0</v>
      </c>
      <c r="D6" s="378">
        <f>SUM(D7:D12)</f>
        <v>0</v>
      </c>
      <c r="E6" s="379" t="s">
        <v>2552</v>
      </c>
      <c r="F6" s="378">
        <f>SUM(F7:F12)</f>
        <v>0</v>
      </c>
      <c r="G6" s="380" t="s">
        <v>2552</v>
      </c>
    </row>
    <row r="7" spans="1:8" ht="28.5" customHeight="1">
      <c r="B7" s="381" t="s">
        <v>885</v>
      </c>
      <c r="C7" s="382">
        <f>+D7+F7</f>
        <v>0</v>
      </c>
      <c r="D7" s="383"/>
      <c r="E7" s="384" t="str">
        <f>IFERROR(IF(Portada!$O$5="",VLOOKUP(Portada!$M$2,aplazados,18,FALSE),""),"")</f>
        <v/>
      </c>
      <c r="F7" s="383"/>
      <c r="G7" s="385" t="str">
        <f>IFERROR(IF(Portada!$O$5="",VLOOKUP(Portada!$M$2,aplazados,29,FALSE),""),"")</f>
        <v/>
      </c>
    </row>
    <row r="8" spans="1:8" ht="28.5" customHeight="1">
      <c r="B8" s="386" t="s">
        <v>886</v>
      </c>
      <c r="C8" s="343">
        <f t="shared" ref="C8:C12" si="0">+D8+F8</f>
        <v>0</v>
      </c>
      <c r="D8" s="387"/>
      <c r="E8" s="388" t="str">
        <f>IFERROR(IF(Portada!$O$5="",VLOOKUP(Portada!$M$2,aplazados,20,FALSE),""),"")</f>
        <v/>
      </c>
      <c r="F8" s="387"/>
      <c r="G8" s="389" t="str">
        <f>IFERROR(IF(Portada!$O$5="",VLOOKUP(Portada!$M$2,aplazados,30,FALSE),""),"")</f>
        <v/>
      </c>
    </row>
    <row r="9" spans="1:8" ht="28.5" customHeight="1">
      <c r="B9" s="386" t="s">
        <v>887</v>
      </c>
      <c r="C9" s="343">
        <f t="shared" si="0"/>
        <v>0</v>
      </c>
      <c r="D9" s="387"/>
      <c r="E9" s="388" t="str">
        <f>IFERROR(IF(Portada!$O$5="",VLOOKUP(Portada!$M$2,aplazados,22,FALSE),""),"")</f>
        <v/>
      </c>
      <c r="F9" s="387"/>
      <c r="G9" s="389" t="str">
        <f>IFERROR(IF(Portada!$O$5="",VLOOKUP(Portada!$M$2,aplazados,31,FALSE),""),"")</f>
        <v/>
      </c>
    </row>
    <row r="10" spans="1:8" ht="28.5" customHeight="1">
      <c r="B10" s="386" t="s">
        <v>875</v>
      </c>
      <c r="C10" s="314">
        <f t="shared" si="0"/>
        <v>0</v>
      </c>
      <c r="D10" s="387"/>
      <c r="E10" s="388" t="str">
        <f>IFERROR(IF(Portada!$O$5="",VLOOKUP(Portada!$M$2,aplazados,24,FALSE),""),"")</f>
        <v/>
      </c>
      <c r="F10" s="387"/>
      <c r="G10" s="389" t="str">
        <f>IFERROR(IF(Portada!$O$5="",VLOOKUP(Portada!$M$2,aplazados,32,FALSE),""),"")</f>
        <v/>
      </c>
    </row>
    <row r="11" spans="1:8" ht="28.5" customHeight="1">
      <c r="B11" s="386" t="s">
        <v>888</v>
      </c>
      <c r="C11" s="343">
        <f t="shared" si="0"/>
        <v>0</v>
      </c>
      <c r="D11" s="387"/>
      <c r="E11" s="388" t="str">
        <f>IFERROR(IF(Portada!$O$5="",VLOOKUP(Portada!$M$2,aplazados,26,FALSE),""),"")</f>
        <v/>
      </c>
      <c r="F11" s="387"/>
      <c r="G11" s="389" t="str">
        <f>IFERROR(IF(Portada!$O$5="",VLOOKUP(Portada!$M$2,aplazados,33,FALSE),""),"")</f>
        <v/>
      </c>
    </row>
    <row r="12" spans="1:8" ht="28.5" customHeight="1" thickBot="1">
      <c r="B12" s="390" t="s">
        <v>889</v>
      </c>
      <c r="C12" s="391">
        <f t="shared" si="0"/>
        <v>0</v>
      </c>
      <c r="D12" s="392"/>
      <c r="E12" s="393" t="str">
        <f>IFERROR(IF(Portada!$O$5="",VLOOKUP(Portada!$M$2,aplazados,28,FALSE),""),"")</f>
        <v/>
      </c>
      <c r="F12" s="392"/>
      <c r="G12" s="394" t="str">
        <f>IFERROR(IF(Portada!$O$5="",VLOOKUP(Portada!$M$2,aplazados,34,FALSE),""),"")</f>
        <v/>
      </c>
    </row>
    <row r="13" spans="1:8" s="398" customFormat="1" ht="9.75" customHeight="1" thickTop="1">
      <c r="A13" s="395"/>
      <c r="B13" s="396"/>
      <c r="C13" s="395"/>
      <c r="D13" s="397" t="str">
        <f>IF(OR(D7&gt;E7,D8&gt;E8,D9&gt;E9,D10&gt;E10,D11&gt;E11,D12&gt;E12),"XX","")</f>
        <v/>
      </c>
      <c r="E13" s="395"/>
      <c r="F13" s="397" t="str">
        <f>IF(OR(F7&gt;G7,F8&gt;G8,F9&gt;G9,F10&gt;G10,F11&gt;G11,F12&gt;G12),"XX","")</f>
        <v/>
      </c>
      <c r="G13" s="395"/>
    </row>
    <row r="14" spans="1:8" ht="30" customHeight="1">
      <c r="B14" s="876" t="str">
        <f>IF(OR(D13="XX",F13="XX"),"¡VERIFICAR!.  El dato digitado es mayor a la cifra de aplazados reportada en el Censo Escolar 2022-Informe Final.","")</f>
        <v/>
      </c>
      <c r="C14" s="876"/>
      <c r="D14" s="876"/>
      <c r="E14" s="876"/>
      <c r="F14" s="876"/>
      <c r="G14" s="876"/>
    </row>
    <row r="15" spans="1:8" ht="30" customHeight="1">
      <c r="B15" s="876"/>
      <c r="C15" s="876"/>
      <c r="D15" s="876"/>
      <c r="E15" s="876"/>
      <c r="F15" s="876"/>
      <c r="G15" s="876"/>
    </row>
    <row r="16" spans="1:8" ht="15.75">
      <c r="B16" s="22" t="s">
        <v>290</v>
      </c>
    </row>
    <row r="17" spans="2:7">
      <c r="B17" s="909"/>
      <c r="C17" s="910"/>
      <c r="D17" s="910"/>
      <c r="E17" s="910"/>
      <c r="F17" s="910"/>
      <c r="G17" s="911"/>
    </row>
    <row r="18" spans="2:7">
      <c r="B18" s="912"/>
      <c r="C18" s="913"/>
      <c r="D18" s="913"/>
      <c r="E18" s="913"/>
      <c r="F18" s="913"/>
      <c r="G18" s="914"/>
    </row>
    <row r="19" spans="2:7">
      <c r="B19" s="912"/>
      <c r="C19" s="913"/>
      <c r="D19" s="913"/>
      <c r="E19" s="913"/>
      <c r="F19" s="913"/>
      <c r="G19" s="914"/>
    </row>
    <row r="20" spans="2:7">
      <c r="B20" s="912"/>
      <c r="C20" s="913"/>
      <c r="D20" s="913"/>
      <c r="E20" s="913"/>
      <c r="F20" s="913"/>
      <c r="G20" s="914"/>
    </row>
    <row r="21" spans="2:7">
      <c r="B21" s="915"/>
      <c r="C21" s="916"/>
      <c r="D21" s="916"/>
      <c r="E21" s="916"/>
      <c r="F21" s="916"/>
      <c r="G21" s="917"/>
    </row>
  </sheetData>
  <sheetProtection algorithmName="SHA-512" hashValue="3po/9w5m+36g3uv787GJSewJ4RZ2+t4zPh4MQi8c0DDC5wJ015dBZcUIjC1RBpX4zIw70N67ZL86nQfcxAaT6g==" saltValue="jQLhtzIL4Tqe7RlgVGAtmw==" spinCount="100000" sheet="1" objects="1" scenarios="1"/>
  <mergeCells count="5">
    <mergeCell ref="B17:G21"/>
    <mergeCell ref="D5:E5"/>
    <mergeCell ref="F5:G5"/>
    <mergeCell ref="B14:G15"/>
    <mergeCell ref="F1:G1"/>
  </mergeCells>
  <conditionalFormatting sqref="D6 C6:C12">
    <cfRule type="cellIs" dxfId="39" priority="27" operator="equal">
      <formula>0</formula>
    </cfRule>
  </conditionalFormatting>
  <conditionalFormatting sqref="E7:E12">
    <cfRule type="cellIs" dxfId="38" priority="26" operator="equal">
      <formula>0</formula>
    </cfRule>
  </conditionalFormatting>
  <conditionalFormatting sqref="F6">
    <cfRule type="cellIs" dxfId="37" priority="25" operator="equal">
      <formula>0</formula>
    </cfRule>
  </conditionalFormatting>
  <conditionalFormatting sqref="D7">
    <cfRule type="expression" dxfId="36" priority="24">
      <formula>D7&gt;E7</formula>
    </cfRule>
  </conditionalFormatting>
  <conditionalFormatting sqref="G7:G12">
    <cfRule type="cellIs" dxfId="35" priority="15" operator="equal">
      <formula>0</formula>
    </cfRule>
  </conditionalFormatting>
  <conditionalFormatting sqref="D8">
    <cfRule type="expression" dxfId="34" priority="12">
      <formula>D8&gt;E8</formula>
    </cfRule>
  </conditionalFormatting>
  <conditionalFormatting sqref="D9">
    <cfRule type="expression" dxfId="33" priority="11">
      <formula>D9&gt;E9</formula>
    </cfRule>
  </conditionalFormatting>
  <conditionalFormatting sqref="D10">
    <cfRule type="expression" dxfId="32" priority="10">
      <formula>D10&gt;E10</formula>
    </cfRule>
  </conditionalFormatting>
  <conditionalFormatting sqref="D11">
    <cfRule type="expression" dxfId="31" priority="9">
      <formula>D11&gt;E11</formula>
    </cfRule>
  </conditionalFormatting>
  <conditionalFormatting sqref="D12">
    <cfRule type="expression" dxfId="30" priority="8">
      <formula>D12&gt;E12</formula>
    </cfRule>
  </conditionalFormatting>
  <conditionalFormatting sqref="F7">
    <cfRule type="expression" dxfId="29" priority="7">
      <formula>F7&gt;G7</formula>
    </cfRule>
  </conditionalFormatting>
  <conditionalFormatting sqref="F8">
    <cfRule type="expression" dxfId="28" priority="6">
      <formula>F8&gt;G8</formula>
    </cfRule>
  </conditionalFormatting>
  <conditionalFormatting sqref="F9">
    <cfRule type="expression" dxfId="27" priority="5">
      <formula>F9&gt;G9</formula>
    </cfRule>
  </conditionalFormatting>
  <conditionalFormatting sqref="F10">
    <cfRule type="expression" dxfId="26" priority="4">
      <formula>F10&gt;G10</formula>
    </cfRule>
  </conditionalFormatting>
  <conditionalFormatting sqref="F11">
    <cfRule type="expression" dxfId="25" priority="3">
      <formula>F11&gt;G11</formula>
    </cfRule>
  </conditionalFormatting>
  <conditionalFormatting sqref="F12">
    <cfRule type="expression" dxfId="24" priority="2">
      <formula>F12&gt;G12</formula>
    </cfRule>
  </conditionalFormatting>
  <conditionalFormatting sqref="B14:G15">
    <cfRule type="notContainsBlanks" dxfId="23" priority="1">
      <formula>LEN(TRIM(B14))&gt;0</formula>
    </cfRule>
  </conditionalFormatting>
  <dataValidations count="1">
    <dataValidation type="whole" operator="greaterThanOrEqual" allowBlank="1" showInputMessage="1" showErrorMessage="1" sqref="C6:D12 F6:F12">
      <formula1>0</formula1>
    </dataValidation>
  </dataValidations>
  <printOptions horizontalCentered="1" verticalCentered="1"/>
  <pageMargins left="0" right="0.17" top="0.23622047244094491" bottom="0.19685039370078741" header="0.43307086614173229" footer="0.19685039370078741"/>
  <pageSetup orientation="landscape" r:id="rId1"/>
  <headerFooter scaleWithDoc="0">
    <oddFooter>&amp;R&amp;"Goudy,Negrita Cursiva"Técnica Diurna&amp;"Goudy,Cursiva", página 11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rgb="FFFF0000"/>
  </sheetPr>
  <dimension ref="A1:AH137"/>
  <sheetViews>
    <sheetView topLeftCell="C1" zoomScale="80" zoomScaleNormal="80" workbookViewId="0">
      <pane ySplit="2" topLeftCell="A108" activePane="bottomLeft" state="frozen"/>
      <selection pane="bottomLeft" activeCell="M3" sqref="M3:AB137"/>
    </sheetView>
  </sheetViews>
  <sheetFormatPr baseColWidth="10" defaultRowHeight="15"/>
  <cols>
    <col min="1" max="1" width="10.140625" style="12" bestFit="1" customWidth="1"/>
    <col min="2" max="2" width="10.5703125" style="12" bestFit="1" customWidth="1"/>
    <col min="3" max="3" width="8.7109375" style="12" bestFit="1" customWidth="1"/>
    <col min="4" max="4" width="8.140625" style="12" bestFit="1" customWidth="1"/>
    <col min="5" max="5" width="5.5703125" style="12" bestFit="1" customWidth="1"/>
    <col min="6" max="6" width="7.140625" style="12" bestFit="1" customWidth="1"/>
    <col min="7" max="7" width="6.140625" style="12" bestFit="1" customWidth="1"/>
    <col min="8" max="8" width="24.140625" style="12" bestFit="1" customWidth="1"/>
    <col min="9" max="9" width="10" style="12" bestFit="1" customWidth="1"/>
    <col min="10" max="10" width="8.42578125" style="12" bestFit="1" customWidth="1"/>
    <col min="11" max="11" width="10.42578125" style="12" bestFit="1" customWidth="1"/>
    <col min="12" max="12" width="8.42578125" style="12" bestFit="1" customWidth="1"/>
    <col min="13" max="13" width="40.28515625" style="12" bestFit="1" customWidth="1"/>
    <col min="14" max="14" width="8.5703125" style="12" bestFit="1" customWidth="1"/>
    <col min="15" max="15" width="8.7109375" style="12" bestFit="1" customWidth="1"/>
    <col min="16" max="16" width="8.85546875" style="12" bestFit="1" customWidth="1"/>
    <col min="17" max="17" width="9.85546875" style="12" bestFit="1" customWidth="1"/>
    <col min="18" max="18" width="10" style="12" bestFit="1" customWidth="1"/>
    <col min="19" max="19" width="9.85546875" style="12" bestFit="1" customWidth="1"/>
    <col min="20" max="20" width="10" style="12" bestFit="1" customWidth="1"/>
    <col min="21" max="21" width="9.85546875" style="12" bestFit="1" customWidth="1"/>
    <col min="22" max="22" width="10" style="12" bestFit="1" customWidth="1"/>
    <col min="23" max="23" width="9.85546875" style="12" bestFit="1" customWidth="1"/>
    <col min="24" max="24" width="10" style="12" bestFit="1" customWidth="1"/>
    <col min="25" max="25" width="9.85546875" style="12" bestFit="1" customWidth="1"/>
    <col min="26" max="26" width="10" style="12" bestFit="1" customWidth="1"/>
    <col min="27" max="27" width="9.85546875" style="12" bestFit="1" customWidth="1"/>
    <col min="28" max="28" width="10" style="12" bestFit="1" customWidth="1"/>
    <col min="29" max="34" width="7.28515625" style="12" bestFit="1" customWidth="1"/>
    <col min="35" max="16384" width="11.42578125" style="12"/>
  </cols>
  <sheetData>
    <row r="1" spans="1:34" s="14" customFormat="1" ht="14.25">
      <c r="A1" s="14">
        <v>1</v>
      </c>
      <c r="B1" s="14">
        <v>2</v>
      </c>
      <c r="C1" s="14">
        <v>3</v>
      </c>
      <c r="D1" s="14">
        <v>4</v>
      </c>
      <c r="E1" s="14">
        <v>5</v>
      </c>
      <c r="F1" s="14">
        <v>6</v>
      </c>
      <c r="G1" s="14">
        <v>7</v>
      </c>
      <c r="H1" s="14">
        <v>8</v>
      </c>
      <c r="I1" s="14">
        <v>9</v>
      </c>
      <c r="J1" s="14">
        <v>10</v>
      </c>
      <c r="K1" s="14">
        <v>11</v>
      </c>
      <c r="L1" s="14">
        <v>12</v>
      </c>
      <c r="M1" s="14">
        <v>13</v>
      </c>
      <c r="N1" s="14">
        <v>14</v>
      </c>
      <c r="O1" s="14">
        <v>15</v>
      </c>
      <c r="P1" s="14">
        <v>16</v>
      </c>
      <c r="Q1" s="14">
        <v>17</v>
      </c>
      <c r="R1" s="14">
        <v>18</v>
      </c>
      <c r="S1" s="14">
        <v>19</v>
      </c>
      <c r="T1" s="14">
        <v>20</v>
      </c>
      <c r="U1" s="14">
        <v>21</v>
      </c>
      <c r="V1" s="14">
        <v>22</v>
      </c>
      <c r="W1" s="14">
        <v>23</v>
      </c>
      <c r="X1" s="14">
        <v>24</v>
      </c>
      <c r="Y1" s="14">
        <v>25</v>
      </c>
      <c r="Z1" s="14">
        <v>26</v>
      </c>
      <c r="AA1" s="14">
        <v>27</v>
      </c>
      <c r="AB1" s="14">
        <v>28</v>
      </c>
      <c r="AC1" s="15">
        <v>29</v>
      </c>
      <c r="AD1" s="15">
        <v>30</v>
      </c>
      <c r="AE1" s="15">
        <v>31</v>
      </c>
      <c r="AF1" s="15">
        <v>32</v>
      </c>
      <c r="AG1" s="15">
        <v>33</v>
      </c>
      <c r="AH1" s="15">
        <v>34</v>
      </c>
    </row>
    <row r="2" spans="1:34" s="19" customFormat="1" ht="14.25">
      <c r="A2" s="16" t="s">
        <v>22</v>
      </c>
      <c r="B2" s="16" t="s">
        <v>23</v>
      </c>
      <c r="C2" s="16" t="s">
        <v>837</v>
      </c>
      <c r="D2" s="16" t="s">
        <v>26</v>
      </c>
      <c r="E2" s="16" t="s">
        <v>27</v>
      </c>
      <c r="F2" s="16" t="s">
        <v>28</v>
      </c>
      <c r="G2" s="16" t="s">
        <v>29</v>
      </c>
      <c r="H2" s="16" t="s">
        <v>33</v>
      </c>
      <c r="I2" s="16" t="s">
        <v>34</v>
      </c>
      <c r="J2" s="16" t="s">
        <v>838</v>
      </c>
      <c r="K2" s="16" t="s">
        <v>839</v>
      </c>
      <c r="L2" s="16" t="s">
        <v>840</v>
      </c>
      <c r="M2" s="16" t="s">
        <v>24</v>
      </c>
      <c r="N2" s="17" t="s">
        <v>841</v>
      </c>
      <c r="O2" s="17" t="s">
        <v>842</v>
      </c>
      <c r="P2" s="17" t="s">
        <v>843</v>
      </c>
      <c r="Q2" s="16" t="s">
        <v>844</v>
      </c>
      <c r="R2" s="16" t="s">
        <v>845</v>
      </c>
      <c r="S2" s="16" t="s">
        <v>846</v>
      </c>
      <c r="T2" s="16" t="s">
        <v>847</v>
      </c>
      <c r="U2" s="16" t="s">
        <v>848</v>
      </c>
      <c r="V2" s="16" t="s">
        <v>849</v>
      </c>
      <c r="W2" s="16" t="s">
        <v>850</v>
      </c>
      <c r="X2" s="16" t="s">
        <v>851</v>
      </c>
      <c r="Y2" s="16" t="s">
        <v>852</v>
      </c>
      <c r="Z2" s="16" t="s">
        <v>853</v>
      </c>
      <c r="AA2" s="16" t="s">
        <v>854</v>
      </c>
      <c r="AB2" s="16" t="s">
        <v>855</v>
      </c>
      <c r="AC2" s="18" t="s">
        <v>857</v>
      </c>
      <c r="AD2" s="18" t="s">
        <v>858</v>
      </c>
      <c r="AE2" s="18" t="s">
        <v>859</v>
      </c>
      <c r="AF2" s="18" t="s">
        <v>860</v>
      </c>
      <c r="AG2" s="18" t="s">
        <v>861</v>
      </c>
      <c r="AH2" s="18" t="s">
        <v>862</v>
      </c>
    </row>
    <row r="3" spans="1:34">
      <c r="A3" s="10" t="s">
        <v>920</v>
      </c>
      <c r="B3" s="10" t="s">
        <v>1051</v>
      </c>
      <c r="C3" s="10" t="s">
        <v>3</v>
      </c>
      <c r="D3" s="10" t="s">
        <v>8</v>
      </c>
      <c r="E3" s="10" t="s">
        <v>41</v>
      </c>
      <c r="F3" s="10" t="s">
        <v>13</v>
      </c>
      <c r="G3" s="10" t="s">
        <v>6</v>
      </c>
      <c r="H3" s="10" t="s">
        <v>1302</v>
      </c>
      <c r="I3" s="10" t="s">
        <v>45</v>
      </c>
      <c r="J3" s="10" t="s">
        <v>41</v>
      </c>
      <c r="K3" s="694" t="s">
        <v>2542</v>
      </c>
      <c r="L3" s="694" t="s">
        <v>63</v>
      </c>
      <c r="M3" s="10" t="s">
        <v>1183</v>
      </c>
      <c r="N3" s="10">
        <v>300</v>
      </c>
      <c r="O3" s="10">
        <v>177</v>
      </c>
      <c r="P3" s="10">
        <v>123</v>
      </c>
      <c r="Q3" s="10">
        <v>65</v>
      </c>
      <c r="R3" s="10">
        <v>34</v>
      </c>
      <c r="S3" s="10">
        <v>67</v>
      </c>
      <c r="T3" s="10">
        <v>38</v>
      </c>
      <c r="U3" s="10">
        <v>66</v>
      </c>
      <c r="V3" s="10">
        <v>39</v>
      </c>
      <c r="W3" s="10">
        <v>60</v>
      </c>
      <c r="X3" s="10">
        <v>38</v>
      </c>
      <c r="Y3" s="10">
        <v>42</v>
      </c>
      <c r="Z3" s="10">
        <v>28</v>
      </c>
      <c r="AA3" s="10">
        <v>0</v>
      </c>
      <c r="AB3" s="10">
        <v>0</v>
      </c>
      <c r="AC3" s="20">
        <f t="shared" ref="AC3:AC34" si="0">+Q3-R3</f>
        <v>31</v>
      </c>
      <c r="AD3" s="20">
        <f t="shared" ref="AD3:AD34" si="1">+S3-T3</f>
        <v>29</v>
      </c>
      <c r="AE3" s="20">
        <f t="shared" ref="AE3:AE34" si="2">+U3-V3</f>
        <v>27</v>
      </c>
      <c r="AF3" s="20">
        <f t="shared" ref="AF3:AF34" si="3">+W3-X3</f>
        <v>22</v>
      </c>
      <c r="AG3" s="20">
        <f t="shared" ref="AG3:AG34" si="4">+Y3-Z3</f>
        <v>14</v>
      </c>
      <c r="AH3" s="20">
        <f t="shared" ref="AH3:AH34" si="5">+AA3-AB3</f>
        <v>0</v>
      </c>
    </row>
    <row r="4" spans="1:34">
      <c r="A4" s="10" t="s">
        <v>921</v>
      </c>
      <c r="B4" s="10" t="s">
        <v>1052</v>
      </c>
      <c r="C4" s="10" t="s">
        <v>179</v>
      </c>
      <c r="D4" s="10" t="s">
        <v>3</v>
      </c>
      <c r="E4" s="10" t="s">
        <v>41</v>
      </c>
      <c r="F4" s="10" t="s">
        <v>3</v>
      </c>
      <c r="G4" s="10" t="s">
        <v>11</v>
      </c>
      <c r="H4" s="10" t="s">
        <v>59</v>
      </c>
      <c r="I4" s="10" t="s">
        <v>41</v>
      </c>
      <c r="J4" s="10" t="s">
        <v>41</v>
      </c>
      <c r="K4" s="694" t="s">
        <v>42</v>
      </c>
      <c r="L4" s="694" t="s">
        <v>63</v>
      </c>
      <c r="M4" s="10" t="s">
        <v>1677</v>
      </c>
      <c r="N4" s="10">
        <v>0</v>
      </c>
      <c r="O4" s="10">
        <v>0</v>
      </c>
      <c r="P4" s="10">
        <v>0</v>
      </c>
      <c r="Q4" s="10">
        <v>0</v>
      </c>
      <c r="R4" s="10">
        <v>0</v>
      </c>
      <c r="S4" s="10">
        <v>0</v>
      </c>
      <c r="T4" s="10">
        <v>0</v>
      </c>
      <c r="U4" s="10">
        <v>0</v>
      </c>
      <c r="V4" s="10">
        <v>0</v>
      </c>
      <c r="W4" s="10">
        <v>0</v>
      </c>
      <c r="X4" s="10">
        <v>0</v>
      </c>
      <c r="Y4" s="10">
        <v>0</v>
      </c>
      <c r="Z4" s="10">
        <v>0</v>
      </c>
      <c r="AA4" s="10">
        <v>0</v>
      </c>
      <c r="AB4" s="10">
        <v>0</v>
      </c>
      <c r="AC4" s="20">
        <f t="shared" si="0"/>
        <v>0</v>
      </c>
      <c r="AD4" s="20">
        <f t="shared" si="1"/>
        <v>0</v>
      </c>
      <c r="AE4" s="20">
        <f t="shared" si="2"/>
        <v>0</v>
      </c>
      <c r="AF4" s="20">
        <f t="shared" si="3"/>
        <v>0</v>
      </c>
      <c r="AG4" s="20">
        <f t="shared" si="4"/>
        <v>0</v>
      </c>
      <c r="AH4" s="20">
        <f t="shared" si="5"/>
        <v>0</v>
      </c>
    </row>
    <row r="5" spans="1:34">
      <c r="A5" s="10" t="s">
        <v>922</v>
      </c>
      <c r="B5" s="10" t="s">
        <v>1053</v>
      </c>
      <c r="C5" s="10" t="s">
        <v>3</v>
      </c>
      <c r="D5" s="10" t="s">
        <v>3</v>
      </c>
      <c r="E5" s="10" t="s">
        <v>41</v>
      </c>
      <c r="F5" s="10" t="s">
        <v>3</v>
      </c>
      <c r="G5" s="10" t="s">
        <v>16</v>
      </c>
      <c r="H5" s="10" t="s">
        <v>809</v>
      </c>
      <c r="I5" s="10" t="s">
        <v>41</v>
      </c>
      <c r="J5" s="10" t="s">
        <v>41</v>
      </c>
      <c r="K5" s="694" t="s">
        <v>45</v>
      </c>
      <c r="L5" s="694" t="s">
        <v>63</v>
      </c>
      <c r="M5" s="10" t="s">
        <v>1184</v>
      </c>
      <c r="N5" s="10">
        <v>110</v>
      </c>
      <c r="O5" s="10">
        <v>48</v>
      </c>
      <c r="P5" s="10">
        <v>62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47</v>
      </c>
      <c r="X5" s="10">
        <v>11</v>
      </c>
      <c r="Y5" s="10">
        <v>61</v>
      </c>
      <c r="Z5" s="10">
        <v>35</v>
      </c>
      <c r="AA5" s="10">
        <v>2</v>
      </c>
      <c r="AB5" s="10">
        <v>2</v>
      </c>
      <c r="AC5" s="20">
        <f t="shared" si="0"/>
        <v>0</v>
      </c>
      <c r="AD5" s="20">
        <f t="shared" si="1"/>
        <v>0</v>
      </c>
      <c r="AE5" s="20">
        <f t="shared" si="2"/>
        <v>0</v>
      </c>
      <c r="AF5" s="20">
        <f t="shared" si="3"/>
        <v>36</v>
      </c>
      <c r="AG5" s="20">
        <f t="shared" si="4"/>
        <v>26</v>
      </c>
      <c r="AH5" s="20">
        <f t="shared" si="5"/>
        <v>0</v>
      </c>
    </row>
    <row r="6" spans="1:34">
      <c r="A6" s="10" t="s">
        <v>923</v>
      </c>
      <c r="B6" s="10" t="s">
        <v>1054</v>
      </c>
      <c r="C6" s="10" t="s">
        <v>141</v>
      </c>
      <c r="D6" s="10" t="s">
        <v>9</v>
      </c>
      <c r="E6" s="10" t="s">
        <v>41</v>
      </c>
      <c r="F6" s="10" t="s">
        <v>5</v>
      </c>
      <c r="G6" s="10" t="s">
        <v>3</v>
      </c>
      <c r="H6" s="10" t="s">
        <v>43</v>
      </c>
      <c r="I6" s="10" t="s">
        <v>41</v>
      </c>
      <c r="J6" s="10" t="s">
        <v>41</v>
      </c>
      <c r="K6" s="694" t="s">
        <v>42</v>
      </c>
      <c r="L6" s="694" t="s">
        <v>63</v>
      </c>
      <c r="M6" s="10" t="s">
        <v>1185</v>
      </c>
      <c r="N6" s="10">
        <v>116</v>
      </c>
      <c r="O6" s="10">
        <v>59</v>
      </c>
      <c r="P6" s="10">
        <v>57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48</v>
      </c>
      <c r="X6" s="10">
        <v>32</v>
      </c>
      <c r="Y6" s="10">
        <v>26</v>
      </c>
      <c r="Z6" s="10">
        <v>20</v>
      </c>
      <c r="AA6" s="10">
        <v>42</v>
      </c>
      <c r="AB6" s="10">
        <v>7</v>
      </c>
      <c r="AC6" s="20">
        <f t="shared" si="0"/>
        <v>0</v>
      </c>
      <c r="AD6" s="20">
        <f t="shared" si="1"/>
        <v>0</v>
      </c>
      <c r="AE6" s="20">
        <f t="shared" si="2"/>
        <v>0</v>
      </c>
      <c r="AF6" s="20">
        <f t="shared" si="3"/>
        <v>16</v>
      </c>
      <c r="AG6" s="20">
        <f t="shared" si="4"/>
        <v>6</v>
      </c>
      <c r="AH6" s="20">
        <f t="shared" si="5"/>
        <v>35</v>
      </c>
    </row>
    <row r="7" spans="1:34">
      <c r="A7" s="10" t="s">
        <v>924</v>
      </c>
      <c r="B7" s="10" t="s">
        <v>1055</v>
      </c>
      <c r="C7" s="10" t="s">
        <v>141</v>
      </c>
      <c r="D7" s="10" t="s">
        <v>6</v>
      </c>
      <c r="E7" s="10" t="s">
        <v>41</v>
      </c>
      <c r="F7" s="10" t="s">
        <v>5</v>
      </c>
      <c r="G7" s="10" t="s">
        <v>11</v>
      </c>
      <c r="H7" s="10" t="s">
        <v>78</v>
      </c>
      <c r="I7" s="10" t="s">
        <v>41</v>
      </c>
      <c r="J7" s="10" t="s">
        <v>42</v>
      </c>
      <c r="K7" s="694" t="s">
        <v>41</v>
      </c>
      <c r="L7" s="694" t="s">
        <v>63</v>
      </c>
      <c r="M7" s="10" t="s">
        <v>1186</v>
      </c>
      <c r="N7" s="10">
        <v>213</v>
      </c>
      <c r="O7" s="10">
        <v>129</v>
      </c>
      <c r="P7" s="10">
        <v>84</v>
      </c>
      <c r="Q7" s="10">
        <v>33</v>
      </c>
      <c r="R7" s="10">
        <v>21</v>
      </c>
      <c r="S7" s="10">
        <v>41</v>
      </c>
      <c r="T7" s="10">
        <v>21</v>
      </c>
      <c r="U7" s="10">
        <v>19</v>
      </c>
      <c r="V7" s="10">
        <v>13</v>
      </c>
      <c r="W7" s="10">
        <v>71</v>
      </c>
      <c r="X7" s="10">
        <v>42</v>
      </c>
      <c r="Y7" s="10">
        <v>32</v>
      </c>
      <c r="Z7" s="10">
        <v>18</v>
      </c>
      <c r="AA7" s="10">
        <v>17</v>
      </c>
      <c r="AB7" s="10">
        <v>14</v>
      </c>
      <c r="AC7" s="20">
        <f t="shared" si="0"/>
        <v>12</v>
      </c>
      <c r="AD7" s="20">
        <f t="shared" si="1"/>
        <v>20</v>
      </c>
      <c r="AE7" s="20">
        <f t="shared" si="2"/>
        <v>6</v>
      </c>
      <c r="AF7" s="20">
        <f t="shared" si="3"/>
        <v>29</v>
      </c>
      <c r="AG7" s="20">
        <f t="shared" si="4"/>
        <v>14</v>
      </c>
      <c r="AH7" s="20">
        <f t="shared" si="5"/>
        <v>3</v>
      </c>
    </row>
    <row r="8" spans="1:34">
      <c r="A8" s="10" t="s">
        <v>925</v>
      </c>
      <c r="B8" s="10" t="s">
        <v>1056</v>
      </c>
      <c r="C8" s="10" t="s">
        <v>4</v>
      </c>
      <c r="D8" s="10" t="s">
        <v>3</v>
      </c>
      <c r="E8" s="10" t="s">
        <v>41</v>
      </c>
      <c r="F8" s="10" t="s">
        <v>6</v>
      </c>
      <c r="G8" s="10" t="s">
        <v>3</v>
      </c>
      <c r="H8" s="10" t="s">
        <v>2533</v>
      </c>
      <c r="I8" s="10" t="s">
        <v>41</v>
      </c>
      <c r="J8" s="10" t="s">
        <v>41</v>
      </c>
      <c r="K8" s="694" t="s">
        <v>45</v>
      </c>
      <c r="L8" s="694" t="s">
        <v>63</v>
      </c>
      <c r="M8" s="10" t="s">
        <v>1187</v>
      </c>
      <c r="N8" s="10">
        <v>358</v>
      </c>
      <c r="O8" s="10">
        <v>245</v>
      </c>
      <c r="P8" s="10">
        <v>113</v>
      </c>
      <c r="Q8" s="10">
        <v>62</v>
      </c>
      <c r="R8" s="10">
        <v>46</v>
      </c>
      <c r="S8" s="10">
        <v>56</v>
      </c>
      <c r="T8" s="10">
        <v>37</v>
      </c>
      <c r="U8" s="10">
        <v>69</v>
      </c>
      <c r="V8" s="10">
        <v>42</v>
      </c>
      <c r="W8" s="10">
        <v>67</v>
      </c>
      <c r="X8" s="10">
        <v>41</v>
      </c>
      <c r="Y8" s="10">
        <v>98</v>
      </c>
      <c r="Z8" s="10">
        <v>74</v>
      </c>
      <c r="AA8" s="10">
        <v>6</v>
      </c>
      <c r="AB8" s="10">
        <v>5</v>
      </c>
      <c r="AC8" s="20">
        <f t="shared" si="0"/>
        <v>16</v>
      </c>
      <c r="AD8" s="20">
        <f t="shared" si="1"/>
        <v>19</v>
      </c>
      <c r="AE8" s="20">
        <f t="shared" si="2"/>
        <v>27</v>
      </c>
      <c r="AF8" s="20">
        <f t="shared" si="3"/>
        <v>26</v>
      </c>
      <c r="AG8" s="20">
        <f t="shared" si="4"/>
        <v>24</v>
      </c>
      <c r="AH8" s="20">
        <f t="shared" si="5"/>
        <v>1</v>
      </c>
    </row>
    <row r="9" spans="1:34">
      <c r="A9" s="10" t="s">
        <v>926</v>
      </c>
      <c r="B9" s="10" t="s">
        <v>1057</v>
      </c>
      <c r="C9" s="10" t="s">
        <v>4</v>
      </c>
      <c r="D9" s="10" t="s">
        <v>5</v>
      </c>
      <c r="E9" s="10" t="s">
        <v>41</v>
      </c>
      <c r="F9" s="10" t="s">
        <v>6</v>
      </c>
      <c r="G9" s="10" t="s">
        <v>12</v>
      </c>
      <c r="H9" s="10" t="s">
        <v>46</v>
      </c>
      <c r="I9" s="10" t="s">
        <v>41</v>
      </c>
      <c r="J9" s="10" t="s">
        <v>42</v>
      </c>
      <c r="K9" s="694" t="s">
        <v>41</v>
      </c>
      <c r="L9" s="694" t="s">
        <v>63</v>
      </c>
      <c r="M9" s="10" t="s">
        <v>1188</v>
      </c>
      <c r="N9" s="10">
        <v>34</v>
      </c>
      <c r="O9" s="10">
        <v>22</v>
      </c>
      <c r="P9" s="10">
        <v>12</v>
      </c>
      <c r="Q9" s="10">
        <v>5</v>
      </c>
      <c r="R9" s="10">
        <v>3</v>
      </c>
      <c r="S9" s="10">
        <v>4</v>
      </c>
      <c r="T9" s="10">
        <v>2</v>
      </c>
      <c r="U9" s="10">
        <v>12</v>
      </c>
      <c r="V9" s="10">
        <v>6</v>
      </c>
      <c r="W9" s="10">
        <v>6</v>
      </c>
      <c r="X9" s="10">
        <v>5</v>
      </c>
      <c r="Y9" s="10">
        <v>5</v>
      </c>
      <c r="Z9" s="10">
        <v>4</v>
      </c>
      <c r="AA9" s="10">
        <v>2</v>
      </c>
      <c r="AB9" s="10">
        <v>2</v>
      </c>
      <c r="AC9" s="20">
        <f t="shared" si="0"/>
        <v>2</v>
      </c>
      <c r="AD9" s="20">
        <f t="shared" si="1"/>
        <v>2</v>
      </c>
      <c r="AE9" s="20">
        <f t="shared" si="2"/>
        <v>6</v>
      </c>
      <c r="AF9" s="20">
        <f t="shared" si="3"/>
        <v>1</v>
      </c>
      <c r="AG9" s="20">
        <f t="shared" si="4"/>
        <v>1</v>
      </c>
      <c r="AH9" s="20">
        <f t="shared" si="5"/>
        <v>0</v>
      </c>
    </row>
    <row r="10" spans="1:34">
      <c r="A10" s="10" t="s">
        <v>927</v>
      </c>
      <c r="B10" s="10" t="s">
        <v>1058</v>
      </c>
      <c r="C10" s="10" t="s">
        <v>178</v>
      </c>
      <c r="D10" s="10" t="s">
        <v>3</v>
      </c>
      <c r="E10" s="10" t="s">
        <v>41</v>
      </c>
      <c r="F10" s="10" t="s">
        <v>11</v>
      </c>
      <c r="G10" s="10" t="s">
        <v>5</v>
      </c>
      <c r="H10" s="10" t="s">
        <v>1304</v>
      </c>
      <c r="I10" s="10" t="s">
        <v>41</v>
      </c>
      <c r="J10" s="10" t="s">
        <v>41</v>
      </c>
      <c r="K10" s="694" t="s">
        <v>45</v>
      </c>
      <c r="L10" s="694" t="s">
        <v>63</v>
      </c>
      <c r="M10" s="10" t="s">
        <v>1189</v>
      </c>
      <c r="N10" s="10">
        <v>71</v>
      </c>
      <c r="O10" s="10">
        <v>34</v>
      </c>
      <c r="P10" s="10">
        <v>37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37</v>
      </c>
      <c r="X10" s="10">
        <v>9</v>
      </c>
      <c r="Y10" s="10">
        <v>26</v>
      </c>
      <c r="Z10" s="10">
        <v>18</v>
      </c>
      <c r="AA10" s="10">
        <v>8</v>
      </c>
      <c r="AB10" s="10">
        <v>7</v>
      </c>
      <c r="AC10" s="20">
        <f t="shared" si="0"/>
        <v>0</v>
      </c>
      <c r="AD10" s="20">
        <f t="shared" si="1"/>
        <v>0</v>
      </c>
      <c r="AE10" s="20">
        <f t="shared" si="2"/>
        <v>0</v>
      </c>
      <c r="AF10" s="20">
        <f t="shared" si="3"/>
        <v>28</v>
      </c>
      <c r="AG10" s="20">
        <f t="shared" si="4"/>
        <v>8</v>
      </c>
      <c r="AH10" s="20">
        <f t="shared" si="5"/>
        <v>1</v>
      </c>
    </row>
    <row r="11" spans="1:34">
      <c r="A11" s="10" t="s">
        <v>928</v>
      </c>
      <c r="B11" s="10" t="s">
        <v>1059</v>
      </c>
      <c r="C11" s="10" t="s">
        <v>141</v>
      </c>
      <c r="D11" s="10" t="s">
        <v>7</v>
      </c>
      <c r="E11" s="10" t="s">
        <v>41</v>
      </c>
      <c r="F11" s="10" t="s">
        <v>17</v>
      </c>
      <c r="G11" s="10" t="s">
        <v>3</v>
      </c>
      <c r="H11" s="10" t="s">
        <v>90</v>
      </c>
      <c r="I11" s="10" t="s">
        <v>41</v>
      </c>
      <c r="J11" s="10" t="s">
        <v>42</v>
      </c>
      <c r="K11" s="694" t="s">
        <v>45</v>
      </c>
      <c r="L11" s="694" t="s">
        <v>63</v>
      </c>
      <c r="M11" s="10" t="s">
        <v>1190</v>
      </c>
      <c r="N11" s="10">
        <v>234</v>
      </c>
      <c r="O11" s="10">
        <v>142</v>
      </c>
      <c r="P11" s="10">
        <v>92</v>
      </c>
      <c r="Q11" s="10">
        <v>21</v>
      </c>
      <c r="R11" s="10">
        <v>12</v>
      </c>
      <c r="S11" s="10">
        <v>46</v>
      </c>
      <c r="T11" s="10">
        <v>27</v>
      </c>
      <c r="U11" s="10">
        <v>19</v>
      </c>
      <c r="V11" s="10">
        <v>9</v>
      </c>
      <c r="W11" s="10">
        <v>60</v>
      </c>
      <c r="X11" s="10">
        <v>37</v>
      </c>
      <c r="Y11" s="10">
        <v>51</v>
      </c>
      <c r="Z11" s="10">
        <v>34</v>
      </c>
      <c r="AA11" s="10">
        <v>37</v>
      </c>
      <c r="AB11" s="10">
        <v>23</v>
      </c>
      <c r="AC11" s="20">
        <f t="shared" si="0"/>
        <v>9</v>
      </c>
      <c r="AD11" s="20">
        <f t="shared" si="1"/>
        <v>19</v>
      </c>
      <c r="AE11" s="20">
        <f t="shared" si="2"/>
        <v>10</v>
      </c>
      <c r="AF11" s="20">
        <f t="shared" si="3"/>
        <v>23</v>
      </c>
      <c r="AG11" s="20">
        <f t="shared" si="4"/>
        <v>17</v>
      </c>
      <c r="AH11" s="20">
        <f t="shared" si="5"/>
        <v>14</v>
      </c>
    </row>
    <row r="12" spans="1:34">
      <c r="A12" s="10" t="s">
        <v>929</v>
      </c>
      <c r="B12" s="10" t="s">
        <v>1060</v>
      </c>
      <c r="C12" s="10" t="s">
        <v>4</v>
      </c>
      <c r="D12" s="10" t="s">
        <v>8</v>
      </c>
      <c r="E12" s="10" t="s">
        <v>41</v>
      </c>
      <c r="F12" s="10" t="s">
        <v>100</v>
      </c>
      <c r="G12" s="10" t="s">
        <v>3</v>
      </c>
      <c r="H12" s="10" t="s">
        <v>103</v>
      </c>
      <c r="I12" s="10" t="s">
        <v>41</v>
      </c>
      <c r="J12" s="10" t="s">
        <v>41</v>
      </c>
      <c r="K12" s="694" t="s">
        <v>41</v>
      </c>
      <c r="L12" s="694" t="s">
        <v>63</v>
      </c>
      <c r="M12" s="10" t="s">
        <v>1191</v>
      </c>
      <c r="N12" s="10">
        <v>32</v>
      </c>
      <c r="O12" s="10">
        <v>18</v>
      </c>
      <c r="P12" s="10">
        <v>14</v>
      </c>
      <c r="Q12" s="10">
        <v>2</v>
      </c>
      <c r="R12" s="10">
        <v>2</v>
      </c>
      <c r="S12" s="10">
        <v>2</v>
      </c>
      <c r="T12" s="10">
        <v>2</v>
      </c>
      <c r="U12" s="10">
        <v>2</v>
      </c>
      <c r="V12" s="10">
        <v>1</v>
      </c>
      <c r="W12" s="10">
        <v>16</v>
      </c>
      <c r="X12" s="10">
        <v>10</v>
      </c>
      <c r="Y12" s="10">
        <v>9</v>
      </c>
      <c r="Z12" s="10">
        <v>3</v>
      </c>
      <c r="AA12" s="10">
        <v>1</v>
      </c>
      <c r="AB12" s="10">
        <v>0</v>
      </c>
      <c r="AC12" s="20">
        <f t="shared" si="0"/>
        <v>0</v>
      </c>
      <c r="AD12" s="20">
        <f t="shared" si="1"/>
        <v>0</v>
      </c>
      <c r="AE12" s="20">
        <f t="shared" si="2"/>
        <v>1</v>
      </c>
      <c r="AF12" s="20">
        <f t="shared" si="3"/>
        <v>6</v>
      </c>
      <c r="AG12" s="20">
        <f t="shared" si="4"/>
        <v>6</v>
      </c>
      <c r="AH12" s="20">
        <f t="shared" si="5"/>
        <v>1</v>
      </c>
    </row>
    <row r="13" spans="1:34">
      <c r="A13" s="10" t="s">
        <v>930</v>
      </c>
      <c r="B13" s="10" t="s">
        <v>1061</v>
      </c>
      <c r="C13" s="10" t="s">
        <v>177</v>
      </c>
      <c r="D13" s="10" t="s">
        <v>4</v>
      </c>
      <c r="E13" s="10" t="s">
        <v>41</v>
      </c>
      <c r="F13" s="10" t="s">
        <v>142</v>
      </c>
      <c r="G13" s="10" t="s">
        <v>3</v>
      </c>
      <c r="H13" s="10" t="s">
        <v>135</v>
      </c>
      <c r="I13" s="10" t="s">
        <v>41</v>
      </c>
      <c r="J13" s="10" t="s">
        <v>42</v>
      </c>
      <c r="K13" s="694" t="s">
        <v>45</v>
      </c>
      <c r="L13" s="694" t="s">
        <v>63</v>
      </c>
      <c r="M13" s="10" t="s">
        <v>1192</v>
      </c>
      <c r="N13" s="10">
        <v>81</v>
      </c>
      <c r="O13" s="10">
        <v>51</v>
      </c>
      <c r="P13" s="10">
        <v>30</v>
      </c>
      <c r="Q13" s="10">
        <v>15</v>
      </c>
      <c r="R13" s="10">
        <v>7</v>
      </c>
      <c r="S13" s="10">
        <v>4</v>
      </c>
      <c r="T13" s="10">
        <v>2</v>
      </c>
      <c r="U13" s="10">
        <v>13</v>
      </c>
      <c r="V13" s="10">
        <v>12</v>
      </c>
      <c r="W13" s="10">
        <v>30</v>
      </c>
      <c r="X13" s="10">
        <v>17</v>
      </c>
      <c r="Y13" s="10">
        <v>9</v>
      </c>
      <c r="Z13" s="10">
        <v>6</v>
      </c>
      <c r="AA13" s="10">
        <v>10</v>
      </c>
      <c r="AB13" s="10">
        <v>7</v>
      </c>
      <c r="AC13" s="20">
        <f t="shared" si="0"/>
        <v>8</v>
      </c>
      <c r="AD13" s="20">
        <f t="shared" si="1"/>
        <v>2</v>
      </c>
      <c r="AE13" s="20">
        <f t="shared" si="2"/>
        <v>1</v>
      </c>
      <c r="AF13" s="20">
        <f t="shared" si="3"/>
        <v>13</v>
      </c>
      <c r="AG13" s="20">
        <f t="shared" si="4"/>
        <v>3</v>
      </c>
      <c r="AH13" s="20">
        <f t="shared" si="5"/>
        <v>3</v>
      </c>
    </row>
    <row r="14" spans="1:34">
      <c r="A14" s="10" t="s">
        <v>931</v>
      </c>
      <c r="B14" s="10" t="s">
        <v>1062</v>
      </c>
      <c r="C14" s="10" t="s">
        <v>66</v>
      </c>
      <c r="D14" s="10" t="s">
        <v>7</v>
      </c>
      <c r="E14" s="10" t="s">
        <v>41</v>
      </c>
      <c r="F14" s="10" t="s">
        <v>105</v>
      </c>
      <c r="G14" s="10" t="s">
        <v>4</v>
      </c>
      <c r="H14" s="10" t="s">
        <v>1305</v>
      </c>
      <c r="I14" s="10" t="s">
        <v>41</v>
      </c>
      <c r="J14" s="10" t="s">
        <v>42</v>
      </c>
      <c r="K14" s="694" t="s">
        <v>41</v>
      </c>
      <c r="L14" s="694" t="s">
        <v>63</v>
      </c>
      <c r="M14" s="10" t="s">
        <v>1193</v>
      </c>
      <c r="N14" s="10">
        <v>94</v>
      </c>
      <c r="O14" s="10">
        <v>58</v>
      </c>
      <c r="P14" s="10">
        <v>36</v>
      </c>
      <c r="Q14" s="10">
        <v>21</v>
      </c>
      <c r="R14" s="10">
        <v>11</v>
      </c>
      <c r="S14" s="10">
        <v>24</v>
      </c>
      <c r="T14" s="10">
        <v>16</v>
      </c>
      <c r="U14" s="10">
        <v>9</v>
      </c>
      <c r="V14" s="10">
        <v>5</v>
      </c>
      <c r="W14" s="10">
        <v>27</v>
      </c>
      <c r="X14" s="10">
        <v>16</v>
      </c>
      <c r="Y14" s="10">
        <v>13</v>
      </c>
      <c r="Z14" s="10">
        <v>10</v>
      </c>
      <c r="AA14" s="10">
        <v>0</v>
      </c>
      <c r="AB14" s="10">
        <v>0</v>
      </c>
      <c r="AC14" s="20">
        <f t="shared" si="0"/>
        <v>10</v>
      </c>
      <c r="AD14" s="20">
        <f t="shared" si="1"/>
        <v>8</v>
      </c>
      <c r="AE14" s="20">
        <f t="shared" si="2"/>
        <v>4</v>
      </c>
      <c r="AF14" s="20">
        <f t="shared" si="3"/>
        <v>11</v>
      </c>
      <c r="AG14" s="20">
        <f t="shared" si="4"/>
        <v>3</v>
      </c>
      <c r="AH14" s="20">
        <f t="shared" si="5"/>
        <v>0</v>
      </c>
    </row>
    <row r="15" spans="1:34">
      <c r="A15" s="10" t="s">
        <v>932</v>
      </c>
      <c r="B15" s="10" t="s">
        <v>1063</v>
      </c>
      <c r="C15" s="10" t="s">
        <v>66</v>
      </c>
      <c r="D15" s="10" t="s">
        <v>5</v>
      </c>
      <c r="E15" s="10" t="s">
        <v>41</v>
      </c>
      <c r="F15" s="10" t="s">
        <v>105</v>
      </c>
      <c r="G15" s="10" t="s">
        <v>5</v>
      </c>
      <c r="H15" s="10" t="s">
        <v>1306</v>
      </c>
      <c r="I15" s="10" t="s">
        <v>41</v>
      </c>
      <c r="J15" s="10" t="s">
        <v>41</v>
      </c>
      <c r="K15" s="694" t="s">
        <v>45</v>
      </c>
      <c r="L15" s="694" t="s">
        <v>63</v>
      </c>
      <c r="M15" s="10" t="s">
        <v>1194</v>
      </c>
      <c r="N15" s="10">
        <v>163</v>
      </c>
      <c r="O15" s="10">
        <v>96</v>
      </c>
      <c r="P15" s="10">
        <v>67</v>
      </c>
      <c r="Q15" s="10">
        <v>32</v>
      </c>
      <c r="R15" s="10">
        <v>21</v>
      </c>
      <c r="S15" s="10">
        <v>36</v>
      </c>
      <c r="T15" s="10">
        <v>20</v>
      </c>
      <c r="U15" s="10">
        <v>13</v>
      </c>
      <c r="V15" s="10">
        <v>9</v>
      </c>
      <c r="W15" s="10">
        <v>62</v>
      </c>
      <c r="X15" s="10">
        <v>36</v>
      </c>
      <c r="Y15" s="10">
        <v>12</v>
      </c>
      <c r="Z15" s="10">
        <v>6</v>
      </c>
      <c r="AA15" s="10">
        <v>8</v>
      </c>
      <c r="AB15" s="10">
        <v>4</v>
      </c>
      <c r="AC15" s="20">
        <f t="shared" si="0"/>
        <v>11</v>
      </c>
      <c r="AD15" s="20">
        <f t="shared" si="1"/>
        <v>16</v>
      </c>
      <c r="AE15" s="20">
        <f t="shared" si="2"/>
        <v>4</v>
      </c>
      <c r="AF15" s="20">
        <f t="shared" si="3"/>
        <v>26</v>
      </c>
      <c r="AG15" s="20">
        <f t="shared" si="4"/>
        <v>6</v>
      </c>
      <c r="AH15" s="20">
        <f t="shared" si="5"/>
        <v>4</v>
      </c>
    </row>
    <row r="16" spans="1:34">
      <c r="A16" s="10" t="s">
        <v>933</v>
      </c>
      <c r="B16" s="10" t="s">
        <v>1064</v>
      </c>
      <c r="C16" s="10" t="s">
        <v>66</v>
      </c>
      <c r="D16" s="10" t="s">
        <v>9</v>
      </c>
      <c r="E16" s="10" t="s">
        <v>41</v>
      </c>
      <c r="F16" s="10" t="s">
        <v>105</v>
      </c>
      <c r="G16" s="10" t="s">
        <v>8</v>
      </c>
      <c r="H16" s="10" t="s">
        <v>58</v>
      </c>
      <c r="I16" s="10" t="s">
        <v>41</v>
      </c>
      <c r="J16" s="10" t="s">
        <v>42</v>
      </c>
      <c r="K16" s="694" t="s">
        <v>45</v>
      </c>
      <c r="L16" s="694" t="s">
        <v>63</v>
      </c>
      <c r="M16" s="10" t="s">
        <v>1195</v>
      </c>
      <c r="N16" s="10">
        <v>129</v>
      </c>
      <c r="O16" s="10">
        <v>76</v>
      </c>
      <c r="P16" s="10">
        <v>53</v>
      </c>
      <c r="Q16" s="10">
        <v>28</v>
      </c>
      <c r="R16" s="10">
        <v>18</v>
      </c>
      <c r="S16" s="10">
        <v>39</v>
      </c>
      <c r="T16" s="10">
        <v>22</v>
      </c>
      <c r="U16" s="10">
        <v>14</v>
      </c>
      <c r="V16" s="10">
        <v>7</v>
      </c>
      <c r="W16" s="10">
        <v>14</v>
      </c>
      <c r="X16" s="10">
        <v>5</v>
      </c>
      <c r="Y16" s="10">
        <v>23</v>
      </c>
      <c r="Z16" s="10">
        <v>15</v>
      </c>
      <c r="AA16" s="10">
        <v>11</v>
      </c>
      <c r="AB16" s="10">
        <v>9</v>
      </c>
      <c r="AC16" s="20">
        <f t="shared" si="0"/>
        <v>10</v>
      </c>
      <c r="AD16" s="20">
        <f t="shared" si="1"/>
        <v>17</v>
      </c>
      <c r="AE16" s="20">
        <f t="shared" si="2"/>
        <v>7</v>
      </c>
      <c r="AF16" s="20">
        <f t="shared" si="3"/>
        <v>9</v>
      </c>
      <c r="AG16" s="20">
        <f t="shared" si="4"/>
        <v>8</v>
      </c>
      <c r="AH16" s="20">
        <f t="shared" si="5"/>
        <v>2</v>
      </c>
    </row>
    <row r="17" spans="1:34" s="21" customFormat="1">
      <c r="A17" s="10" t="s">
        <v>286</v>
      </c>
      <c r="B17" s="10" t="s">
        <v>1065</v>
      </c>
      <c r="C17" s="10" t="s">
        <v>66</v>
      </c>
      <c r="D17" s="10" t="s">
        <v>11</v>
      </c>
      <c r="E17" s="10" t="s">
        <v>41</v>
      </c>
      <c r="F17" s="10" t="s">
        <v>105</v>
      </c>
      <c r="G17" s="10" t="s">
        <v>9</v>
      </c>
      <c r="H17" s="10" t="s">
        <v>1307</v>
      </c>
      <c r="I17" s="10" t="s">
        <v>41</v>
      </c>
      <c r="J17" s="10" t="s">
        <v>42</v>
      </c>
      <c r="K17" s="694" t="s">
        <v>45</v>
      </c>
      <c r="L17" s="694" t="s">
        <v>63</v>
      </c>
      <c r="M17" s="10" t="s">
        <v>1750</v>
      </c>
      <c r="N17" s="10">
        <v>80</v>
      </c>
      <c r="O17" s="10">
        <v>48</v>
      </c>
      <c r="P17" s="10">
        <v>32</v>
      </c>
      <c r="Q17" s="10">
        <v>13</v>
      </c>
      <c r="R17" s="10">
        <v>5</v>
      </c>
      <c r="S17" s="10">
        <v>18</v>
      </c>
      <c r="T17" s="10">
        <v>13</v>
      </c>
      <c r="U17" s="10">
        <v>9</v>
      </c>
      <c r="V17" s="10">
        <v>7</v>
      </c>
      <c r="W17" s="10">
        <v>17</v>
      </c>
      <c r="X17" s="10">
        <v>10</v>
      </c>
      <c r="Y17" s="10">
        <v>10</v>
      </c>
      <c r="Z17" s="10">
        <v>6</v>
      </c>
      <c r="AA17" s="10">
        <v>13</v>
      </c>
      <c r="AB17" s="10">
        <v>7</v>
      </c>
      <c r="AC17" s="20">
        <f t="shared" si="0"/>
        <v>8</v>
      </c>
      <c r="AD17" s="20">
        <f t="shared" si="1"/>
        <v>5</v>
      </c>
      <c r="AE17" s="20">
        <f t="shared" si="2"/>
        <v>2</v>
      </c>
      <c r="AF17" s="20">
        <f t="shared" si="3"/>
        <v>7</v>
      </c>
      <c r="AG17" s="20">
        <f t="shared" si="4"/>
        <v>4</v>
      </c>
      <c r="AH17" s="20">
        <f t="shared" si="5"/>
        <v>6</v>
      </c>
    </row>
    <row r="18" spans="1:34">
      <c r="A18" s="10" t="s">
        <v>934</v>
      </c>
      <c r="B18" s="10" t="s">
        <v>1066</v>
      </c>
      <c r="C18" s="10" t="s">
        <v>177</v>
      </c>
      <c r="D18" s="10" t="s">
        <v>5</v>
      </c>
      <c r="E18" s="10" t="s">
        <v>41</v>
      </c>
      <c r="F18" s="10" t="s">
        <v>141</v>
      </c>
      <c r="G18" s="10" t="s">
        <v>3</v>
      </c>
      <c r="H18" s="10" t="s">
        <v>103</v>
      </c>
      <c r="I18" s="10" t="s">
        <v>41</v>
      </c>
      <c r="J18" s="10" t="s">
        <v>41</v>
      </c>
      <c r="K18" s="694" t="s">
        <v>42</v>
      </c>
      <c r="L18" s="694" t="s">
        <v>63</v>
      </c>
      <c r="M18" s="10" t="s">
        <v>1196</v>
      </c>
      <c r="N18" s="10">
        <v>105</v>
      </c>
      <c r="O18" s="10">
        <v>76</v>
      </c>
      <c r="P18" s="10">
        <v>29</v>
      </c>
      <c r="Q18" s="10">
        <v>5</v>
      </c>
      <c r="R18" s="10">
        <v>2</v>
      </c>
      <c r="S18" s="10">
        <v>34</v>
      </c>
      <c r="T18" s="10">
        <v>21</v>
      </c>
      <c r="U18" s="10">
        <v>13</v>
      </c>
      <c r="V18" s="10">
        <v>11</v>
      </c>
      <c r="W18" s="10">
        <v>25</v>
      </c>
      <c r="X18" s="10">
        <v>17</v>
      </c>
      <c r="Y18" s="10">
        <v>21</v>
      </c>
      <c r="Z18" s="10">
        <v>18</v>
      </c>
      <c r="AA18" s="10">
        <v>7</v>
      </c>
      <c r="AB18" s="10">
        <v>7</v>
      </c>
      <c r="AC18" s="20">
        <f t="shared" si="0"/>
        <v>3</v>
      </c>
      <c r="AD18" s="20">
        <f t="shared" si="1"/>
        <v>13</v>
      </c>
      <c r="AE18" s="20">
        <f t="shared" si="2"/>
        <v>2</v>
      </c>
      <c r="AF18" s="20">
        <f t="shared" si="3"/>
        <v>8</v>
      </c>
      <c r="AG18" s="20">
        <f t="shared" si="4"/>
        <v>3</v>
      </c>
      <c r="AH18" s="20">
        <f t="shared" si="5"/>
        <v>0</v>
      </c>
    </row>
    <row r="19" spans="1:34">
      <c r="A19" s="10" t="s">
        <v>935</v>
      </c>
      <c r="B19" s="10" t="s">
        <v>1067</v>
      </c>
      <c r="C19" s="10" t="s">
        <v>5</v>
      </c>
      <c r="D19" s="10" t="s">
        <v>3</v>
      </c>
      <c r="E19" s="10" t="s">
        <v>42</v>
      </c>
      <c r="F19" s="10" t="s">
        <v>3</v>
      </c>
      <c r="G19" s="10" t="s">
        <v>3</v>
      </c>
      <c r="H19" s="10" t="s">
        <v>117</v>
      </c>
      <c r="I19" s="10" t="s">
        <v>41</v>
      </c>
      <c r="J19" s="10" t="s">
        <v>41</v>
      </c>
      <c r="K19" s="694" t="s">
        <v>45</v>
      </c>
      <c r="L19" s="694" t="s">
        <v>63</v>
      </c>
      <c r="M19" s="10" t="s">
        <v>1197</v>
      </c>
      <c r="N19" s="10">
        <v>85</v>
      </c>
      <c r="O19" s="10">
        <v>50</v>
      </c>
      <c r="P19" s="10">
        <v>35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42</v>
      </c>
      <c r="X19" s="10">
        <v>22</v>
      </c>
      <c r="Y19" s="10">
        <v>32</v>
      </c>
      <c r="Z19" s="10">
        <v>22</v>
      </c>
      <c r="AA19" s="10">
        <v>11</v>
      </c>
      <c r="AB19" s="10">
        <v>6</v>
      </c>
      <c r="AC19" s="20">
        <f t="shared" si="0"/>
        <v>0</v>
      </c>
      <c r="AD19" s="20">
        <f t="shared" si="1"/>
        <v>0</v>
      </c>
      <c r="AE19" s="20">
        <f t="shared" si="2"/>
        <v>0</v>
      </c>
      <c r="AF19" s="20">
        <f t="shared" si="3"/>
        <v>20</v>
      </c>
      <c r="AG19" s="20">
        <f t="shared" si="4"/>
        <v>10</v>
      </c>
      <c r="AH19" s="20">
        <f t="shared" si="5"/>
        <v>5</v>
      </c>
    </row>
    <row r="20" spans="1:34">
      <c r="A20" s="10" t="s">
        <v>936</v>
      </c>
      <c r="B20" s="10" t="s">
        <v>1068</v>
      </c>
      <c r="C20" s="10" t="s">
        <v>6</v>
      </c>
      <c r="D20" s="10" t="s">
        <v>5</v>
      </c>
      <c r="E20" s="10" t="s">
        <v>42</v>
      </c>
      <c r="F20" s="10" t="s">
        <v>4</v>
      </c>
      <c r="G20" s="10" t="s">
        <v>7</v>
      </c>
      <c r="H20" s="10" t="s">
        <v>129</v>
      </c>
      <c r="I20" s="10" t="s">
        <v>41</v>
      </c>
      <c r="J20" s="10" t="s">
        <v>42</v>
      </c>
      <c r="K20" s="694" t="s">
        <v>45</v>
      </c>
      <c r="L20" s="694" t="s">
        <v>63</v>
      </c>
      <c r="M20" s="10" t="s">
        <v>1198</v>
      </c>
      <c r="N20" s="10">
        <v>189</v>
      </c>
      <c r="O20" s="10">
        <v>117</v>
      </c>
      <c r="P20" s="10">
        <v>72</v>
      </c>
      <c r="Q20" s="10">
        <v>38</v>
      </c>
      <c r="R20" s="10">
        <v>28</v>
      </c>
      <c r="S20" s="10">
        <v>51</v>
      </c>
      <c r="T20" s="10">
        <v>26</v>
      </c>
      <c r="U20" s="10">
        <v>31</v>
      </c>
      <c r="V20" s="10">
        <v>15</v>
      </c>
      <c r="W20" s="10">
        <v>34</v>
      </c>
      <c r="X20" s="10">
        <v>26</v>
      </c>
      <c r="Y20" s="10">
        <v>35</v>
      </c>
      <c r="Z20" s="10">
        <v>22</v>
      </c>
      <c r="AA20" s="10">
        <v>0</v>
      </c>
      <c r="AB20" s="10">
        <v>0</v>
      </c>
      <c r="AC20" s="20">
        <f t="shared" si="0"/>
        <v>10</v>
      </c>
      <c r="AD20" s="20">
        <f t="shared" si="1"/>
        <v>25</v>
      </c>
      <c r="AE20" s="20">
        <f t="shared" si="2"/>
        <v>16</v>
      </c>
      <c r="AF20" s="20">
        <f t="shared" si="3"/>
        <v>8</v>
      </c>
      <c r="AG20" s="20">
        <f t="shared" si="4"/>
        <v>13</v>
      </c>
      <c r="AH20" s="20">
        <f t="shared" si="5"/>
        <v>0</v>
      </c>
    </row>
    <row r="21" spans="1:34">
      <c r="A21" s="10" t="s">
        <v>937</v>
      </c>
      <c r="B21" s="10" t="s">
        <v>1069</v>
      </c>
      <c r="C21" s="10" t="s">
        <v>5</v>
      </c>
      <c r="D21" s="10" t="s">
        <v>12</v>
      </c>
      <c r="E21" s="10" t="s">
        <v>42</v>
      </c>
      <c r="F21" s="10" t="s">
        <v>6</v>
      </c>
      <c r="G21" s="10" t="s">
        <v>3</v>
      </c>
      <c r="H21" s="10" t="s">
        <v>122</v>
      </c>
      <c r="I21" s="10" t="s">
        <v>41</v>
      </c>
      <c r="J21" s="10" t="s">
        <v>42</v>
      </c>
      <c r="K21" s="694" t="s">
        <v>42</v>
      </c>
      <c r="L21" s="694" t="s">
        <v>63</v>
      </c>
      <c r="M21" s="10" t="s">
        <v>1199</v>
      </c>
      <c r="N21" s="10">
        <v>134</v>
      </c>
      <c r="O21" s="10">
        <v>77</v>
      </c>
      <c r="P21" s="10">
        <v>57</v>
      </c>
      <c r="Q21" s="10">
        <v>29</v>
      </c>
      <c r="R21" s="10">
        <v>15</v>
      </c>
      <c r="S21" s="10">
        <v>27</v>
      </c>
      <c r="T21" s="10">
        <v>19</v>
      </c>
      <c r="U21" s="10">
        <v>24</v>
      </c>
      <c r="V21" s="10">
        <v>13</v>
      </c>
      <c r="W21" s="10">
        <v>30</v>
      </c>
      <c r="X21" s="10">
        <v>16</v>
      </c>
      <c r="Y21" s="10">
        <v>20</v>
      </c>
      <c r="Z21" s="10">
        <v>13</v>
      </c>
      <c r="AA21" s="10">
        <v>4</v>
      </c>
      <c r="AB21" s="10">
        <v>1</v>
      </c>
      <c r="AC21" s="20">
        <f t="shared" si="0"/>
        <v>14</v>
      </c>
      <c r="AD21" s="20">
        <f t="shared" si="1"/>
        <v>8</v>
      </c>
      <c r="AE21" s="20">
        <f t="shared" si="2"/>
        <v>11</v>
      </c>
      <c r="AF21" s="20">
        <f t="shared" si="3"/>
        <v>14</v>
      </c>
      <c r="AG21" s="20">
        <f t="shared" si="4"/>
        <v>7</v>
      </c>
      <c r="AH21" s="20">
        <f t="shared" si="5"/>
        <v>3</v>
      </c>
    </row>
    <row r="22" spans="1:34">
      <c r="A22" s="10" t="s">
        <v>938</v>
      </c>
      <c r="B22" s="10" t="s">
        <v>1070</v>
      </c>
      <c r="C22" s="10" t="s">
        <v>5</v>
      </c>
      <c r="D22" s="10" t="s">
        <v>12</v>
      </c>
      <c r="E22" s="10" t="s">
        <v>42</v>
      </c>
      <c r="F22" s="10" t="s">
        <v>12</v>
      </c>
      <c r="G22" s="10" t="s">
        <v>3</v>
      </c>
      <c r="H22" s="10" t="s">
        <v>812</v>
      </c>
      <c r="I22" s="10" t="s">
        <v>41</v>
      </c>
      <c r="J22" s="10" t="s">
        <v>41</v>
      </c>
      <c r="K22" s="694" t="s">
        <v>42</v>
      </c>
      <c r="L22" s="694" t="s">
        <v>63</v>
      </c>
      <c r="M22" s="10" t="s">
        <v>1200</v>
      </c>
      <c r="N22" s="10">
        <v>489</v>
      </c>
      <c r="O22" s="10">
        <v>274</v>
      </c>
      <c r="P22" s="10">
        <v>215</v>
      </c>
      <c r="Q22" s="10">
        <v>154</v>
      </c>
      <c r="R22" s="10">
        <v>80</v>
      </c>
      <c r="S22" s="10">
        <v>94</v>
      </c>
      <c r="T22" s="10">
        <v>53</v>
      </c>
      <c r="U22" s="10">
        <v>62</v>
      </c>
      <c r="V22" s="10">
        <v>34</v>
      </c>
      <c r="W22" s="10">
        <v>113</v>
      </c>
      <c r="X22" s="10">
        <v>63</v>
      </c>
      <c r="Y22" s="10">
        <v>48</v>
      </c>
      <c r="Z22" s="10">
        <v>29</v>
      </c>
      <c r="AA22" s="10">
        <v>18</v>
      </c>
      <c r="AB22" s="10">
        <v>15</v>
      </c>
      <c r="AC22" s="20">
        <f t="shared" si="0"/>
        <v>74</v>
      </c>
      <c r="AD22" s="20">
        <f t="shared" si="1"/>
        <v>41</v>
      </c>
      <c r="AE22" s="20">
        <f t="shared" si="2"/>
        <v>28</v>
      </c>
      <c r="AF22" s="20">
        <f t="shared" si="3"/>
        <v>50</v>
      </c>
      <c r="AG22" s="20">
        <f t="shared" si="4"/>
        <v>19</v>
      </c>
      <c r="AH22" s="20">
        <f t="shared" si="5"/>
        <v>3</v>
      </c>
    </row>
    <row r="23" spans="1:34">
      <c r="A23" s="10" t="s">
        <v>939</v>
      </c>
      <c r="B23" s="10" t="s">
        <v>1071</v>
      </c>
      <c r="C23" s="10" t="s">
        <v>51</v>
      </c>
      <c r="D23" s="10" t="s">
        <v>5</v>
      </c>
      <c r="E23" s="10" t="s">
        <v>42</v>
      </c>
      <c r="F23" s="10" t="s">
        <v>13</v>
      </c>
      <c r="G23" s="10" t="s">
        <v>3</v>
      </c>
      <c r="H23" s="10" t="s">
        <v>76</v>
      </c>
      <c r="I23" s="10" t="s">
        <v>41</v>
      </c>
      <c r="J23" s="10" t="s">
        <v>41</v>
      </c>
      <c r="K23" s="694" t="s">
        <v>45</v>
      </c>
      <c r="L23" s="694" t="s">
        <v>63</v>
      </c>
      <c r="M23" s="10" t="s">
        <v>1201</v>
      </c>
      <c r="N23" s="10">
        <v>69</v>
      </c>
      <c r="O23" s="10">
        <v>39</v>
      </c>
      <c r="P23" s="10">
        <v>30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47</v>
      </c>
      <c r="X23" s="10">
        <v>33</v>
      </c>
      <c r="Y23" s="10">
        <v>21</v>
      </c>
      <c r="Z23" s="10">
        <v>6</v>
      </c>
      <c r="AA23" s="10">
        <v>1</v>
      </c>
      <c r="AB23" s="10">
        <v>0</v>
      </c>
      <c r="AC23" s="20">
        <f t="shared" si="0"/>
        <v>0</v>
      </c>
      <c r="AD23" s="20">
        <f t="shared" si="1"/>
        <v>0</v>
      </c>
      <c r="AE23" s="20">
        <f t="shared" si="2"/>
        <v>0</v>
      </c>
      <c r="AF23" s="20">
        <f t="shared" si="3"/>
        <v>14</v>
      </c>
      <c r="AG23" s="20">
        <f t="shared" si="4"/>
        <v>15</v>
      </c>
      <c r="AH23" s="20">
        <f t="shared" si="5"/>
        <v>1</v>
      </c>
    </row>
    <row r="24" spans="1:34">
      <c r="A24" s="10" t="s">
        <v>904</v>
      </c>
      <c r="B24" s="10" t="s">
        <v>856</v>
      </c>
      <c r="C24" s="10" t="s">
        <v>51</v>
      </c>
      <c r="D24" s="10" t="s">
        <v>4</v>
      </c>
      <c r="E24" s="10" t="s">
        <v>42</v>
      </c>
      <c r="F24" s="10" t="s">
        <v>13</v>
      </c>
      <c r="G24" s="10" t="s">
        <v>4</v>
      </c>
      <c r="H24" s="10" t="s">
        <v>130</v>
      </c>
      <c r="I24" s="10" t="s">
        <v>42</v>
      </c>
      <c r="J24" s="10" t="s">
        <v>41</v>
      </c>
      <c r="K24" s="694" t="s">
        <v>41</v>
      </c>
      <c r="L24" s="694" t="s">
        <v>63</v>
      </c>
      <c r="M24" s="10" t="s">
        <v>905</v>
      </c>
      <c r="N24" s="10">
        <v>46</v>
      </c>
      <c r="O24" s="10">
        <v>28</v>
      </c>
      <c r="P24" s="10">
        <v>18</v>
      </c>
      <c r="Q24" s="10">
        <v>10</v>
      </c>
      <c r="R24" s="10">
        <v>6</v>
      </c>
      <c r="S24" s="10">
        <v>13</v>
      </c>
      <c r="T24" s="10">
        <v>9</v>
      </c>
      <c r="U24" s="10">
        <v>8</v>
      </c>
      <c r="V24" s="10">
        <v>5</v>
      </c>
      <c r="W24" s="10">
        <v>11</v>
      </c>
      <c r="X24" s="10">
        <v>6</v>
      </c>
      <c r="Y24" s="10">
        <v>4</v>
      </c>
      <c r="Z24" s="10">
        <v>2</v>
      </c>
      <c r="AA24" s="10">
        <v>0</v>
      </c>
      <c r="AB24" s="10">
        <v>0</v>
      </c>
      <c r="AC24" s="20">
        <f t="shared" si="0"/>
        <v>4</v>
      </c>
      <c r="AD24" s="20">
        <f t="shared" si="1"/>
        <v>4</v>
      </c>
      <c r="AE24" s="20">
        <f t="shared" si="2"/>
        <v>3</v>
      </c>
      <c r="AF24" s="20">
        <f t="shared" si="3"/>
        <v>5</v>
      </c>
      <c r="AG24" s="20">
        <f t="shared" si="4"/>
        <v>2</v>
      </c>
      <c r="AH24" s="20">
        <f t="shared" si="5"/>
        <v>0</v>
      </c>
    </row>
    <row r="25" spans="1:34">
      <c r="A25" s="10" t="s">
        <v>940</v>
      </c>
      <c r="B25" s="10" t="s">
        <v>1072</v>
      </c>
      <c r="C25" s="10" t="s">
        <v>51</v>
      </c>
      <c r="D25" s="10" t="s">
        <v>6</v>
      </c>
      <c r="E25" s="10" t="s">
        <v>42</v>
      </c>
      <c r="F25" s="10" t="s">
        <v>13</v>
      </c>
      <c r="G25" s="10" t="s">
        <v>6</v>
      </c>
      <c r="H25" s="10" t="s">
        <v>131</v>
      </c>
      <c r="I25" s="10" t="s">
        <v>41</v>
      </c>
      <c r="J25" s="10" t="s">
        <v>42</v>
      </c>
      <c r="K25" s="694" t="s">
        <v>45</v>
      </c>
      <c r="L25" s="694" t="s">
        <v>63</v>
      </c>
      <c r="M25" s="10" t="s">
        <v>1202</v>
      </c>
      <c r="N25" s="10">
        <v>633</v>
      </c>
      <c r="O25" s="10">
        <v>295</v>
      </c>
      <c r="P25" s="10">
        <v>338</v>
      </c>
      <c r="Q25" s="10">
        <v>131</v>
      </c>
      <c r="R25" s="10">
        <v>70</v>
      </c>
      <c r="S25" s="10">
        <v>203</v>
      </c>
      <c r="T25" s="10">
        <v>87</v>
      </c>
      <c r="U25" s="10">
        <v>91</v>
      </c>
      <c r="V25" s="10">
        <v>50</v>
      </c>
      <c r="W25" s="10">
        <v>63</v>
      </c>
      <c r="X25" s="10">
        <v>38</v>
      </c>
      <c r="Y25" s="10">
        <v>130</v>
      </c>
      <c r="Z25" s="10">
        <v>41</v>
      </c>
      <c r="AA25" s="10">
        <v>15</v>
      </c>
      <c r="AB25" s="10">
        <v>9</v>
      </c>
      <c r="AC25" s="20">
        <f t="shared" si="0"/>
        <v>61</v>
      </c>
      <c r="AD25" s="20">
        <f t="shared" si="1"/>
        <v>116</v>
      </c>
      <c r="AE25" s="20">
        <f t="shared" si="2"/>
        <v>41</v>
      </c>
      <c r="AF25" s="20">
        <f t="shared" si="3"/>
        <v>25</v>
      </c>
      <c r="AG25" s="20">
        <f t="shared" si="4"/>
        <v>89</v>
      </c>
      <c r="AH25" s="20">
        <f t="shared" si="5"/>
        <v>6</v>
      </c>
    </row>
    <row r="26" spans="1:34">
      <c r="A26" s="10" t="s">
        <v>941</v>
      </c>
      <c r="B26" s="10" t="s">
        <v>1073</v>
      </c>
      <c r="C26" s="10" t="s">
        <v>51</v>
      </c>
      <c r="D26" s="10" t="s">
        <v>3</v>
      </c>
      <c r="E26" s="10" t="s">
        <v>42</v>
      </c>
      <c r="F26" s="10" t="s">
        <v>13</v>
      </c>
      <c r="G26" s="10" t="s">
        <v>7</v>
      </c>
      <c r="H26" s="10" t="s">
        <v>101</v>
      </c>
      <c r="I26" s="10" t="s">
        <v>41</v>
      </c>
      <c r="J26" s="10" t="s">
        <v>42</v>
      </c>
      <c r="K26" s="694" t="s">
        <v>41</v>
      </c>
      <c r="L26" s="694" t="s">
        <v>63</v>
      </c>
      <c r="M26" s="10" t="s">
        <v>1203</v>
      </c>
      <c r="N26" s="10">
        <v>260</v>
      </c>
      <c r="O26" s="10">
        <v>152</v>
      </c>
      <c r="P26" s="10">
        <v>108</v>
      </c>
      <c r="Q26" s="10">
        <v>74</v>
      </c>
      <c r="R26" s="10">
        <v>47</v>
      </c>
      <c r="S26" s="10">
        <v>41</v>
      </c>
      <c r="T26" s="10">
        <v>29</v>
      </c>
      <c r="U26" s="10">
        <v>36</v>
      </c>
      <c r="V26" s="10">
        <v>18</v>
      </c>
      <c r="W26" s="10">
        <v>49</v>
      </c>
      <c r="X26" s="10">
        <v>30</v>
      </c>
      <c r="Y26" s="10">
        <v>41</v>
      </c>
      <c r="Z26" s="10">
        <v>21</v>
      </c>
      <c r="AA26" s="10">
        <v>19</v>
      </c>
      <c r="AB26" s="10">
        <v>7</v>
      </c>
      <c r="AC26" s="20">
        <f t="shared" si="0"/>
        <v>27</v>
      </c>
      <c r="AD26" s="20">
        <f t="shared" si="1"/>
        <v>12</v>
      </c>
      <c r="AE26" s="20">
        <f t="shared" si="2"/>
        <v>18</v>
      </c>
      <c r="AF26" s="20">
        <f t="shared" si="3"/>
        <v>19</v>
      </c>
      <c r="AG26" s="20">
        <f t="shared" si="4"/>
        <v>20</v>
      </c>
      <c r="AH26" s="20">
        <f t="shared" si="5"/>
        <v>12</v>
      </c>
    </row>
    <row r="27" spans="1:34">
      <c r="A27" s="10" t="s">
        <v>942</v>
      </c>
      <c r="B27" s="10" t="s">
        <v>1074</v>
      </c>
      <c r="C27" s="10" t="s">
        <v>51</v>
      </c>
      <c r="D27" s="10" t="s">
        <v>7</v>
      </c>
      <c r="E27" s="10" t="s">
        <v>42</v>
      </c>
      <c r="F27" s="10" t="s">
        <v>13</v>
      </c>
      <c r="G27" s="10" t="s">
        <v>8</v>
      </c>
      <c r="H27" s="10" t="s">
        <v>132</v>
      </c>
      <c r="I27" s="10" t="s">
        <v>41</v>
      </c>
      <c r="J27" s="10" t="s">
        <v>42</v>
      </c>
      <c r="K27" s="694" t="s">
        <v>45</v>
      </c>
      <c r="L27" s="694" t="s">
        <v>63</v>
      </c>
      <c r="M27" s="10" t="s">
        <v>1204</v>
      </c>
      <c r="N27" s="10">
        <v>416</v>
      </c>
      <c r="O27" s="10">
        <v>233</v>
      </c>
      <c r="P27" s="10">
        <v>183</v>
      </c>
      <c r="Q27" s="10">
        <v>110</v>
      </c>
      <c r="R27" s="10">
        <v>69</v>
      </c>
      <c r="S27" s="10">
        <v>84</v>
      </c>
      <c r="T27" s="10">
        <v>43</v>
      </c>
      <c r="U27" s="10">
        <v>81</v>
      </c>
      <c r="V27" s="10">
        <v>46</v>
      </c>
      <c r="W27" s="10">
        <v>76</v>
      </c>
      <c r="X27" s="10">
        <v>37</v>
      </c>
      <c r="Y27" s="10">
        <v>28</v>
      </c>
      <c r="Z27" s="10">
        <v>18</v>
      </c>
      <c r="AA27" s="10">
        <v>37</v>
      </c>
      <c r="AB27" s="10">
        <v>20</v>
      </c>
      <c r="AC27" s="20">
        <f t="shared" si="0"/>
        <v>41</v>
      </c>
      <c r="AD27" s="20">
        <f t="shared" si="1"/>
        <v>41</v>
      </c>
      <c r="AE27" s="20">
        <f t="shared" si="2"/>
        <v>35</v>
      </c>
      <c r="AF27" s="20">
        <f t="shared" si="3"/>
        <v>39</v>
      </c>
      <c r="AG27" s="20">
        <f t="shared" si="4"/>
        <v>10</v>
      </c>
      <c r="AH27" s="20">
        <f t="shared" si="5"/>
        <v>17</v>
      </c>
    </row>
    <row r="28" spans="1:34">
      <c r="A28" s="10" t="s">
        <v>943</v>
      </c>
      <c r="B28" s="10" t="s">
        <v>1075</v>
      </c>
      <c r="C28" s="10" t="s">
        <v>51</v>
      </c>
      <c r="D28" s="10" t="s">
        <v>8</v>
      </c>
      <c r="E28" s="10" t="s">
        <v>42</v>
      </c>
      <c r="F28" s="10" t="s">
        <v>13</v>
      </c>
      <c r="G28" s="10" t="s">
        <v>9</v>
      </c>
      <c r="H28" s="10" t="s">
        <v>1308</v>
      </c>
      <c r="I28" s="10" t="s">
        <v>41</v>
      </c>
      <c r="J28" s="10" t="s">
        <v>41</v>
      </c>
      <c r="K28" s="694" t="s">
        <v>45</v>
      </c>
      <c r="L28" s="694" t="s">
        <v>63</v>
      </c>
      <c r="M28" s="10" t="s">
        <v>1205</v>
      </c>
      <c r="N28" s="10">
        <v>512</v>
      </c>
      <c r="O28" s="10">
        <v>284</v>
      </c>
      <c r="P28" s="10">
        <v>228</v>
      </c>
      <c r="Q28" s="10">
        <v>93</v>
      </c>
      <c r="R28" s="10">
        <v>52</v>
      </c>
      <c r="S28" s="10">
        <v>149</v>
      </c>
      <c r="T28" s="10">
        <v>80</v>
      </c>
      <c r="U28" s="10">
        <v>103</v>
      </c>
      <c r="V28" s="10">
        <v>58</v>
      </c>
      <c r="W28" s="10">
        <v>68</v>
      </c>
      <c r="X28" s="10">
        <v>40</v>
      </c>
      <c r="Y28" s="10">
        <v>74</v>
      </c>
      <c r="Z28" s="10">
        <v>38</v>
      </c>
      <c r="AA28" s="10">
        <v>25</v>
      </c>
      <c r="AB28" s="10">
        <v>16</v>
      </c>
      <c r="AC28" s="20">
        <f t="shared" si="0"/>
        <v>41</v>
      </c>
      <c r="AD28" s="20">
        <f t="shared" si="1"/>
        <v>69</v>
      </c>
      <c r="AE28" s="20">
        <f t="shared" si="2"/>
        <v>45</v>
      </c>
      <c r="AF28" s="20">
        <f t="shared" si="3"/>
        <v>28</v>
      </c>
      <c r="AG28" s="20">
        <f t="shared" si="4"/>
        <v>36</v>
      </c>
      <c r="AH28" s="20">
        <f t="shared" si="5"/>
        <v>9</v>
      </c>
    </row>
    <row r="29" spans="1:34">
      <c r="A29" s="10" t="s">
        <v>944</v>
      </c>
      <c r="B29" s="10" t="s">
        <v>1076</v>
      </c>
      <c r="C29" s="10" t="s">
        <v>51</v>
      </c>
      <c r="D29" s="10" t="s">
        <v>11</v>
      </c>
      <c r="E29" s="10" t="s">
        <v>42</v>
      </c>
      <c r="F29" s="10" t="s">
        <v>13</v>
      </c>
      <c r="G29" s="10" t="s">
        <v>18</v>
      </c>
      <c r="H29" s="10" t="s">
        <v>107</v>
      </c>
      <c r="I29" s="10" t="s">
        <v>41</v>
      </c>
      <c r="J29" s="10" t="s">
        <v>42</v>
      </c>
      <c r="K29" s="694" t="s">
        <v>45</v>
      </c>
      <c r="L29" s="694" t="s">
        <v>63</v>
      </c>
      <c r="M29" s="10" t="s">
        <v>1206</v>
      </c>
      <c r="N29" s="10">
        <v>263</v>
      </c>
      <c r="O29" s="10">
        <v>170</v>
      </c>
      <c r="P29" s="10">
        <v>93</v>
      </c>
      <c r="Q29" s="10">
        <v>46</v>
      </c>
      <c r="R29" s="10">
        <v>30</v>
      </c>
      <c r="S29" s="10">
        <v>41</v>
      </c>
      <c r="T29" s="10">
        <v>31</v>
      </c>
      <c r="U29" s="10">
        <v>38</v>
      </c>
      <c r="V29" s="10">
        <v>24</v>
      </c>
      <c r="W29" s="10">
        <v>46</v>
      </c>
      <c r="X29" s="10">
        <v>33</v>
      </c>
      <c r="Y29" s="10">
        <v>51</v>
      </c>
      <c r="Z29" s="10">
        <v>32</v>
      </c>
      <c r="AA29" s="10">
        <v>41</v>
      </c>
      <c r="AB29" s="10">
        <v>20</v>
      </c>
      <c r="AC29" s="20">
        <f t="shared" si="0"/>
        <v>16</v>
      </c>
      <c r="AD29" s="20">
        <f t="shared" si="1"/>
        <v>10</v>
      </c>
      <c r="AE29" s="20">
        <f t="shared" si="2"/>
        <v>14</v>
      </c>
      <c r="AF29" s="20">
        <f t="shared" si="3"/>
        <v>13</v>
      </c>
      <c r="AG29" s="20">
        <f t="shared" si="4"/>
        <v>19</v>
      </c>
      <c r="AH29" s="20">
        <f t="shared" si="5"/>
        <v>21</v>
      </c>
    </row>
    <row r="30" spans="1:34">
      <c r="A30" s="10" t="s">
        <v>945</v>
      </c>
      <c r="B30" s="10" t="s">
        <v>1077</v>
      </c>
      <c r="C30" s="10" t="s">
        <v>6</v>
      </c>
      <c r="D30" s="10" t="s">
        <v>6</v>
      </c>
      <c r="E30" s="10" t="s">
        <v>42</v>
      </c>
      <c r="F30" s="10" t="s">
        <v>17</v>
      </c>
      <c r="G30" s="10" t="s">
        <v>3</v>
      </c>
      <c r="H30" s="10" t="s">
        <v>1309</v>
      </c>
      <c r="I30" s="10" t="s">
        <v>41</v>
      </c>
      <c r="J30" s="10" t="s">
        <v>42</v>
      </c>
      <c r="K30" s="694" t="s">
        <v>45</v>
      </c>
      <c r="L30" s="694" t="s">
        <v>63</v>
      </c>
      <c r="M30" s="10" t="s">
        <v>1207</v>
      </c>
      <c r="N30" s="10">
        <v>305</v>
      </c>
      <c r="O30" s="10">
        <v>182</v>
      </c>
      <c r="P30" s="10">
        <v>123</v>
      </c>
      <c r="Q30" s="10">
        <v>43</v>
      </c>
      <c r="R30" s="10">
        <v>26</v>
      </c>
      <c r="S30" s="10">
        <v>59</v>
      </c>
      <c r="T30" s="10">
        <v>38</v>
      </c>
      <c r="U30" s="10">
        <v>41</v>
      </c>
      <c r="V30" s="10">
        <v>27</v>
      </c>
      <c r="W30" s="10">
        <v>80</v>
      </c>
      <c r="X30" s="10">
        <v>40</v>
      </c>
      <c r="Y30" s="10">
        <v>31</v>
      </c>
      <c r="Z30" s="10">
        <v>20</v>
      </c>
      <c r="AA30" s="10">
        <v>51</v>
      </c>
      <c r="AB30" s="10">
        <v>31</v>
      </c>
      <c r="AC30" s="20">
        <f t="shared" si="0"/>
        <v>17</v>
      </c>
      <c r="AD30" s="20">
        <f t="shared" si="1"/>
        <v>21</v>
      </c>
      <c r="AE30" s="20">
        <f t="shared" si="2"/>
        <v>14</v>
      </c>
      <c r="AF30" s="20">
        <f t="shared" si="3"/>
        <v>40</v>
      </c>
      <c r="AG30" s="20">
        <f t="shared" si="4"/>
        <v>11</v>
      </c>
      <c r="AH30" s="20">
        <f t="shared" si="5"/>
        <v>20</v>
      </c>
    </row>
    <row r="31" spans="1:34">
      <c r="A31" s="10" t="s">
        <v>946</v>
      </c>
      <c r="B31" s="10" t="s">
        <v>1078</v>
      </c>
      <c r="C31" s="10" t="s">
        <v>105</v>
      </c>
      <c r="D31" s="10" t="s">
        <v>3</v>
      </c>
      <c r="E31" s="10" t="s">
        <v>42</v>
      </c>
      <c r="F31" s="10" t="s">
        <v>18</v>
      </c>
      <c r="G31" s="10" t="s">
        <v>3</v>
      </c>
      <c r="H31" s="10" t="s">
        <v>60</v>
      </c>
      <c r="I31" s="10" t="s">
        <v>41</v>
      </c>
      <c r="J31" s="10" t="s">
        <v>42</v>
      </c>
      <c r="K31" s="694" t="s">
        <v>45</v>
      </c>
      <c r="L31" s="694" t="s">
        <v>63</v>
      </c>
      <c r="M31" s="10" t="s">
        <v>1208</v>
      </c>
      <c r="N31" s="10">
        <v>535</v>
      </c>
      <c r="O31" s="10">
        <v>300</v>
      </c>
      <c r="P31" s="10">
        <v>235</v>
      </c>
      <c r="Q31" s="10">
        <v>133</v>
      </c>
      <c r="R31" s="10">
        <v>75</v>
      </c>
      <c r="S31" s="10">
        <v>119</v>
      </c>
      <c r="T31" s="10">
        <v>60</v>
      </c>
      <c r="U31" s="10">
        <v>89</v>
      </c>
      <c r="V31" s="10">
        <v>48</v>
      </c>
      <c r="W31" s="10">
        <v>98</v>
      </c>
      <c r="X31" s="10">
        <v>57</v>
      </c>
      <c r="Y31" s="10">
        <v>75</v>
      </c>
      <c r="Z31" s="10">
        <v>49</v>
      </c>
      <c r="AA31" s="10">
        <v>21</v>
      </c>
      <c r="AB31" s="10">
        <v>11</v>
      </c>
      <c r="AC31" s="20">
        <f t="shared" si="0"/>
        <v>58</v>
      </c>
      <c r="AD31" s="20">
        <f t="shared" si="1"/>
        <v>59</v>
      </c>
      <c r="AE31" s="20">
        <f t="shared" si="2"/>
        <v>41</v>
      </c>
      <c r="AF31" s="20">
        <f t="shared" si="3"/>
        <v>41</v>
      </c>
      <c r="AG31" s="20">
        <f t="shared" si="4"/>
        <v>26</v>
      </c>
      <c r="AH31" s="20">
        <f t="shared" si="5"/>
        <v>10</v>
      </c>
    </row>
    <row r="32" spans="1:34">
      <c r="A32" s="10" t="s">
        <v>947</v>
      </c>
      <c r="B32" s="10" t="s">
        <v>1079</v>
      </c>
      <c r="C32" s="10" t="s">
        <v>51</v>
      </c>
      <c r="D32" s="10" t="s">
        <v>12</v>
      </c>
      <c r="E32" s="10" t="s">
        <v>42</v>
      </c>
      <c r="F32" s="10" t="s">
        <v>66</v>
      </c>
      <c r="G32" s="10" t="s">
        <v>3</v>
      </c>
      <c r="H32" s="10" t="s">
        <v>67</v>
      </c>
      <c r="I32" s="10" t="s">
        <v>41</v>
      </c>
      <c r="J32" s="10" t="s">
        <v>42</v>
      </c>
      <c r="K32" s="694" t="s">
        <v>45</v>
      </c>
      <c r="L32" s="694" t="s">
        <v>63</v>
      </c>
      <c r="M32" s="10" t="s">
        <v>1209</v>
      </c>
      <c r="N32" s="10">
        <v>200</v>
      </c>
      <c r="O32" s="10">
        <v>106</v>
      </c>
      <c r="P32" s="10">
        <v>94</v>
      </c>
      <c r="Q32" s="10">
        <v>34</v>
      </c>
      <c r="R32" s="10">
        <v>22</v>
      </c>
      <c r="S32" s="10">
        <v>27</v>
      </c>
      <c r="T32" s="10">
        <v>12</v>
      </c>
      <c r="U32" s="10">
        <v>43</v>
      </c>
      <c r="V32" s="10">
        <v>26</v>
      </c>
      <c r="W32" s="10">
        <v>44</v>
      </c>
      <c r="X32" s="10">
        <v>20</v>
      </c>
      <c r="Y32" s="10">
        <v>10</v>
      </c>
      <c r="Z32" s="10">
        <v>7</v>
      </c>
      <c r="AA32" s="10">
        <v>42</v>
      </c>
      <c r="AB32" s="10">
        <v>19</v>
      </c>
      <c r="AC32" s="20">
        <f t="shared" si="0"/>
        <v>12</v>
      </c>
      <c r="AD32" s="20">
        <f t="shared" si="1"/>
        <v>15</v>
      </c>
      <c r="AE32" s="20">
        <f t="shared" si="2"/>
        <v>17</v>
      </c>
      <c r="AF32" s="20">
        <f t="shared" si="3"/>
        <v>24</v>
      </c>
      <c r="AG32" s="20">
        <f t="shared" si="4"/>
        <v>3</v>
      </c>
      <c r="AH32" s="20">
        <f t="shared" si="5"/>
        <v>23</v>
      </c>
    </row>
    <row r="33" spans="1:34">
      <c r="A33" s="10" t="s">
        <v>948</v>
      </c>
      <c r="B33" s="10" t="s">
        <v>1080</v>
      </c>
      <c r="C33" s="10" t="s">
        <v>105</v>
      </c>
      <c r="D33" s="10" t="s">
        <v>7</v>
      </c>
      <c r="E33" s="10" t="s">
        <v>42</v>
      </c>
      <c r="F33" s="10" t="s">
        <v>61</v>
      </c>
      <c r="G33" s="10" t="s">
        <v>3</v>
      </c>
      <c r="H33" s="10" t="s">
        <v>58</v>
      </c>
      <c r="I33" s="10" t="s">
        <v>41</v>
      </c>
      <c r="J33" s="10" t="s">
        <v>42</v>
      </c>
      <c r="K33" s="694" t="s">
        <v>41</v>
      </c>
      <c r="L33" s="694" t="s">
        <v>63</v>
      </c>
      <c r="M33" s="10" t="s">
        <v>1210</v>
      </c>
      <c r="N33" s="10">
        <v>142</v>
      </c>
      <c r="O33" s="10">
        <v>89</v>
      </c>
      <c r="P33" s="10">
        <v>53</v>
      </c>
      <c r="Q33" s="10">
        <v>22</v>
      </c>
      <c r="R33" s="10">
        <v>13</v>
      </c>
      <c r="S33" s="10">
        <v>31</v>
      </c>
      <c r="T33" s="10">
        <v>20</v>
      </c>
      <c r="U33" s="10">
        <v>25</v>
      </c>
      <c r="V33" s="10">
        <v>20</v>
      </c>
      <c r="W33" s="10">
        <v>24</v>
      </c>
      <c r="X33" s="10">
        <v>14</v>
      </c>
      <c r="Y33" s="10">
        <v>20</v>
      </c>
      <c r="Z33" s="10">
        <v>6</v>
      </c>
      <c r="AA33" s="10">
        <v>20</v>
      </c>
      <c r="AB33" s="10">
        <v>16</v>
      </c>
      <c r="AC33" s="20">
        <f t="shared" si="0"/>
        <v>9</v>
      </c>
      <c r="AD33" s="20">
        <f t="shared" si="1"/>
        <v>11</v>
      </c>
      <c r="AE33" s="20">
        <f t="shared" si="2"/>
        <v>5</v>
      </c>
      <c r="AF33" s="20">
        <f t="shared" si="3"/>
        <v>10</v>
      </c>
      <c r="AG33" s="20">
        <f t="shared" si="4"/>
        <v>14</v>
      </c>
      <c r="AH33" s="20">
        <f t="shared" si="5"/>
        <v>4</v>
      </c>
    </row>
    <row r="34" spans="1:34">
      <c r="A34" s="10" t="s">
        <v>949</v>
      </c>
      <c r="B34" s="10" t="s">
        <v>1081</v>
      </c>
      <c r="C34" s="10" t="s">
        <v>7</v>
      </c>
      <c r="D34" s="10" t="s">
        <v>4</v>
      </c>
      <c r="E34" s="10" t="s">
        <v>45</v>
      </c>
      <c r="F34" s="10" t="s">
        <v>3</v>
      </c>
      <c r="G34" s="10" t="s">
        <v>6</v>
      </c>
      <c r="H34" s="10" t="s">
        <v>1310</v>
      </c>
      <c r="I34" s="10" t="s">
        <v>45</v>
      </c>
      <c r="J34" s="10" t="s">
        <v>41</v>
      </c>
      <c r="K34" s="694" t="s">
        <v>2542</v>
      </c>
      <c r="L34" s="694" t="s">
        <v>63</v>
      </c>
      <c r="M34" s="10" t="s">
        <v>1211</v>
      </c>
      <c r="N34" s="10">
        <v>303</v>
      </c>
      <c r="O34" s="10">
        <v>159</v>
      </c>
      <c r="P34" s="10">
        <v>144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157</v>
      </c>
      <c r="X34" s="10">
        <v>79</v>
      </c>
      <c r="Y34" s="10">
        <v>133</v>
      </c>
      <c r="Z34" s="10">
        <v>69</v>
      </c>
      <c r="AA34" s="10">
        <v>13</v>
      </c>
      <c r="AB34" s="10">
        <v>11</v>
      </c>
      <c r="AC34" s="20">
        <f t="shared" si="0"/>
        <v>0</v>
      </c>
      <c r="AD34" s="20">
        <f t="shared" si="1"/>
        <v>0</v>
      </c>
      <c r="AE34" s="20">
        <f t="shared" si="2"/>
        <v>0</v>
      </c>
      <c r="AF34" s="20">
        <f t="shared" si="3"/>
        <v>78</v>
      </c>
      <c r="AG34" s="20">
        <f t="shared" si="4"/>
        <v>64</v>
      </c>
      <c r="AH34" s="20">
        <f t="shared" si="5"/>
        <v>2</v>
      </c>
    </row>
    <row r="35" spans="1:34">
      <c r="A35" s="10" t="s">
        <v>950</v>
      </c>
      <c r="B35" s="10" t="s">
        <v>1082</v>
      </c>
      <c r="C35" s="10" t="s">
        <v>141</v>
      </c>
      <c r="D35" s="10" t="s">
        <v>6</v>
      </c>
      <c r="E35" s="10" t="s">
        <v>45</v>
      </c>
      <c r="F35" s="10" t="s">
        <v>3</v>
      </c>
      <c r="G35" s="10" t="s">
        <v>9</v>
      </c>
      <c r="H35" s="10" t="s">
        <v>1311</v>
      </c>
      <c r="I35" s="10" t="s">
        <v>41</v>
      </c>
      <c r="J35" s="10" t="s">
        <v>42</v>
      </c>
      <c r="K35" s="694" t="s">
        <v>41</v>
      </c>
      <c r="L35" s="694" t="s">
        <v>63</v>
      </c>
      <c r="M35" s="10" t="s">
        <v>1212</v>
      </c>
      <c r="N35" s="10">
        <v>112</v>
      </c>
      <c r="O35" s="10">
        <v>81</v>
      </c>
      <c r="P35" s="10">
        <v>31</v>
      </c>
      <c r="Q35" s="10">
        <v>16</v>
      </c>
      <c r="R35" s="10">
        <v>10</v>
      </c>
      <c r="S35" s="10">
        <v>22</v>
      </c>
      <c r="T35" s="10">
        <v>12</v>
      </c>
      <c r="U35" s="10">
        <v>14</v>
      </c>
      <c r="V35" s="10">
        <v>12</v>
      </c>
      <c r="W35" s="10">
        <v>25</v>
      </c>
      <c r="X35" s="10">
        <v>23</v>
      </c>
      <c r="Y35" s="10">
        <v>25</v>
      </c>
      <c r="Z35" s="10">
        <v>17</v>
      </c>
      <c r="AA35" s="10">
        <v>10</v>
      </c>
      <c r="AB35" s="10">
        <v>7</v>
      </c>
      <c r="AC35" s="20">
        <f t="shared" ref="AC35:AC66" si="6">+Q35-R35</f>
        <v>6</v>
      </c>
      <c r="AD35" s="20">
        <f t="shared" ref="AD35:AD66" si="7">+S35-T35</f>
        <v>10</v>
      </c>
      <c r="AE35" s="20">
        <f t="shared" ref="AE35:AE66" si="8">+U35-V35</f>
        <v>2</v>
      </c>
      <c r="AF35" s="20">
        <f t="shared" ref="AF35:AF66" si="9">+W35-X35</f>
        <v>2</v>
      </c>
      <c r="AG35" s="20">
        <f t="shared" ref="AG35:AG66" si="10">+Y35-Z35</f>
        <v>8</v>
      </c>
      <c r="AH35" s="20">
        <f t="shared" ref="AH35:AH66" si="11">+AA35-AB35</f>
        <v>3</v>
      </c>
    </row>
    <row r="36" spans="1:34">
      <c r="A36" s="10" t="s">
        <v>951</v>
      </c>
      <c r="B36" s="10" t="s">
        <v>1083</v>
      </c>
      <c r="C36" s="10" t="s">
        <v>7</v>
      </c>
      <c r="D36" s="10" t="s">
        <v>8</v>
      </c>
      <c r="E36" s="10" t="s">
        <v>45</v>
      </c>
      <c r="F36" s="10" t="s">
        <v>5</v>
      </c>
      <c r="G36" s="10" t="s">
        <v>4</v>
      </c>
      <c r="H36" s="10" t="s">
        <v>134</v>
      </c>
      <c r="I36" s="10" t="s">
        <v>41</v>
      </c>
      <c r="J36" s="10" t="s">
        <v>41</v>
      </c>
      <c r="K36" s="694" t="s">
        <v>45</v>
      </c>
      <c r="L36" s="694" t="s">
        <v>63</v>
      </c>
      <c r="M36" s="10" t="s">
        <v>1213</v>
      </c>
      <c r="N36" s="10">
        <v>337</v>
      </c>
      <c r="O36" s="10">
        <v>167</v>
      </c>
      <c r="P36" s="10">
        <v>170</v>
      </c>
      <c r="Q36" s="10">
        <v>101</v>
      </c>
      <c r="R36" s="10">
        <v>44</v>
      </c>
      <c r="S36" s="10">
        <v>51</v>
      </c>
      <c r="T36" s="10">
        <v>25</v>
      </c>
      <c r="U36" s="10">
        <v>21</v>
      </c>
      <c r="V36" s="10">
        <v>12</v>
      </c>
      <c r="W36" s="10">
        <v>78</v>
      </c>
      <c r="X36" s="10">
        <v>39</v>
      </c>
      <c r="Y36" s="10">
        <v>50</v>
      </c>
      <c r="Z36" s="10">
        <v>32</v>
      </c>
      <c r="AA36" s="10">
        <v>36</v>
      </c>
      <c r="AB36" s="10">
        <v>15</v>
      </c>
      <c r="AC36" s="20">
        <f t="shared" si="6"/>
        <v>57</v>
      </c>
      <c r="AD36" s="20">
        <f t="shared" si="7"/>
        <v>26</v>
      </c>
      <c r="AE36" s="20">
        <f t="shared" si="8"/>
        <v>9</v>
      </c>
      <c r="AF36" s="20">
        <f t="shared" si="9"/>
        <v>39</v>
      </c>
      <c r="AG36" s="20">
        <f t="shared" si="10"/>
        <v>18</v>
      </c>
      <c r="AH36" s="20">
        <f t="shared" si="11"/>
        <v>21</v>
      </c>
    </row>
    <row r="37" spans="1:34">
      <c r="A37" s="10" t="s">
        <v>952</v>
      </c>
      <c r="B37" s="10" t="s">
        <v>1084</v>
      </c>
      <c r="C37" s="10" t="s">
        <v>8</v>
      </c>
      <c r="D37" s="10" t="s">
        <v>5</v>
      </c>
      <c r="E37" s="10" t="s">
        <v>45</v>
      </c>
      <c r="F37" s="10" t="s">
        <v>7</v>
      </c>
      <c r="G37" s="10" t="s">
        <v>4</v>
      </c>
      <c r="H37" s="10" t="s">
        <v>113</v>
      </c>
      <c r="I37" s="10" t="s">
        <v>41</v>
      </c>
      <c r="J37" s="10" t="s">
        <v>41</v>
      </c>
      <c r="K37" s="694" t="s">
        <v>45</v>
      </c>
      <c r="L37" s="694" t="s">
        <v>63</v>
      </c>
      <c r="M37" s="10" t="s">
        <v>1214</v>
      </c>
      <c r="N37" s="10">
        <v>147</v>
      </c>
      <c r="O37" s="10">
        <v>102</v>
      </c>
      <c r="P37" s="10">
        <v>45</v>
      </c>
      <c r="Q37" s="10">
        <v>18</v>
      </c>
      <c r="R37" s="10">
        <v>15</v>
      </c>
      <c r="S37" s="10">
        <v>22</v>
      </c>
      <c r="T37" s="10">
        <v>17</v>
      </c>
      <c r="U37" s="10">
        <v>15</v>
      </c>
      <c r="V37" s="10">
        <v>10</v>
      </c>
      <c r="W37" s="10">
        <v>26</v>
      </c>
      <c r="X37" s="10">
        <v>21</v>
      </c>
      <c r="Y37" s="10">
        <v>27</v>
      </c>
      <c r="Z37" s="10">
        <v>19</v>
      </c>
      <c r="AA37" s="10">
        <v>39</v>
      </c>
      <c r="AB37" s="10">
        <v>20</v>
      </c>
      <c r="AC37" s="20">
        <f t="shared" si="6"/>
        <v>3</v>
      </c>
      <c r="AD37" s="20">
        <f t="shared" si="7"/>
        <v>5</v>
      </c>
      <c r="AE37" s="20">
        <f t="shared" si="8"/>
        <v>5</v>
      </c>
      <c r="AF37" s="20">
        <f t="shared" si="9"/>
        <v>5</v>
      </c>
      <c r="AG37" s="20">
        <f t="shared" si="10"/>
        <v>8</v>
      </c>
      <c r="AH37" s="20">
        <f t="shared" si="11"/>
        <v>19</v>
      </c>
    </row>
    <row r="38" spans="1:34">
      <c r="A38" s="10" t="s">
        <v>953</v>
      </c>
      <c r="B38" s="10" t="s">
        <v>1085</v>
      </c>
      <c r="C38" s="10" t="s">
        <v>7</v>
      </c>
      <c r="D38" s="10" t="s">
        <v>6</v>
      </c>
      <c r="E38" s="10" t="s">
        <v>45</v>
      </c>
      <c r="F38" s="10" t="s">
        <v>8</v>
      </c>
      <c r="G38" s="10" t="s">
        <v>3</v>
      </c>
      <c r="H38" s="10" t="s">
        <v>146</v>
      </c>
      <c r="I38" s="10" t="s">
        <v>41</v>
      </c>
      <c r="J38" s="10" t="s">
        <v>41</v>
      </c>
      <c r="K38" s="694" t="s">
        <v>45</v>
      </c>
      <c r="L38" s="694" t="s">
        <v>63</v>
      </c>
      <c r="M38" s="10" t="s">
        <v>1215</v>
      </c>
      <c r="N38" s="10">
        <v>337</v>
      </c>
      <c r="O38" s="10">
        <v>184</v>
      </c>
      <c r="P38" s="10">
        <v>153</v>
      </c>
      <c r="Q38" s="10">
        <v>59</v>
      </c>
      <c r="R38" s="10">
        <v>38</v>
      </c>
      <c r="S38" s="10">
        <v>47</v>
      </c>
      <c r="T38" s="10">
        <v>18</v>
      </c>
      <c r="U38" s="10">
        <v>64</v>
      </c>
      <c r="V38" s="10">
        <v>34</v>
      </c>
      <c r="W38" s="10">
        <v>102</v>
      </c>
      <c r="X38" s="10">
        <v>59</v>
      </c>
      <c r="Y38" s="10">
        <v>56</v>
      </c>
      <c r="Z38" s="10">
        <v>29</v>
      </c>
      <c r="AA38" s="10">
        <v>9</v>
      </c>
      <c r="AB38" s="10">
        <v>6</v>
      </c>
      <c r="AC38" s="20">
        <f t="shared" si="6"/>
        <v>21</v>
      </c>
      <c r="AD38" s="20">
        <f t="shared" si="7"/>
        <v>29</v>
      </c>
      <c r="AE38" s="20">
        <f t="shared" si="8"/>
        <v>30</v>
      </c>
      <c r="AF38" s="20">
        <f t="shared" si="9"/>
        <v>43</v>
      </c>
      <c r="AG38" s="20">
        <f t="shared" si="10"/>
        <v>27</v>
      </c>
      <c r="AH38" s="20">
        <f t="shared" si="11"/>
        <v>3</v>
      </c>
    </row>
    <row r="39" spans="1:34">
      <c r="A39" s="10" t="s">
        <v>954</v>
      </c>
      <c r="B39" s="10" t="s">
        <v>1086</v>
      </c>
      <c r="C39" s="10" t="s">
        <v>9</v>
      </c>
      <c r="D39" s="10" t="s">
        <v>3</v>
      </c>
      <c r="E39" s="10" t="s">
        <v>63</v>
      </c>
      <c r="F39" s="10" t="s">
        <v>3</v>
      </c>
      <c r="G39" s="10" t="s">
        <v>3</v>
      </c>
      <c r="H39" s="10" t="s">
        <v>2543</v>
      </c>
      <c r="I39" s="10" t="s">
        <v>41</v>
      </c>
      <c r="J39" s="10" t="s">
        <v>41</v>
      </c>
      <c r="K39" s="694" t="s">
        <v>45</v>
      </c>
      <c r="L39" s="694" t="s">
        <v>63</v>
      </c>
      <c r="M39" s="10" t="s">
        <v>1216</v>
      </c>
      <c r="N39" s="10">
        <v>22</v>
      </c>
      <c r="O39" s="10">
        <v>13</v>
      </c>
      <c r="P39" s="10">
        <v>9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10</v>
      </c>
      <c r="X39" s="10">
        <v>5</v>
      </c>
      <c r="Y39" s="10">
        <v>11</v>
      </c>
      <c r="Z39" s="10">
        <v>8</v>
      </c>
      <c r="AA39" s="10">
        <v>1</v>
      </c>
      <c r="AB39" s="10">
        <v>0</v>
      </c>
      <c r="AC39" s="20">
        <f t="shared" si="6"/>
        <v>0</v>
      </c>
      <c r="AD39" s="20">
        <f t="shared" si="7"/>
        <v>0</v>
      </c>
      <c r="AE39" s="20">
        <f t="shared" si="8"/>
        <v>0</v>
      </c>
      <c r="AF39" s="20">
        <f t="shared" si="9"/>
        <v>5</v>
      </c>
      <c r="AG39" s="20">
        <f t="shared" si="10"/>
        <v>3</v>
      </c>
      <c r="AH39" s="20">
        <f t="shared" si="11"/>
        <v>1</v>
      </c>
    </row>
    <row r="40" spans="1:34">
      <c r="A40" s="10" t="s">
        <v>955</v>
      </c>
      <c r="B40" s="10" t="s">
        <v>1087</v>
      </c>
      <c r="C40" s="10" t="s">
        <v>9</v>
      </c>
      <c r="D40" s="10" t="s">
        <v>9</v>
      </c>
      <c r="E40" s="10" t="s">
        <v>63</v>
      </c>
      <c r="F40" s="10" t="s">
        <v>3</v>
      </c>
      <c r="G40" s="10" t="s">
        <v>6</v>
      </c>
      <c r="H40" s="10" t="s">
        <v>149</v>
      </c>
      <c r="I40" s="10" t="s">
        <v>41</v>
      </c>
      <c r="J40" s="10" t="s">
        <v>41</v>
      </c>
      <c r="K40" s="694" t="s">
        <v>45</v>
      </c>
      <c r="L40" s="694" t="s">
        <v>63</v>
      </c>
      <c r="M40" s="10" t="s">
        <v>1217</v>
      </c>
      <c r="N40" s="10">
        <v>37</v>
      </c>
      <c r="O40" s="10">
        <v>17</v>
      </c>
      <c r="P40" s="10">
        <v>20</v>
      </c>
      <c r="Q40" s="10">
        <v>3</v>
      </c>
      <c r="R40" s="10">
        <v>2</v>
      </c>
      <c r="S40" s="10">
        <v>0</v>
      </c>
      <c r="T40" s="10">
        <v>0</v>
      </c>
      <c r="U40" s="10">
        <v>1</v>
      </c>
      <c r="V40" s="10">
        <v>1</v>
      </c>
      <c r="W40" s="10">
        <v>16</v>
      </c>
      <c r="X40" s="10">
        <v>6</v>
      </c>
      <c r="Y40" s="10">
        <v>12</v>
      </c>
      <c r="Z40" s="10">
        <v>5</v>
      </c>
      <c r="AA40" s="10">
        <v>5</v>
      </c>
      <c r="AB40" s="10">
        <v>3</v>
      </c>
      <c r="AC40" s="20">
        <f t="shared" si="6"/>
        <v>1</v>
      </c>
      <c r="AD40" s="20">
        <f t="shared" si="7"/>
        <v>0</v>
      </c>
      <c r="AE40" s="20">
        <f t="shared" si="8"/>
        <v>0</v>
      </c>
      <c r="AF40" s="20">
        <f t="shared" si="9"/>
        <v>10</v>
      </c>
      <c r="AG40" s="20">
        <f t="shared" si="10"/>
        <v>7</v>
      </c>
      <c r="AH40" s="20">
        <f t="shared" si="11"/>
        <v>2</v>
      </c>
    </row>
    <row r="41" spans="1:34">
      <c r="A41" s="10" t="s">
        <v>956</v>
      </c>
      <c r="B41" s="10" t="s">
        <v>1088</v>
      </c>
      <c r="C41" s="10" t="s">
        <v>175</v>
      </c>
      <c r="D41" s="10" t="s">
        <v>5</v>
      </c>
      <c r="E41" s="10" t="s">
        <v>63</v>
      </c>
      <c r="F41" s="10" t="s">
        <v>13</v>
      </c>
      <c r="G41" s="10" t="s">
        <v>3</v>
      </c>
      <c r="H41" s="10" t="s">
        <v>140</v>
      </c>
      <c r="I41" s="10" t="s">
        <v>41</v>
      </c>
      <c r="J41" s="10" t="s">
        <v>42</v>
      </c>
      <c r="K41" s="694" t="s">
        <v>45</v>
      </c>
      <c r="L41" s="694" t="s">
        <v>63</v>
      </c>
      <c r="M41" s="10" t="s">
        <v>1218</v>
      </c>
      <c r="N41" s="10">
        <v>145</v>
      </c>
      <c r="O41" s="10">
        <v>78</v>
      </c>
      <c r="P41" s="10">
        <v>67</v>
      </c>
      <c r="Q41" s="10">
        <v>18</v>
      </c>
      <c r="R41" s="10">
        <v>10</v>
      </c>
      <c r="S41" s="10">
        <v>31</v>
      </c>
      <c r="T41" s="10">
        <v>15</v>
      </c>
      <c r="U41" s="10">
        <v>48</v>
      </c>
      <c r="V41" s="10">
        <v>22</v>
      </c>
      <c r="W41" s="10">
        <v>19</v>
      </c>
      <c r="X41" s="10">
        <v>12</v>
      </c>
      <c r="Y41" s="10">
        <v>15</v>
      </c>
      <c r="Z41" s="10">
        <v>11</v>
      </c>
      <c r="AA41" s="10">
        <v>14</v>
      </c>
      <c r="AB41" s="10">
        <v>8</v>
      </c>
      <c r="AC41" s="20">
        <f t="shared" si="6"/>
        <v>8</v>
      </c>
      <c r="AD41" s="20">
        <f t="shared" si="7"/>
        <v>16</v>
      </c>
      <c r="AE41" s="20">
        <f t="shared" si="8"/>
        <v>26</v>
      </c>
      <c r="AF41" s="20">
        <f t="shared" si="9"/>
        <v>7</v>
      </c>
      <c r="AG41" s="20">
        <f t="shared" si="10"/>
        <v>4</v>
      </c>
      <c r="AH41" s="20">
        <f t="shared" si="11"/>
        <v>6</v>
      </c>
    </row>
    <row r="42" spans="1:34">
      <c r="A42" s="10" t="s">
        <v>957</v>
      </c>
      <c r="B42" s="10" t="s">
        <v>1089</v>
      </c>
      <c r="C42" s="10" t="s">
        <v>11</v>
      </c>
      <c r="D42" s="10" t="s">
        <v>4</v>
      </c>
      <c r="E42" s="10" t="s">
        <v>69</v>
      </c>
      <c r="F42" s="10" t="s">
        <v>3</v>
      </c>
      <c r="G42" s="10" t="s">
        <v>3</v>
      </c>
      <c r="H42" s="10" t="s">
        <v>2544</v>
      </c>
      <c r="I42" s="10" t="s">
        <v>41</v>
      </c>
      <c r="J42" s="10" t="s">
        <v>41</v>
      </c>
      <c r="K42" s="694" t="s">
        <v>45</v>
      </c>
      <c r="L42" s="694" t="s">
        <v>63</v>
      </c>
      <c r="M42" s="10" t="s">
        <v>1219</v>
      </c>
      <c r="N42" s="10">
        <v>517</v>
      </c>
      <c r="O42" s="10">
        <v>278</v>
      </c>
      <c r="P42" s="10">
        <v>239</v>
      </c>
      <c r="Q42" s="10">
        <v>120</v>
      </c>
      <c r="R42" s="10">
        <v>73</v>
      </c>
      <c r="S42" s="10">
        <v>80</v>
      </c>
      <c r="T42" s="10">
        <v>44</v>
      </c>
      <c r="U42" s="10">
        <v>54</v>
      </c>
      <c r="V42" s="10">
        <v>22</v>
      </c>
      <c r="W42" s="10">
        <v>166</v>
      </c>
      <c r="X42" s="10">
        <v>85</v>
      </c>
      <c r="Y42" s="10">
        <v>93</v>
      </c>
      <c r="Z42" s="10">
        <v>51</v>
      </c>
      <c r="AA42" s="10">
        <v>4</v>
      </c>
      <c r="AB42" s="10">
        <v>3</v>
      </c>
      <c r="AC42" s="20">
        <f t="shared" si="6"/>
        <v>47</v>
      </c>
      <c r="AD42" s="20">
        <f t="shared" si="7"/>
        <v>36</v>
      </c>
      <c r="AE42" s="20">
        <f t="shared" si="8"/>
        <v>32</v>
      </c>
      <c r="AF42" s="20">
        <f t="shared" si="9"/>
        <v>81</v>
      </c>
      <c r="AG42" s="20">
        <f t="shared" si="10"/>
        <v>42</v>
      </c>
      <c r="AH42" s="20">
        <f t="shared" si="11"/>
        <v>1</v>
      </c>
    </row>
    <row r="43" spans="1:34">
      <c r="A43" s="10" t="s">
        <v>958</v>
      </c>
      <c r="B43" s="10" t="s">
        <v>1090</v>
      </c>
      <c r="C43" s="10" t="s">
        <v>12</v>
      </c>
      <c r="D43" s="10" t="s">
        <v>3</v>
      </c>
      <c r="E43" s="10" t="s">
        <v>69</v>
      </c>
      <c r="F43" s="10" t="s">
        <v>4</v>
      </c>
      <c r="G43" s="10" t="s">
        <v>3</v>
      </c>
      <c r="H43" s="10" t="s">
        <v>1312</v>
      </c>
      <c r="I43" s="10" t="s">
        <v>41</v>
      </c>
      <c r="J43" s="10" t="s">
        <v>41</v>
      </c>
      <c r="K43" s="694" t="s">
        <v>42</v>
      </c>
      <c r="L43" s="694" t="s">
        <v>63</v>
      </c>
      <c r="M43" s="10" t="s">
        <v>1220</v>
      </c>
      <c r="N43" s="10">
        <v>136</v>
      </c>
      <c r="O43" s="10">
        <v>91</v>
      </c>
      <c r="P43" s="10">
        <v>45</v>
      </c>
      <c r="Q43" s="10">
        <v>8</v>
      </c>
      <c r="R43" s="10">
        <v>5</v>
      </c>
      <c r="S43" s="10">
        <v>25</v>
      </c>
      <c r="T43" s="10">
        <v>16</v>
      </c>
      <c r="U43" s="10">
        <v>28</v>
      </c>
      <c r="V43" s="10">
        <v>17</v>
      </c>
      <c r="W43" s="10">
        <v>24</v>
      </c>
      <c r="X43" s="10">
        <v>20</v>
      </c>
      <c r="Y43" s="10">
        <v>29</v>
      </c>
      <c r="Z43" s="10">
        <v>18</v>
      </c>
      <c r="AA43" s="10">
        <v>22</v>
      </c>
      <c r="AB43" s="10">
        <v>15</v>
      </c>
      <c r="AC43" s="20">
        <f t="shared" si="6"/>
        <v>3</v>
      </c>
      <c r="AD43" s="20">
        <f t="shared" si="7"/>
        <v>9</v>
      </c>
      <c r="AE43" s="20">
        <f t="shared" si="8"/>
        <v>11</v>
      </c>
      <c r="AF43" s="20">
        <f t="shared" si="9"/>
        <v>4</v>
      </c>
      <c r="AG43" s="20">
        <f t="shared" si="10"/>
        <v>11</v>
      </c>
      <c r="AH43" s="20">
        <f t="shared" si="11"/>
        <v>7</v>
      </c>
    </row>
    <row r="44" spans="1:34">
      <c r="A44" s="10" t="s">
        <v>959</v>
      </c>
      <c r="B44" s="10" t="s">
        <v>1091</v>
      </c>
      <c r="C44" s="10" t="s">
        <v>12</v>
      </c>
      <c r="D44" s="10" t="s">
        <v>5</v>
      </c>
      <c r="E44" s="10" t="s">
        <v>69</v>
      </c>
      <c r="F44" s="10" t="s">
        <v>4</v>
      </c>
      <c r="G44" s="10" t="s">
        <v>4</v>
      </c>
      <c r="H44" s="10" t="s">
        <v>1313</v>
      </c>
      <c r="I44" s="10" t="s">
        <v>41</v>
      </c>
      <c r="J44" s="10" t="s">
        <v>42</v>
      </c>
      <c r="K44" s="694" t="s">
        <v>42</v>
      </c>
      <c r="L44" s="694" t="s">
        <v>63</v>
      </c>
      <c r="M44" s="10" t="s">
        <v>1221</v>
      </c>
      <c r="N44" s="10">
        <v>81</v>
      </c>
      <c r="O44" s="10">
        <v>59</v>
      </c>
      <c r="P44" s="10">
        <v>22</v>
      </c>
      <c r="Q44" s="10">
        <v>14</v>
      </c>
      <c r="R44" s="10">
        <v>8</v>
      </c>
      <c r="S44" s="10">
        <v>30</v>
      </c>
      <c r="T44" s="10">
        <v>25</v>
      </c>
      <c r="U44" s="10">
        <v>16</v>
      </c>
      <c r="V44" s="10">
        <v>13</v>
      </c>
      <c r="W44" s="10">
        <v>18</v>
      </c>
      <c r="X44" s="10">
        <v>10</v>
      </c>
      <c r="Y44" s="10">
        <v>3</v>
      </c>
      <c r="Z44" s="10">
        <v>3</v>
      </c>
      <c r="AA44" s="10">
        <v>0</v>
      </c>
      <c r="AB44" s="10">
        <v>0</v>
      </c>
      <c r="AC44" s="20">
        <f t="shared" si="6"/>
        <v>6</v>
      </c>
      <c r="AD44" s="20">
        <f t="shared" si="7"/>
        <v>5</v>
      </c>
      <c r="AE44" s="20">
        <f t="shared" si="8"/>
        <v>3</v>
      </c>
      <c r="AF44" s="20">
        <f t="shared" si="9"/>
        <v>8</v>
      </c>
      <c r="AG44" s="20">
        <f t="shared" si="10"/>
        <v>0</v>
      </c>
      <c r="AH44" s="20">
        <f t="shared" si="11"/>
        <v>0</v>
      </c>
    </row>
    <row r="45" spans="1:34">
      <c r="A45" s="10" t="s">
        <v>960</v>
      </c>
      <c r="B45" s="10" t="s">
        <v>1092</v>
      </c>
      <c r="C45" s="10" t="s">
        <v>12</v>
      </c>
      <c r="D45" s="10" t="s">
        <v>6</v>
      </c>
      <c r="E45" s="10" t="s">
        <v>69</v>
      </c>
      <c r="F45" s="10" t="s">
        <v>4</v>
      </c>
      <c r="G45" s="10" t="s">
        <v>5</v>
      </c>
      <c r="H45" s="10" t="s">
        <v>80</v>
      </c>
      <c r="I45" s="10" t="s">
        <v>41</v>
      </c>
      <c r="J45" s="10" t="s">
        <v>42</v>
      </c>
      <c r="K45" s="694" t="s">
        <v>41</v>
      </c>
      <c r="L45" s="694" t="s">
        <v>63</v>
      </c>
      <c r="M45" s="10" t="s">
        <v>1222</v>
      </c>
      <c r="N45" s="10">
        <v>92</v>
      </c>
      <c r="O45" s="10">
        <v>53</v>
      </c>
      <c r="P45" s="10">
        <v>39</v>
      </c>
      <c r="Q45" s="10">
        <v>8</v>
      </c>
      <c r="R45" s="10">
        <v>4</v>
      </c>
      <c r="S45" s="10">
        <v>16</v>
      </c>
      <c r="T45" s="10">
        <v>9</v>
      </c>
      <c r="U45" s="10">
        <v>22</v>
      </c>
      <c r="V45" s="10">
        <v>12</v>
      </c>
      <c r="W45" s="10">
        <v>16</v>
      </c>
      <c r="X45" s="10">
        <v>10</v>
      </c>
      <c r="Y45" s="10">
        <v>16</v>
      </c>
      <c r="Z45" s="10">
        <v>10</v>
      </c>
      <c r="AA45" s="10">
        <v>14</v>
      </c>
      <c r="AB45" s="10">
        <v>8</v>
      </c>
      <c r="AC45" s="20">
        <f t="shared" si="6"/>
        <v>4</v>
      </c>
      <c r="AD45" s="20">
        <f t="shared" si="7"/>
        <v>7</v>
      </c>
      <c r="AE45" s="20">
        <f t="shared" si="8"/>
        <v>10</v>
      </c>
      <c r="AF45" s="20">
        <f t="shared" si="9"/>
        <v>6</v>
      </c>
      <c r="AG45" s="20">
        <f t="shared" si="10"/>
        <v>6</v>
      </c>
      <c r="AH45" s="20">
        <f t="shared" si="11"/>
        <v>6</v>
      </c>
    </row>
    <row r="46" spans="1:34">
      <c r="A46" s="10" t="s">
        <v>961</v>
      </c>
      <c r="B46" s="10" t="s">
        <v>1093</v>
      </c>
      <c r="C46" s="10" t="s">
        <v>13</v>
      </c>
      <c r="D46" s="10" t="s">
        <v>9</v>
      </c>
      <c r="E46" s="10" t="s">
        <v>69</v>
      </c>
      <c r="F46" s="10" t="s">
        <v>5</v>
      </c>
      <c r="G46" s="10" t="s">
        <v>3</v>
      </c>
      <c r="H46" s="10" t="s">
        <v>1314</v>
      </c>
      <c r="I46" s="10" t="s">
        <v>41</v>
      </c>
      <c r="J46" s="10" t="s">
        <v>41</v>
      </c>
      <c r="K46" s="694" t="s">
        <v>42</v>
      </c>
      <c r="L46" s="694" t="s">
        <v>63</v>
      </c>
      <c r="M46" s="10" t="s">
        <v>1223</v>
      </c>
      <c r="N46" s="10">
        <v>88</v>
      </c>
      <c r="O46" s="10">
        <v>53</v>
      </c>
      <c r="P46" s="10">
        <v>35</v>
      </c>
      <c r="Q46" s="10">
        <v>23</v>
      </c>
      <c r="R46" s="10">
        <v>13</v>
      </c>
      <c r="S46" s="10">
        <v>19</v>
      </c>
      <c r="T46" s="10">
        <v>11</v>
      </c>
      <c r="U46" s="10">
        <v>17</v>
      </c>
      <c r="V46" s="10">
        <v>12</v>
      </c>
      <c r="W46" s="10">
        <v>18</v>
      </c>
      <c r="X46" s="10">
        <v>12</v>
      </c>
      <c r="Y46" s="10">
        <v>11</v>
      </c>
      <c r="Z46" s="10">
        <v>5</v>
      </c>
      <c r="AA46" s="10">
        <v>0</v>
      </c>
      <c r="AB46" s="10">
        <v>0</v>
      </c>
      <c r="AC46" s="20">
        <f t="shared" si="6"/>
        <v>10</v>
      </c>
      <c r="AD46" s="20">
        <f t="shared" si="7"/>
        <v>8</v>
      </c>
      <c r="AE46" s="20">
        <f t="shared" si="8"/>
        <v>5</v>
      </c>
      <c r="AF46" s="20">
        <f t="shared" si="9"/>
        <v>6</v>
      </c>
      <c r="AG46" s="20">
        <f t="shared" si="10"/>
        <v>6</v>
      </c>
      <c r="AH46" s="20">
        <f t="shared" si="11"/>
        <v>0</v>
      </c>
    </row>
    <row r="47" spans="1:34">
      <c r="A47" s="10" t="s">
        <v>962</v>
      </c>
      <c r="B47" s="10" t="s">
        <v>1094</v>
      </c>
      <c r="C47" s="10" t="s">
        <v>13</v>
      </c>
      <c r="D47" s="10" t="s">
        <v>4</v>
      </c>
      <c r="E47" s="10" t="s">
        <v>69</v>
      </c>
      <c r="F47" s="10" t="s">
        <v>5</v>
      </c>
      <c r="G47" s="10" t="s">
        <v>5</v>
      </c>
      <c r="H47" s="10" t="s">
        <v>1315</v>
      </c>
      <c r="I47" s="10" t="s">
        <v>41</v>
      </c>
      <c r="J47" s="10" t="s">
        <v>42</v>
      </c>
      <c r="K47" s="694" t="s">
        <v>42</v>
      </c>
      <c r="L47" s="694" t="s">
        <v>63</v>
      </c>
      <c r="M47" s="10" t="s">
        <v>1224</v>
      </c>
      <c r="N47" s="10">
        <v>148</v>
      </c>
      <c r="O47" s="10">
        <v>94</v>
      </c>
      <c r="P47" s="10">
        <v>54</v>
      </c>
      <c r="Q47" s="10">
        <v>21</v>
      </c>
      <c r="R47" s="10">
        <v>10</v>
      </c>
      <c r="S47" s="10">
        <v>19</v>
      </c>
      <c r="T47" s="10">
        <v>14</v>
      </c>
      <c r="U47" s="10">
        <v>37</v>
      </c>
      <c r="V47" s="10">
        <v>24</v>
      </c>
      <c r="W47" s="10">
        <v>31</v>
      </c>
      <c r="X47" s="10">
        <v>27</v>
      </c>
      <c r="Y47" s="10">
        <v>14</v>
      </c>
      <c r="Z47" s="10">
        <v>8</v>
      </c>
      <c r="AA47" s="10">
        <v>26</v>
      </c>
      <c r="AB47" s="10">
        <v>11</v>
      </c>
      <c r="AC47" s="20">
        <f t="shared" si="6"/>
        <v>11</v>
      </c>
      <c r="AD47" s="20">
        <f t="shared" si="7"/>
        <v>5</v>
      </c>
      <c r="AE47" s="20">
        <f t="shared" si="8"/>
        <v>13</v>
      </c>
      <c r="AF47" s="20">
        <f t="shared" si="9"/>
        <v>4</v>
      </c>
      <c r="AG47" s="20">
        <f t="shared" si="10"/>
        <v>6</v>
      </c>
      <c r="AH47" s="20">
        <f t="shared" si="11"/>
        <v>15</v>
      </c>
    </row>
    <row r="48" spans="1:34">
      <c r="A48" s="10" t="s">
        <v>963</v>
      </c>
      <c r="B48" s="10" t="s">
        <v>1095</v>
      </c>
      <c r="C48" s="10" t="s">
        <v>13</v>
      </c>
      <c r="D48" s="10" t="s">
        <v>5</v>
      </c>
      <c r="E48" s="10" t="s">
        <v>69</v>
      </c>
      <c r="F48" s="10" t="s">
        <v>5</v>
      </c>
      <c r="G48" s="10" t="s">
        <v>7</v>
      </c>
      <c r="H48" s="10" t="s">
        <v>152</v>
      </c>
      <c r="I48" s="10" t="s">
        <v>41</v>
      </c>
      <c r="J48" s="10" t="s">
        <v>41</v>
      </c>
      <c r="K48" s="694" t="s">
        <v>45</v>
      </c>
      <c r="L48" s="694" t="s">
        <v>63</v>
      </c>
      <c r="M48" s="10" t="s">
        <v>1225</v>
      </c>
      <c r="N48" s="10">
        <v>224</v>
      </c>
      <c r="O48" s="10">
        <v>138</v>
      </c>
      <c r="P48" s="10">
        <v>86</v>
      </c>
      <c r="Q48" s="10">
        <v>68</v>
      </c>
      <c r="R48" s="10">
        <v>45</v>
      </c>
      <c r="S48" s="10">
        <v>49</v>
      </c>
      <c r="T48" s="10">
        <v>32</v>
      </c>
      <c r="U48" s="10">
        <v>50</v>
      </c>
      <c r="V48" s="10">
        <v>30</v>
      </c>
      <c r="W48" s="10">
        <v>40</v>
      </c>
      <c r="X48" s="10">
        <v>20</v>
      </c>
      <c r="Y48" s="10">
        <v>11</v>
      </c>
      <c r="Z48" s="10">
        <v>8</v>
      </c>
      <c r="AA48" s="10">
        <v>6</v>
      </c>
      <c r="AB48" s="10">
        <v>3</v>
      </c>
      <c r="AC48" s="20">
        <f t="shared" si="6"/>
        <v>23</v>
      </c>
      <c r="AD48" s="20">
        <f t="shared" si="7"/>
        <v>17</v>
      </c>
      <c r="AE48" s="20">
        <f t="shared" si="8"/>
        <v>20</v>
      </c>
      <c r="AF48" s="20">
        <f t="shared" si="9"/>
        <v>20</v>
      </c>
      <c r="AG48" s="20">
        <f t="shared" si="10"/>
        <v>3</v>
      </c>
      <c r="AH48" s="20">
        <f t="shared" si="11"/>
        <v>3</v>
      </c>
    </row>
    <row r="49" spans="1:34">
      <c r="A49" s="10" t="s">
        <v>964</v>
      </c>
      <c r="B49" s="10" t="s">
        <v>1096</v>
      </c>
      <c r="C49" s="10" t="s">
        <v>13</v>
      </c>
      <c r="D49" s="10" t="s">
        <v>9</v>
      </c>
      <c r="E49" s="10" t="s">
        <v>69</v>
      </c>
      <c r="F49" s="10" t="s">
        <v>5</v>
      </c>
      <c r="G49" s="10" t="s">
        <v>9</v>
      </c>
      <c r="H49" s="10" t="s">
        <v>2545</v>
      </c>
      <c r="I49" s="10" t="s">
        <v>41</v>
      </c>
      <c r="J49" s="10" t="s">
        <v>41</v>
      </c>
      <c r="K49" s="694" t="s">
        <v>41</v>
      </c>
      <c r="L49" s="694" t="s">
        <v>63</v>
      </c>
      <c r="M49" s="10" t="s">
        <v>1226</v>
      </c>
      <c r="N49" s="10">
        <v>17</v>
      </c>
      <c r="O49" s="10">
        <v>11</v>
      </c>
      <c r="P49" s="10">
        <v>6</v>
      </c>
      <c r="Q49" s="10">
        <v>5</v>
      </c>
      <c r="R49" s="10">
        <v>2</v>
      </c>
      <c r="S49" s="10">
        <v>0</v>
      </c>
      <c r="T49" s="10">
        <v>0</v>
      </c>
      <c r="U49" s="10">
        <v>1</v>
      </c>
      <c r="V49" s="10">
        <v>0</v>
      </c>
      <c r="W49" s="10">
        <v>7</v>
      </c>
      <c r="X49" s="10">
        <v>6</v>
      </c>
      <c r="Y49" s="10">
        <v>4</v>
      </c>
      <c r="Z49" s="10">
        <v>3</v>
      </c>
      <c r="AA49" s="10">
        <v>0</v>
      </c>
      <c r="AB49" s="10">
        <v>0</v>
      </c>
      <c r="AC49" s="20">
        <f t="shared" si="6"/>
        <v>3</v>
      </c>
      <c r="AD49" s="20">
        <f t="shared" si="7"/>
        <v>0</v>
      </c>
      <c r="AE49" s="20">
        <f t="shared" si="8"/>
        <v>1</v>
      </c>
      <c r="AF49" s="20">
        <f t="shared" si="9"/>
        <v>1</v>
      </c>
      <c r="AG49" s="20">
        <f t="shared" si="10"/>
        <v>1</v>
      </c>
      <c r="AH49" s="20">
        <f t="shared" si="11"/>
        <v>0</v>
      </c>
    </row>
    <row r="50" spans="1:34">
      <c r="A50" s="10" t="s">
        <v>965</v>
      </c>
      <c r="B50" s="10" t="s">
        <v>1097</v>
      </c>
      <c r="C50" s="10" t="s">
        <v>11</v>
      </c>
      <c r="D50" s="10" t="s">
        <v>5</v>
      </c>
      <c r="E50" s="10" t="s">
        <v>69</v>
      </c>
      <c r="F50" s="10" t="s">
        <v>6</v>
      </c>
      <c r="G50" s="10" t="s">
        <v>4</v>
      </c>
      <c r="H50" s="10" t="s">
        <v>133</v>
      </c>
      <c r="I50" s="10" t="s">
        <v>41</v>
      </c>
      <c r="J50" s="10" t="s">
        <v>42</v>
      </c>
      <c r="K50" s="694" t="s">
        <v>41</v>
      </c>
      <c r="L50" s="694" t="s">
        <v>63</v>
      </c>
      <c r="M50" s="10" t="s">
        <v>1227</v>
      </c>
      <c r="N50" s="10">
        <v>37</v>
      </c>
      <c r="O50" s="10">
        <v>19</v>
      </c>
      <c r="P50" s="10">
        <v>18</v>
      </c>
      <c r="Q50" s="10">
        <v>10</v>
      </c>
      <c r="R50" s="10">
        <v>4</v>
      </c>
      <c r="S50" s="10">
        <v>9</v>
      </c>
      <c r="T50" s="10">
        <v>4</v>
      </c>
      <c r="U50" s="10">
        <v>7</v>
      </c>
      <c r="V50" s="10">
        <v>4</v>
      </c>
      <c r="W50" s="10">
        <v>7</v>
      </c>
      <c r="X50" s="10">
        <v>4</v>
      </c>
      <c r="Y50" s="10">
        <v>4</v>
      </c>
      <c r="Z50" s="10">
        <v>3</v>
      </c>
      <c r="AA50" s="10">
        <v>0</v>
      </c>
      <c r="AB50" s="10">
        <v>0</v>
      </c>
      <c r="AC50" s="20">
        <f t="shared" si="6"/>
        <v>6</v>
      </c>
      <c r="AD50" s="20">
        <f t="shared" si="7"/>
        <v>5</v>
      </c>
      <c r="AE50" s="20">
        <f t="shared" si="8"/>
        <v>3</v>
      </c>
      <c r="AF50" s="20">
        <f t="shared" si="9"/>
        <v>3</v>
      </c>
      <c r="AG50" s="20">
        <f t="shared" si="10"/>
        <v>1</v>
      </c>
      <c r="AH50" s="20">
        <f t="shared" si="11"/>
        <v>0</v>
      </c>
    </row>
    <row r="51" spans="1:34">
      <c r="A51" s="10" t="s">
        <v>966</v>
      </c>
      <c r="B51" s="10" t="s">
        <v>1098</v>
      </c>
      <c r="C51" s="10" t="s">
        <v>13</v>
      </c>
      <c r="D51" s="10" t="s">
        <v>7</v>
      </c>
      <c r="E51" s="10" t="s">
        <v>69</v>
      </c>
      <c r="F51" s="10" t="s">
        <v>7</v>
      </c>
      <c r="G51" s="10" t="s">
        <v>3</v>
      </c>
      <c r="H51" s="10" t="s">
        <v>1316</v>
      </c>
      <c r="I51" s="10" t="s">
        <v>41</v>
      </c>
      <c r="J51" s="10" t="s">
        <v>41</v>
      </c>
      <c r="K51" s="694" t="s">
        <v>45</v>
      </c>
      <c r="L51" s="694" t="s">
        <v>63</v>
      </c>
      <c r="M51" s="10" t="s">
        <v>1228</v>
      </c>
      <c r="N51" s="10">
        <v>153</v>
      </c>
      <c r="O51" s="10">
        <v>88</v>
      </c>
      <c r="P51" s="10">
        <v>65</v>
      </c>
      <c r="Q51" s="10">
        <v>17</v>
      </c>
      <c r="R51" s="10">
        <v>9</v>
      </c>
      <c r="S51" s="10">
        <v>15</v>
      </c>
      <c r="T51" s="10">
        <v>9</v>
      </c>
      <c r="U51" s="10">
        <v>46</v>
      </c>
      <c r="V51" s="10">
        <v>28</v>
      </c>
      <c r="W51" s="10">
        <v>19</v>
      </c>
      <c r="X51" s="10">
        <v>11</v>
      </c>
      <c r="Y51" s="10">
        <v>34</v>
      </c>
      <c r="Z51" s="10">
        <v>18</v>
      </c>
      <c r="AA51" s="10">
        <v>22</v>
      </c>
      <c r="AB51" s="10">
        <v>13</v>
      </c>
      <c r="AC51" s="20">
        <f t="shared" si="6"/>
        <v>8</v>
      </c>
      <c r="AD51" s="20">
        <f t="shared" si="7"/>
        <v>6</v>
      </c>
      <c r="AE51" s="20">
        <f t="shared" si="8"/>
        <v>18</v>
      </c>
      <c r="AF51" s="20">
        <f t="shared" si="9"/>
        <v>8</v>
      </c>
      <c r="AG51" s="20">
        <f t="shared" si="10"/>
        <v>16</v>
      </c>
      <c r="AH51" s="20">
        <f t="shared" si="11"/>
        <v>9</v>
      </c>
    </row>
    <row r="52" spans="1:34">
      <c r="A52" s="10" t="s">
        <v>967</v>
      </c>
      <c r="B52" s="10" t="s">
        <v>1099</v>
      </c>
      <c r="C52" s="10" t="s">
        <v>13</v>
      </c>
      <c r="D52" s="10" t="s">
        <v>8</v>
      </c>
      <c r="E52" s="10" t="s">
        <v>69</v>
      </c>
      <c r="F52" s="10" t="s">
        <v>7</v>
      </c>
      <c r="G52" s="10" t="s">
        <v>5</v>
      </c>
      <c r="H52" s="10" t="s">
        <v>154</v>
      </c>
      <c r="I52" s="10" t="s">
        <v>41</v>
      </c>
      <c r="J52" s="10" t="s">
        <v>41</v>
      </c>
      <c r="K52" s="694" t="s">
        <v>45</v>
      </c>
      <c r="L52" s="694" t="s">
        <v>63</v>
      </c>
      <c r="M52" s="10" t="s">
        <v>1229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20">
        <f t="shared" si="6"/>
        <v>0</v>
      </c>
      <c r="AD52" s="20">
        <f t="shared" si="7"/>
        <v>0</v>
      </c>
      <c r="AE52" s="20">
        <f t="shared" si="8"/>
        <v>0</v>
      </c>
      <c r="AF52" s="20">
        <f t="shared" si="9"/>
        <v>0</v>
      </c>
      <c r="AG52" s="20">
        <f t="shared" si="10"/>
        <v>0</v>
      </c>
      <c r="AH52" s="20">
        <f t="shared" si="11"/>
        <v>0</v>
      </c>
    </row>
    <row r="53" spans="1:34">
      <c r="A53" s="10" t="s">
        <v>968</v>
      </c>
      <c r="B53" s="10" t="s">
        <v>1100</v>
      </c>
      <c r="C53" s="10" t="s">
        <v>12</v>
      </c>
      <c r="D53" s="10" t="s">
        <v>9</v>
      </c>
      <c r="E53" s="10" t="s">
        <v>69</v>
      </c>
      <c r="F53" s="10" t="s">
        <v>12</v>
      </c>
      <c r="G53" s="10" t="s">
        <v>3</v>
      </c>
      <c r="H53" s="10" t="s">
        <v>151</v>
      </c>
      <c r="I53" s="10" t="s">
        <v>41</v>
      </c>
      <c r="J53" s="10" t="s">
        <v>41</v>
      </c>
      <c r="K53" s="694" t="s">
        <v>45</v>
      </c>
      <c r="L53" s="694" t="s">
        <v>63</v>
      </c>
      <c r="M53" s="10" t="s">
        <v>1230</v>
      </c>
      <c r="N53" s="10">
        <v>238</v>
      </c>
      <c r="O53" s="10">
        <v>152</v>
      </c>
      <c r="P53" s="10">
        <v>86</v>
      </c>
      <c r="Q53" s="10">
        <v>57</v>
      </c>
      <c r="R53" s="10">
        <v>38</v>
      </c>
      <c r="S53" s="10">
        <v>46</v>
      </c>
      <c r="T53" s="10">
        <v>27</v>
      </c>
      <c r="U53" s="10">
        <v>39</v>
      </c>
      <c r="V53" s="10">
        <v>24</v>
      </c>
      <c r="W53" s="10">
        <v>59</v>
      </c>
      <c r="X53" s="10">
        <v>39</v>
      </c>
      <c r="Y53" s="10">
        <v>33</v>
      </c>
      <c r="Z53" s="10">
        <v>23</v>
      </c>
      <c r="AA53" s="10">
        <v>4</v>
      </c>
      <c r="AB53" s="10">
        <v>1</v>
      </c>
      <c r="AC53" s="20">
        <f t="shared" si="6"/>
        <v>19</v>
      </c>
      <c r="AD53" s="20">
        <f t="shared" si="7"/>
        <v>19</v>
      </c>
      <c r="AE53" s="20">
        <f t="shared" si="8"/>
        <v>15</v>
      </c>
      <c r="AF53" s="20">
        <f t="shared" si="9"/>
        <v>20</v>
      </c>
      <c r="AG53" s="20">
        <f t="shared" si="10"/>
        <v>10</v>
      </c>
      <c r="AH53" s="20">
        <f t="shared" si="11"/>
        <v>3</v>
      </c>
    </row>
    <row r="54" spans="1:34">
      <c r="A54" s="10" t="s">
        <v>969</v>
      </c>
      <c r="B54" s="10" t="s">
        <v>1101</v>
      </c>
      <c r="C54" s="10" t="s">
        <v>12</v>
      </c>
      <c r="D54" s="10" t="s">
        <v>7</v>
      </c>
      <c r="E54" s="10" t="s">
        <v>69</v>
      </c>
      <c r="F54" s="10" t="s">
        <v>16</v>
      </c>
      <c r="G54" s="10" t="s">
        <v>3</v>
      </c>
      <c r="H54" s="10" t="s">
        <v>1317</v>
      </c>
      <c r="I54" s="10" t="s">
        <v>41</v>
      </c>
      <c r="J54" s="10" t="s">
        <v>42</v>
      </c>
      <c r="K54" s="694" t="s">
        <v>45</v>
      </c>
      <c r="L54" s="694" t="s">
        <v>63</v>
      </c>
      <c r="M54" s="10" t="s">
        <v>1231</v>
      </c>
      <c r="N54" s="10">
        <v>140</v>
      </c>
      <c r="O54" s="10">
        <v>82</v>
      </c>
      <c r="P54" s="10">
        <v>58</v>
      </c>
      <c r="Q54" s="10">
        <v>32</v>
      </c>
      <c r="R54" s="10">
        <v>20</v>
      </c>
      <c r="S54" s="10">
        <v>30</v>
      </c>
      <c r="T54" s="10">
        <v>18</v>
      </c>
      <c r="U54" s="10">
        <v>34</v>
      </c>
      <c r="V54" s="10">
        <v>25</v>
      </c>
      <c r="W54" s="10">
        <v>27</v>
      </c>
      <c r="X54" s="10">
        <v>13</v>
      </c>
      <c r="Y54" s="10">
        <v>15</v>
      </c>
      <c r="Z54" s="10">
        <v>6</v>
      </c>
      <c r="AA54" s="10">
        <v>2</v>
      </c>
      <c r="AB54" s="10">
        <v>0</v>
      </c>
      <c r="AC54" s="20">
        <f t="shared" si="6"/>
        <v>12</v>
      </c>
      <c r="AD54" s="20">
        <f t="shared" si="7"/>
        <v>12</v>
      </c>
      <c r="AE54" s="20">
        <f t="shared" si="8"/>
        <v>9</v>
      </c>
      <c r="AF54" s="20">
        <f t="shared" si="9"/>
        <v>14</v>
      </c>
      <c r="AG54" s="20">
        <f t="shared" si="10"/>
        <v>9</v>
      </c>
      <c r="AH54" s="20">
        <f t="shared" si="11"/>
        <v>2</v>
      </c>
    </row>
    <row r="55" spans="1:34">
      <c r="A55" s="10" t="s">
        <v>970</v>
      </c>
      <c r="B55" s="10" t="s">
        <v>1102</v>
      </c>
      <c r="C55" s="10" t="s">
        <v>17</v>
      </c>
      <c r="D55" s="10" t="s">
        <v>3</v>
      </c>
      <c r="E55" s="10" t="s">
        <v>54</v>
      </c>
      <c r="F55" s="10" t="s">
        <v>3</v>
      </c>
      <c r="G55" s="10" t="s">
        <v>11</v>
      </c>
      <c r="H55" s="10" t="s">
        <v>1318</v>
      </c>
      <c r="I55" s="10" t="s">
        <v>41</v>
      </c>
      <c r="J55" s="10" t="s">
        <v>41</v>
      </c>
      <c r="K55" s="694" t="s">
        <v>45</v>
      </c>
      <c r="L55" s="694" t="s">
        <v>63</v>
      </c>
      <c r="M55" s="10" t="s">
        <v>1232</v>
      </c>
      <c r="N55" s="10">
        <v>311</v>
      </c>
      <c r="O55" s="10">
        <v>194</v>
      </c>
      <c r="P55" s="10">
        <v>117</v>
      </c>
      <c r="Q55" s="10">
        <v>104</v>
      </c>
      <c r="R55" s="10">
        <v>69</v>
      </c>
      <c r="S55" s="10">
        <v>56</v>
      </c>
      <c r="T55" s="10">
        <v>36</v>
      </c>
      <c r="U55" s="10">
        <v>46</v>
      </c>
      <c r="V55" s="10">
        <v>26</v>
      </c>
      <c r="W55" s="10">
        <v>62</v>
      </c>
      <c r="X55" s="10">
        <v>36</v>
      </c>
      <c r="Y55" s="10">
        <v>42</v>
      </c>
      <c r="Z55" s="10">
        <v>27</v>
      </c>
      <c r="AA55" s="10">
        <v>1</v>
      </c>
      <c r="AB55" s="10">
        <v>0</v>
      </c>
      <c r="AC55" s="20">
        <f t="shared" si="6"/>
        <v>35</v>
      </c>
      <c r="AD55" s="20">
        <f t="shared" si="7"/>
        <v>20</v>
      </c>
      <c r="AE55" s="20">
        <f t="shared" si="8"/>
        <v>20</v>
      </c>
      <c r="AF55" s="20">
        <f t="shared" si="9"/>
        <v>26</v>
      </c>
      <c r="AG55" s="20">
        <f t="shared" si="10"/>
        <v>15</v>
      </c>
      <c r="AH55" s="20">
        <f t="shared" si="11"/>
        <v>1</v>
      </c>
    </row>
    <row r="56" spans="1:34">
      <c r="A56" s="10" t="s">
        <v>971</v>
      </c>
      <c r="B56" s="10" t="s">
        <v>1103</v>
      </c>
      <c r="C56" s="10" t="s">
        <v>180</v>
      </c>
      <c r="D56" s="10" t="s">
        <v>6</v>
      </c>
      <c r="E56" s="10" t="s">
        <v>54</v>
      </c>
      <c r="F56" s="10" t="s">
        <v>3</v>
      </c>
      <c r="G56" s="10" t="s">
        <v>6</v>
      </c>
      <c r="H56" s="10" t="s">
        <v>1319</v>
      </c>
      <c r="I56" s="10" t="s">
        <v>41</v>
      </c>
      <c r="J56" s="10" t="s">
        <v>42</v>
      </c>
      <c r="K56" s="694" t="s">
        <v>45</v>
      </c>
      <c r="L56" s="694" t="s">
        <v>63</v>
      </c>
      <c r="M56" s="10" t="s">
        <v>1233</v>
      </c>
      <c r="N56" s="10">
        <v>256</v>
      </c>
      <c r="O56" s="10">
        <v>150</v>
      </c>
      <c r="P56" s="10">
        <v>106</v>
      </c>
      <c r="Q56" s="10">
        <v>57</v>
      </c>
      <c r="R56" s="10">
        <v>32</v>
      </c>
      <c r="S56" s="10">
        <v>40</v>
      </c>
      <c r="T56" s="10">
        <v>25</v>
      </c>
      <c r="U56" s="10">
        <v>69</v>
      </c>
      <c r="V56" s="10">
        <v>45</v>
      </c>
      <c r="W56" s="10">
        <v>43</v>
      </c>
      <c r="X56" s="10">
        <v>17</v>
      </c>
      <c r="Y56" s="10">
        <v>37</v>
      </c>
      <c r="Z56" s="10">
        <v>26</v>
      </c>
      <c r="AA56" s="10">
        <v>10</v>
      </c>
      <c r="AB56" s="10">
        <v>5</v>
      </c>
      <c r="AC56" s="20">
        <f t="shared" si="6"/>
        <v>25</v>
      </c>
      <c r="AD56" s="20">
        <f t="shared" si="7"/>
        <v>15</v>
      </c>
      <c r="AE56" s="20">
        <f t="shared" si="8"/>
        <v>24</v>
      </c>
      <c r="AF56" s="20">
        <f t="shared" si="9"/>
        <v>26</v>
      </c>
      <c r="AG56" s="20">
        <f t="shared" si="10"/>
        <v>11</v>
      </c>
      <c r="AH56" s="20">
        <f t="shared" si="11"/>
        <v>5</v>
      </c>
    </row>
    <row r="57" spans="1:34">
      <c r="A57" s="10" t="s">
        <v>972</v>
      </c>
      <c r="B57" s="10" t="s">
        <v>1104</v>
      </c>
      <c r="C57" s="10" t="s">
        <v>180</v>
      </c>
      <c r="D57" s="10" t="s">
        <v>3</v>
      </c>
      <c r="E57" s="10" t="s">
        <v>54</v>
      </c>
      <c r="F57" s="10" t="s">
        <v>3</v>
      </c>
      <c r="G57" s="10" t="s">
        <v>7</v>
      </c>
      <c r="H57" s="10" t="s">
        <v>156</v>
      </c>
      <c r="I57" s="10" t="s">
        <v>41</v>
      </c>
      <c r="J57" s="10" t="s">
        <v>42</v>
      </c>
      <c r="K57" s="694" t="s">
        <v>41</v>
      </c>
      <c r="L57" s="694" t="s">
        <v>63</v>
      </c>
      <c r="M57" s="10" t="s">
        <v>1234</v>
      </c>
      <c r="N57" s="10">
        <v>108</v>
      </c>
      <c r="O57" s="10">
        <v>39</v>
      </c>
      <c r="P57" s="10">
        <v>69</v>
      </c>
      <c r="Q57" s="10">
        <v>10</v>
      </c>
      <c r="R57" s="10">
        <v>9</v>
      </c>
      <c r="S57" s="10">
        <v>44</v>
      </c>
      <c r="T57" s="10">
        <v>14</v>
      </c>
      <c r="U57" s="10">
        <v>27</v>
      </c>
      <c r="V57" s="10">
        <v>12</v>
      </c>
      <c r="W57" s="10">
        <v>4</v>
      </c>
      <c r="X57" s="10">
        <v>0</v>
      </c>
      <c r="Y57" s="10">
        <v>19</v>
      </c>
      <c r="Z57" s="10">
        <v>3</v>
      </c>
      <c r="AA57" s="10">
        <v>4</v>
      </c>
      <c r="AB57" s="10">
        <v>1</v>
      </c>
      <c r="AC57" s="20">
        <f t="shared" si="6"/>
        <v>1</v>
      </c>
      <c r="AD57" s="20">
        <f t="shared" si="7"/>
        <v>30</v>
      </c>
      <c r="AE57" s="20">
        <f t="shared" si="8"/>
        <v>15</v>
      </c>
      <c r="AF57" s="20">
        <f t="shared" si="9"/>
        <v>4</v>
      </c>
      <c r="AG57" s="20">
        <f t="shared" si="10"/>
        <v>16</v>
      </c>
      <c r="AH57" s="20">
        <f t="shared" si="11"/>
        <v>3</v>
      </c>
    </row>
    <row r="58" spans="1:34">
      <c r="A58" s="10" t="s">
        <v>973</v>
      </c>
      <c r="B58" s="10" t="s">
        <v>1105</v>
      </c>
      <c r="C58" s="10" t="s">
        <v>17</v>
      </c>
      <c r="D58" s="10" t="s">
        <v>8</v>
      </c>
      <c r="E58" s="10" t="s">
        <v>54</v>
      </c>
      <c r="F58" s="10" t="s">
        <v>3</v>
      </c>
      <c r="G58" s="10" t="s">
        <v>12</v>
      </c>
      <c r="H58" s="10" t="s">
        <v>81</v>
      </c>
      <c r="I58" s="10" t="s">
        <v>41</v>
      </c>
      <c r="J58" s="10" t="s">
        <v>41</v>
      </c>
      <c r="K58" s="694" t="s">
        <v>42</v>
      </c>
      <c r="L58" s="694" t="s">
        <v>63</v>
      </c>
      <c r="M58" s="10" t="s">
        <v>1235</v>
      </c>
      <c r="N58" s="10">
        <v>191</v>
      </c>
      <c r="O58" s="10">
        <v>122</v>
      </c>
      <c r="P58" s="10">
        <v>69</v>
      </c>
      <c r="Q58" s="10">
        <v>18</v>
      </c>
      <c r="R58" s="10">
        <v>9</v>
      </c>
      <c r="S58" s="10">
        <v>53</v>
      </c>
      <c r="T58" s="10">
        <v>37</v>
      </c>
      <c r="U58" s="10">
        <v>53</v>
      </c>
      <c r="V58" s="10">
        <v>31</v>
      </c>
      <c r="W58" s="10">
        <v>33</v>
      </c>
      <c r="X58" s="10">
        <v>18</v>
      </c>
      <c r="Y58" s="10">
        <v>25</v>
      </c>
      <c r="Z58" s="10">
        <v>18</v>
      </c>
      <c r="AA58" s="10">
        <v>9</v>
      </c>
      <c r="AB58" s="10">
        <v>9</v>
      </c>
      <c r="AC58" s="20">
        <f t="shared" si="6"/>
        <v>9</v>
      </c>
      <c r="AD58" s="20">
        <f t="shared" si="7"/>
        <v>16</v>
      </c>
      <c r="AE58" s="20">
        <f t="shared" si="8"/>
        <v>22</v>
      </c>
      <c r="AF58" s="20">
        <f t="shared" si="9"/>
        <v>15</v>
      </c>
      <c r="AG58" s="20">
        <f t="shared" si="10"/>
        <v>7</v>
      </c>
      <c r="AH58" s="20">
        <f t="shared" si="11"/>
        <v>0</v>
      </c>
    </row>
    <row r="59" spans="1:34">
      <c r="A59" s="10" t="s">
        <v>974</v>
      </c>
      <c r="B59" s="10" t="s">
        <v>1106</v>
      </c>
      <c r="C59" s="10" t="s">
        <v>180</v>
      </c>
      <c r="D59" s="10" t="s">
        <v>4</v>
      </c>
      <c r="E59" s="10" t="s">
        <v>54</v>
      </c>
      <c r="F59" s="10" t="s">
        <v>3</v>
      </c>
      <c r="G59" s="10" t="s">
        <v>16</v>
      </c>
      <c r="H59" s="10" t="s">
        <v>138</v>
      </c>
      <c r="I59" s="10" t="s">
        <v>41</v>
      </c>
      <c r="J59" s="10" t="s">
        <v>42</v>
      </c>
      <c r="K59" s="694" t="s">
        <v>41</v>
      </c>
      <c r="L59" s="694" t="s">
        <v>63</v>
      </c>
      <c r="M59" s="10" t="s">
        <v>1673</v>
      </c>
      <c r="N59" s="10">
        <v>233</v>
      </c>
      <c r="O59" s="10">
        <v>136</v>
      </c>
      <c r="P59" s="10">
        <v>97</v>
      </c>
      <c r="Q59" s="10">
        <v>47</v>
      </c>
      <c r="R59" s="10">
        <v>27</v>
      </c>
      <c r="S59" s="10">
        <v>62</v>
      </c>
      <c r="T59" s="10">
        <v>41</v>
      </c>
      <c r="U59" s="10">
        <v>41</v>
      </c>
      <c r="V59" s="10">
        <v>20</v>
      </c>
      <c r="W59" s="10">
        <v>39</v>
      </c>
      <c r="X59" s="10">
        <v>22</v>
      </c>
      <c r="Y59" s="10">
        <v>35</v>
      </c>
      <c r="Z59" s="10">
        <v>21</v>
      </c>
      <c r="AA59" s="10">
        <v>9</v>
      </c>
      <c r="AB59" s="10">
        <v>5</v>
      </c>
      <c r="AC59" s="20">
        <f t="shared" si="6"/>
        <v>20</v>
      </c>
      <c r="AD59" s="20">
        <f t="shared" si="7"/>
        <v>21</v>
      </c>
      <c r="AE59" s="20">
        <f t="shared" si="8"/>
        <v>21</v>
      </c>
      <c r="AF59" s="20">
        <f t="shared" si="9"/>
        <v>17</v>
      </c>
      <c r="AG59" s="20">
        <f t="shared" si="10"/>
        <v>14</v>
      </c>
      <c r="AH59" s="20">
        <f t="shared" si="11"/>
        <v>4</v>
      </c>
    </row>
    <row r="60" spans="1:34">
      <c r="A60" s="10" t="s">
        <v>975</v>
      </c>
      <c r="B60" s="10" t="s">
        <v>1107</v>
      </c>
      <c r="C60" s="10" t="s">
        <v>176</v>
      </c>
      <c r="D60" s="10" t="s">
        <v>3</v>
      </c>
      <c r="E60" s="10" t="s">
        <v>54</v>
      </c>
      <c r="F60" s="10" t="s">
        <v>5</v>
      </c>
      <c r="G60" s="10" t="s">
        <v>3</v>
      </c>
      <c r="H60" s="10" t="s">
        <v>1320</v>
      </c>
      <c r="I60" s="10" t="s">
        <v>41</v>
      </c>
      <c r="J60" s="10" t="s">
        <v>41</v>
      </c>
      <c r="K60" s="694" t="s">
        <v>45</v>
      </c>
      <c r="L60" s="694" t="s">
        <v>63</v>
      </c>
      <c r="M60" s="10" t="s">
        <v>2509</v>
      </c>
      <c r="N60" s="10">
        <v>161</v>
      </c>
      <c r="O60" s="10">
        <v>90</v>
      </c>
      <c r="P60" s="10">
        <v>71</v>
      </c>
      <c r="Q60" s="10">
        <v>38</v>
      </c>
      <c r="R60" s="10">
        <v>20</v>
      </c>
      <c r="S60" s="10">
        <v>41</v>
      </c>
      <c r="T60" s="10">
        <v>23</v>
      </c>
      <c r="U60" s="10">
        <v>11</v>
      </c>
      <c r="V60" s="10">
        <v>9</v>
      </c>
      <c r="W60" s="10">
        <v>37</v>
      </c>
      <c r="X60" s="10">
        <v>20</v>
      </c>
      <c r="Y60" s="10">
        <v>28</v>
      </c>
      <c r="Z60" s="10">
        <v>15</v>
      </c>
      <c r="AA60" s="10">
        <v>6</v>
      </c>
      <c r="AB60" s="10">
        <v>3</v>
      </c>
      <c r="AC60" s="20">
        <f t="shared" si="6"/>
        <v>18</v>
      </c>
      <c r="AD60" s="20">
        <f t="shared" si="7"/>
        <v>18</v>
      </c>
      <c r="AE60" s="20">
        <f t="shared" si="8"/>
        <v>2</v>
      </c>
      <c r="AF60" s="20">
        <f t="shared" si="9"/>
        <v>17</v>
      </c>
      <c r="AG60" s="20">
        <f t="shared" si="10"/>
        <v>13</v>
      </c>
      <c r="AH60" s="20">
        <f t="shared" si="11"/>
        <v>3</v>
      </c>
    </row>
    <row r="61" spans="1:34">
      <c r="A61" s="10" t="s">
        <v>976</v>
      </c>
      <c r="B61" s="10" t="s">
        <v>1108</v>
      </c>
      <c r="C61" s="10" t="s">
        <v>176</v>
      </c>
      <c r="D61" s="10" t="s">
        <v>9</v>
      </c>
      <c r="E61" s="10" t="s">
        <v>54</v>
      </c>
      <c r="F61" s="10" t="s">
        <v>7</v>
      </c>
      <c r="G61" s="10" t="s">
        <v>4</v>
      </c>
      <c r="H61" s="10" t="s">
        <v>1321</v>
      </c>
      <c r="I61" s="10" t="s">
        <v>41</v>
      </c>
      <c r="J61" s="10" t="s">
        <v>42</v>
      </c>
      <c r="K61" s="694" t="s">
        <v>42</v>
      </c>
      <c r="L61" s="694" t="s">
        <v>63</v>
      </c>
      <c r="M61" s="10" t="s">
        <v>1236</v>
      </c>
      <c r="N61" s="10">
        <v>125</v>
      </c>
      <c r="O61" s="10">
        <v>73</v>
      </c>
      <c r="P61" s="10">
        <v>52</v>
      </c>
      <c r="Q61" s="10">
        <v>22</v>
      </c>
      <c r="R61" s="10">
        <v>11</v>
      </c>
      <c r="S61" s="10">
        <v>28</v>
      </c>
      <c r="T61" s="10">
        <v>10</v>
      </c>
      <c r="U61" s="10">
        <v>14</v>
      </c>
      <c r="V61" s="10">
        <v>10</v>
      </c>
      <c r="W61" s="10">
        <v>25</v>
      </c>
      <c r="X61" s="10">
        <v>16</v>
      </c>
      <c r="Y61" s="10">
        <v>17</v>
      </c>
      <c r="Z61" s="10">
        <v>11</v>
      </c>
      <c r="AA61" s="10">
        <v>19</v>
      </c>
      <c r="AB61" s="10">
        <v>15</v>
      </c>
      <c r="AC61" s="20">
        <f t="shared" si="6"/>
        <v>11</v>
      </c>
      <c r="AD61" s="20">
        <f t="shared" si="7"/>
        <v>18</v>
      </c>
      <c r="AE61" s="20">
        <f t="shared" si="8"/>
        <v>4</v>
      </c>
      <c r="AF61" s="20">
        <f t="shared" si="9"/>
        <v>9</v>
      </c>
      <c r="AG61" s="20">
        <f t="shared" si="10"/>
        <v>6</v>
      </c>
      <c r="AH61" s="20">
        <f t="shared" si="11"/>
        <v>4</v>
      </c>
    </row>
    <row r="62" spans="1:34">
      <c r="A62" s="10" t="s">
        <v>977</v>
      </c>
      <c r="B62" s="10" t="s">
        <v>1109</v>
      </c>
      <c r="C62" s="10" t="s">
        <v>18</v>
      </c>
      <c r="D62" s="10" t="s">
        <v>3</v>
      </c>
      <c r="E62" s="10" t="s">
        <v>54</v>
      </c>
      <c r="F62" s="10" t="s">
        <v>8</v>
      </c>
      <c r="G62" s="10" t="s">
        <v>3</v>
      </c>
      <c r="H62" s="10" t="s">
        <v>1322</v>
      </c>
      <c r="I62" s="10" t="s">
        <v>41</v>
      </c>
      <c r="J62" s="10" t="s">
        <v>41</v>
      </c>
      <c r="K62" s="694" t="s">
        <v>42</v>
      </c>
      <c r="L62" s="694" t="s">
        <v>63</v>
      </c>
      <c r="M62" s="10" t="s">
        <v>1237</v>
      </c>
      <c r="N62" s="10">
        <v>228</v>
      </c>
      <c r="O62" s="10">
        <v>124</v>
      </c>
      <c r="P62" s="10">
        <v>104</v>
      </c>
      <c r="Q62" s="10">
        <v>47</v>
      </c>
      <c r="R62" s="10">
        <v>29</v>
      </c>
      <c r="S62" s="10">
        <v>58</v>
      </c>
      <c r="T62" s="10">
        <v>27</v>
      </c>
      <c r="U62" s="10">
        <v>37</v>
      </c>
      <c r="V62" s="10">
        <v>17</v>
      </c>
      <c r="W62" s="10">
        <v>56</v>
      </c>
      <c r="X62" s="10">
        <v>37</v>
      </c>
      <c r="Y62" s="10">
        <v>27</v>
      </c>
      <c r="Z62" s="10">
        <v>11</v>
      </c>
      <c r="AA62" s="10">
        <v>3</v>
      </c>
      <c r="AB62" s="10">
        <v>3</v>
      </c>
      <c r="AC62" s="20">
        <f t="shared" si="6"/>
        <v>18</v>
      </c>
      <c r="AD62" s="20">
        <f t="shared" si="7"/>
        <v>31</v>
      </c>
      <c r="AE62" s="20">
        <f t="shared" si="8"/>
        <v>20</v>
      </c>
      <c r="AF62" s="20">
        <f t="shared" si="9"/>
        <v>19</v>
      </c>
      <c r="AG62" s="20">
        <f t="shared" si="10"/>
        <v>16</v>
      </c>
      <c r="AH62" s="20">
        <f t="shared" si="11"/>
        <v>0</v>
      </c>
    </row>
    <row r="63" spans="1:34">
      <c r="A63" s="10" t="s">
        <v>978</v>
      </c>
      <c r="B63" s="10" t="s">
        <v>1110</v>
      </c>
      <c r="C63" s="10" t="s">
        <v>18</v>
      </c>
      <c r="D63" s="10" t="s">
        <v>4</v>
      </c>
      <c r="E63" s="10" t="s">
        <v>54</v>
      </c>
      <c r="F63" s="10" t="s">
        <v>8</v>
      </c>
      <c r="G63" s="10" t="s">
        <v>4</v>
      </c>
      <c r="H63" s="10" t="s">
        <v>1323</v>
      </c>
      <c r="I63" s="10" t="s">
        <v>41</v>
      </c>
      <c r="J63" s="10" t="s">
        <v>42</v>
      </c>
      <c r="K63" s="694" t="s">
        <v>41</v>
      </c>
      <c r="L63" s="694" t="s">
        <v>63</v>
      </c>
      <c r="M63" s="10" t="s">
        <v>1238</v>
      </c>
      <c r="N63" s="10">
        <v>67</v>
      </c>
      <c r="O63" s="10">
        <v>40</v>
      </c>
      <c r="P63" s="10">
        <v>27</v>
      </c>
      <c r="Q63" s="10">
        <v>14</v>
      </c>
      <c r="R63" s="10">
        <v>10</v>
      </c>
      <c r="S63" s="10">
        <v>9</v>
      </c>
      <c r="T63" s="10">
        <v>5</v>
      </c>
      <c r="U63" s="10">
        <v>10</v>
      </c>
      <c r="V63" s="10">
        <v>6</v>
      </c>
      <c r="W63" s="10">
        <v>19</v>
      </c>
      <c r="X63" s="10">
        <v>10</v>
      </c>
      <c r="Y63" s="10">
        <v>15</v>
      </c>
      <c r="Z63" s="10">
        <v>9</v>
      </c>
      <c r="AA63" s="10">
        <v>0</v>
      </c>
      <c r="AB63" s="10">
        <v>0</v>
      </c>
      <c r="AC63" s="20">
        <f t="shared" si="6"/>
        <v>4</v>
      </c>
      <c r="AD63" s="20">
        <f t="shared" si="7"/>
        <v>4</v>
      </c>
      <c r="AE63" s="20">
        <f t="shared" si="8"/>
        <v>4</v>
      </c>
      <c r="AF63" s="20">
        <f t="shared" si="9"/>
        <v>9</v>
      </c>
      <c r="AG63" s="20">
        <f t="shared" si="10"/>
        <v>6</v>
      </c>
      <c r="AH63" s="20">
        <f t="shared" si="11"/>
        <v>0</v>
      </c>
    </row>
    <row r="64" spans="1:34">
      <c r="A64" s="10" t="s">
        <v>979</v>
      </c>
      <c r="B64" s="10" t="s">
        <v>1111</v>
      </c>
      <c r="C64" s="10" t="s">
        <v>61</v>
      </c>
      <c r="D64" s="10" t="s">
        <v>3</v>
      </c>
      <c r="E64" s="10" t="s">
        <v>54</v>
      </c>
      <c r="F64" s="10" t="s">
        <v>9</v>
      </c>
      <c r="G64" s="10" t="s">
        <v>3</v>
      </c>
      <c r="H64" s="10" t="s">
        <v>1702</v>
      </c>
      <c r="I64" s="10" t="s">
        <v>41</v>
      </c>
      <c r="J64" s="10" t="s">
        <v>41</v>
      </c>
      <c r="K64" s="694" t="s">
        <v>45</v>
      </c>
      <c r="L64" s="694" t="s">
        <v>63</v>
      </c>
      <c r="M64" s="10" t="s">
        <v>1239</v>
      </c>
      <c r="N64" s="10">
        <v>109</v>
      </c>
      <c r="O64" s="10">
        <v>73</v>
      </c>
      <c r="P64" s="10">
        <v>36</v>
      </c>
      <c r="Q64" s="10">
        <v>11</v>
      </c>
      <c r="R64" s="10">
        <v>5</v>
      </c>
      <c r="S64" s="10">
        <v>36</v>
      </c>
      <c r="T64" s="10">
        <v>23</v>
      </c>
      <c r="U64" s="10">
        <v>12</v>
      </c>
      <c r="V64" s="10">
        <v>8</v>
      </c>
      <c r="W64" s="10">
        <v>20</v>
      </c>
      <c r="X64" s="10">
        <v>14</v>
      </c>
      <c r="Y64" s="10">
        <v>29</v>
      </c>
      <c r="Z64" s="10">
        <v>22</v>
      </c>
      <c r="AA64" s="10">
        <v>1</v>
      </c>
      <c r="AB64" s="10">
        <v>1</v>
      </c>
      <c r="AC64" s="20">
        <f t="shared" si="6"/>
        <v>6</v>
      </c>
      <c r="AD64" s="20">
        <f t="shared" si="7"/>
        <v>13</v>
      </c>
      <c r="AE64" s="20">
        <f t="shared" si="8"/>
        <v>4</v>
      </c>
      <c r="AF64" s="20">
        <f t="shared" si="9"/>
        <v>6</v>
      </c>
      <c r="AG64" s="20">
        <f t="shared" si="10"/>
        <v>7</v>
      </c>
      <c r="AH64" s="20">
        <f t="shared" si="11"/>
        <v>0</v>
      </c>
    </row>
    <row r="65" spans="1:34">
      <c r="A65" s="10" t="s">
        <v>980</v>
      </c>
      <c r="B65" s="10" t="s">
        <v>1112</v>
      </c>
      <c r="C65" s="10" t="s">
        <v>61</v>
      </c>
      <c r="D65" s="10" t="s">
        <v>5</v>
      </c>
      <c r="E65" s="10" t="s">
        <v>54</v>
      </c>
      <c r="F65" s="10" t="s">
        <v>9</v>
      </c>
      <c r="G65" s="10" t="s">
        <v>4</v>
      </c>
      <c r="H65" s="10" t="s">
        <v>56</v>
      </c>
      <c r="I65" s="10" t="s">
        <v>41</v>
      </c>
      <c r="J65" s="10" t="s">
        <v>42</v>
      </c>
      <c r="K65" s="694" t="s">
        <v>42</v>
      </c>
      <c r="L65" s="694" t="s">
        <v>63</v>
      </c>
      <c r="M65" s="10" t="s">
        <v>1674</v>
      </c>
      <c r="N65" s="10">
        <v>145</v>
      </c>
      <c r="O65" s="10">
        <v>70</v>
      </c>
      <c r="P65" s="10">
        <v>75</v>
      </c>
      <c r="Q65" s="10">
        <v>24</v>
      </c>
      <c r="R65" s="10">
        <v>12</v>
      </c>
      <c r="S65" s="10">
        <v>26</v>
      </c>
      <c r="T65" s="10">
        <v>14</v>
      </c>
      <c r="U65" s="10">
        <v>35</v>
      </c>
      <c r="V65" s="10">
        <v>21</v>
      </c>
      <c r="W65" s="10">
        <v>29</v>
      </c>
      <c r="X65" s="10">
        <v>7</v>
      </c>
      <c r="Y65" s="10">
        <v>18</v>
      </c>
      <c r="Z65" s="10">
        <v>7</v>
      </c>
      <c r="AA65" s="10">
        <v>13</v>
      </c>
      <c r="AB65" s="10">
        <v>9</v>
      </c>
      <c r="AC65" s="20">
        <f t="shared" si="6"/>
        <v>12</v>
      </c>
      <c r="AD65" s="20">
        <f t="shared" si="7"/>
        <v>12</v>
      </c>
      <c r="AE65" s="20">
        <f t="shared" si="8"/>
        <v>14</v>
      </c>
      <c r="AF65" s="20">
        <f t="shared" si="9"/>
        <v>22</v>
      </c>
      <c r="AG65" s="20">
        <f t="shared" si="10"/>
        <v>11</v>
      </c>
      <c r="AH65" s="20">
        <f t="shared" si="11"/>
        <v>4</v>
      </c>
    </row>
    <row r="66" spans="1:34">
      <c r="A66" s="10" t="s">
        <v>981</v>
      </c>
      <c r="B66" s="10" t="s">
        <v>1113</v>
      </c>
      <c r="C66" s="10" t="s">
        <v>61</v>
      </c>
      <c r="D66" s="10" t="s">
        <v>6</v>
      </c>
      <c r="E66" s="10" t="s">
        <v>54</v>
      </c>
      <c r="F66" s="10" t="s">
        <v>9</v>
      </c>
      <c r="G66" s="10" t="s">
        <v>5</v>
      </c>
      <c r="H66" s="10" t="s">
        <v>1705</v>
      </c>
      <c r="I66" s="10" t="s">
        <v>41</v>
      </c>
      <c r="J66" s="10" t="s">
        <v>41</v>
      </c>
      <c r="K66" s="694" t="s">
        <v>45</v>
      </c>
      <c r="L66" s="694" t="s">
        <v>63</v>
      </c>
      <c r="M66" s="10" t="s">
        <v>1240</v>
      </c>
      <c r="N66" s="10">
        <v>242</v>
      </c>
      <c r="O66" s="10">
        <v>152</v>
      </c>
      <c r="P66" s="10">
        <v>90</v>
      </c>
      <c r="Q66" s="10">
        <v>47</v>
      </c>
      <c r="R66" s="10">
        <v>32</v>
      </c>
      <c r="S66" s="10">
        <v>77</v>
      </c>
      <c r="T66" s="10">
        <v>43</v>
      </c>
      <c r="U66" s="10">
        <v>37</v>
      </c>
      <c r="V66" s="10">
        <v>26</v>
      </c>
      <c r="W66" s="10">
        <v>43</v>
      </c>
      <c r="X66" s="10">
        <v>27</v>
      </c>
      <c r="Y66" s="10">
        <v>23</v>
      </c>
      <c r="Z66" s="10">
        <v>14</v>
      </c>
      <c r="AA66" s="10">
        <v>15</v>
      </c>
      <c r="AB66" s="10">
        <v>10</v>
      </c>
      <c r="AC66" s="20">
        <f t="shared" si="6"/>
        <v>15</v>
      </c>
      <c r="AD66" s="20">
        <f t="shared" si="7"/>
        <v>34</v>
      </c>
      <c r="AE66" s="20">
        <f t="shared" si="8"/>
        <v>11</v>
      </c>
      <c r="AF66" s="20">
        <f t="shared" si="9"/>
        <v>16</v>
      </c>
      <c r="AG66" s="20">
        <f t="shared" si="10"/>
        <v>9</v>
      </c>
      <c r="AH66" s="20">
        <f t="shared" si="11"/>
        <v>5</v>
      </c>
    </row>
    <row r="67" spans="1:34">
      <c r="A67" s="10" t="s">
        <v>982</v>
      </c>
      <c r="B67" s="10" t="s">
        <v>1114</v>
      </c>
      <c r="C67" s="10" t="s">
        <v>61</v>
      </c>
      <c r="D67" s="10" t="s">
        <v>7</v>
      </c>
      <c r="E67" s="10" t="s">
        <v>54</v>
      </c>
      <c r="F67" s="10" t="s">
        <v>11</v>
      </c>
      <c r="G67" s="10" t="s">
        <v>3</v>
      </c>
      <c r="H67" s="10" t="s">
        <v>136</v>
      </c>
      <c r="I67" s="10" t="s">
        <v>41</v>
      </c>
      <c r="J67" s="10" t="s">
        <v>42</v>
      </c>
      <c r="K67" s="694" t="s">
        <v>45</v>
      </c>
      <c r="L67" s="694" t="s">
        <v>63</v>
      </c>
      <c r="M67" s="10" t="s">
        <v>1241</v>
      </c>
      <c r="N67" s="10">
        <v>105</v>
      </c>
      <c r="O67" s="10">
        <v>57</v>
      </c>
      <c r="P67" s="10">
        <v>48</v>
      </c>
      <c r="Q67" s="10">
        <v>18</v>
      </c>
      <c r="R67" s="10">
        <v>8</v>
      </c>
      <c r="S67" s="10">
        <v>24</v>
      </c>
      <c r="T67" s="10">
        <v>13</v>
      </c>
      <c r="U67" s="10">
        <v>20</v>
      </c>
      <c r="V67" s="10">
        <v>15</v>
      </c>
      <c r="W67" s="10">
        <v>18</v>
      </c>
      <c r="X67" s="10">
        <v>10</v>
      </c>
      <c r="Y67" s="10">
        <v>16</v>
      </c>
      <c r="Z67" s="10">
        <v>7</v>
      </c>
      <c r="AA67" s="10">
        <v>9</v>
      </c>
      <c r="AB67" s="10">
        <v>4</v>
      </c>
      <c r="AC67" s="20">
        <f t="shared" ref="AC67:AC98" si="12">+Q67-R67</f>
        <v>10</v>
      </c>
      <c r="AD67" s="20">
        <f t="shared" ref="AD67:AD98" si="13">+S67-T67</f>
        <v>11</v>
      </c>
      <c r="AE67" s="20">
        <f t="shared" ref="AE67:AE98" si="14">+U67-V67</f>
        <v>5</v>
      </c>
      <c r="AF67" s="20">
        <f t="shared" ref="AF67:AF98" si="15">+W67-X67</f>
        <v>8</v>
      </c>
      <c r="AG67" s="20">
        <f t="shared" ref="AG67:AG98" si="16">+Y67-Z67</f>
        <v>9</v>
      </c>
      <c r="AH67" s="20">
        <f t="shared" ref="AH67:AH98" si="17">+AA67-AB67</f>
        <v>5</v>
      </c>
    </row>
    <row r="68" spans="1:34">
      <c r="A68" s="10" t="s">
        <v>983</v>
      </c>
      <c r="B68" s="10" t="s">
        <v>1115</v>
      </c>
      <c r="C68" s="10" t="s">
        <v>61</v>
      </c>
      <c r="D68" s="10" t="s">
        <v>8</v>
      </c>
      <c r="E68" s="10" t="s">
        <v>54</v>
      </c>
      <c r="F68" s="10" t="s">
        <v>11</v>
      </c>
      <c r="G68" s="10" t="s">
        <v>4</v>
      </c>
      <c r="H68" s="10" t="s">
        <v>58</v>
      </c>
      <c r="I68" s="10" t="s">
        <v>41</v>
      </c>
      <c r="J68" s="10" t="s">
        <v>42</v>
      </c>
      <c r="K68" s="694" t="s">
        <v>45</v>
      </c>
      <c r="L68" s="694" t="s">
        <v>63</v>
      </c>
      <c r="M68" s="10" t="s">
        <v>1242</v>
      </c>
      <c r="N68" s="10">
        <v>203</v>
      </c>
      <c r="O68" s="10">
        <v>126</v>
      </c>
      <c r="P68" s="10">
        <v>77</v>
      </c>
      <c r="Q68" s="10">
        <v>48</v>
      </c>
      <c r="R68" s="10">
        <v>30</v>
      </c>
      <c r="S68" s="10">
        <v>29</v>
      </c>
      <c r="T68" s="10">
        <v>18</v>
      </c>
      <c r="U68" s="10">
        <v>27</v>
      </c>
      <c r="V68" s="10">
        <v>16</v>
      </c>
      <c r="W68" s="10">
        <v>51</v>
      </c>
      <c r="X68" s="10">
        <v>31</v>
      </c>
      <c r="Y68" s="10">
        <v>33</v>
      </c>
      <c r="Z68" s="10">
        <v>24</v>
      </c>
      <c r="AA68" s="10">
        <v>15</v>
      </c>
      <c r="AB68" s="10">
        <v>7</v>
      </c>
      <c r="AC68" s="20">
        <f t="shared" si="12"/>
        <v>18</v>
      </c>
      <c r="AD68" s="20">
        <f t="shared" si="13"/>
        <v>11</v>
      </c>
      <c r="AE68" s="20">
        <f t="shared" si="14"/>
        <v>11</v>
      </c>
      <c r="AF68" s="20">
        <f t="shared" si="15"/>
        <v>20</v>
      </c>
      <c r="AG68" s="20">
        <f t="shared" si="16"/>
        <v>9</v>
      </c>
      <c r="AH68" s="20">
        <f t="shared" si="17"/>
        <v>8</v>
      </c>
    </row>
    <row r="69" spans="1:34">
      <c r="A69" s="10" t="s">
        <v>984</v>
      </c>
      <c r="B69" s="10" t="s">
        <v>1116</v>
      </c>
      <c r="C69" s="10" t="s">
        <v>18</v>
      </c>
      <c r="D69" s="10" t="s">
        <v>6</v>
      </c>
      <c r="E69" s="10" t="s">
        <v>54</v>
      </c>
      <c r="F69" s="10" t="s">
        <v>12</v>
      </c>
      <c r="G69" s="10" t="s">
        <v>3</v>
      </c>
      <c r="H69" s="10" t="s">
        <v>1324</v>
      </c>
      <c r="I69" s="10" t="s">
        <v>41</v>
      </c>
      <c r="J69" s="10" t="s">
        <v>41</v>
      </c>
      <c r="K69" s="694" t="s">
        <v>45</v>
      </c>
      <c r="L69" s="694" t="s">
        <v>63</v>
      </c>
      <c r="M69" s="10" t="s">
        <v>1243</v>
      </c>
      <c r="N69" s="10">
        <v>288</v>
      </c>
      <c r="O69" s="10">
        <v>147</v>
      </c>
      <c r="P69" s="10">
        <v>141</v>
      </c>
      <c r="Q69" s="10">
        <v>57</v>
      </c>
      <c r="R69" s="10">
        <v>30</v>
      </c>
      <c r="S69" s="10">
        <v>97</v>
      </c>
      <c r="T69" s="10">
        <v>48</v>
      </c>
      <c r="U69" s="10">
        <v>53</v>
      </c>
      <c r="V69" s="10">
        <v>27</v>
      </c>
      <c r="W69" s="10">
        <v>51</v>
      </c>
      <c r="X69" s="10">
        <v>26</v>
      </c>
      <c r="Y69" s="10">
        <v>9</v>
      </c>
      <c r="Z69" s="10">
        <v>5</v>
      </c>
      <c r="AA69" s="10">
        <v>21</v>
      </c>
      <c r="AB69" s="10">
        <v>11</v>
      </c>
      <c r="AC69" s="20">
        <f t="shared" si="12"/>
        <v>27</v>
      </c>
      <c r="AD69" s="20">
        <f t="shared" si="13"/>
        <v>49</v>
      </c>
      <c r="AE69" s="20">
        <f t="shared" si="14"/>
        <v>26</v>
      </c>
      <c r="AF69" s="20">
        <f t="shared" si="15"/>
        <v>25</v>
      </c>
      <c r="AG69" s="20">
        <f t="shared" si="16"/>
        <v>4</v>
      </c>
      <c r="AH69" s="20">
        <f t="shared" si="17"/>
        <v>10</v>
      </c>
    </row>
    <row r="70" spans="1:34">
      <c r="A70" s="10" t="s">
        <v>985</v>
      </c>
      <c r="B70" s="10" t="s">
        <v>1117</v>
      </c>
      <c r="C70" s="10" t="s">
        <v>61</v>
      </c>
      <c r="D70" s="10" t="s">
        <v>13</v>
      </c>
      <c r="E70" s="10" t="s">
        <v>54</v>
      </c>
      <c r="F70" s="10" t="s">
        <v>13</v>
      </c>
      <c r="G70" s="10" t="s">
        <v>4</v>
      </c>
      <c r="H70" s="10" t="s">
        <v>143</v>
      </c>
      <c r="I70" s="10" t="s">
        <v>41</v>
      </c>
      <c r="J70" s="10" t="s">
        <v>42</v>
      </c>
      <c r="K70" s="694" t="s">
        <v>45</v>
      </c>
      <c r="L70" s="694" t="s">
        <v>63</v>
      </c>
      <c r="M70" s="10" t="s">
        <v>1244</v>
      </c>
      <c r="N70" s="10">
        <v>208</v>
      </c>
      <c r="O70" s="10">
        <v>129</v>
      </c>
      <c r="P70" s="10">
        <v>79</v>
      </c>
      <c r="Q70" s="10">
        <v>67</v>
      </c>
      <c r="R70" s="10">
        <v>45</v>
      </c>
      <c r="S70" s="10">
        <v>47</v>
      </c>
      <c r="T70" s="10">
        <v>36</v>
      </c>
      <c r="U70" s="10">
        <v>59</v>
      </c>
      <c r="V70" s="10">
        <v>27</v>
      </c>
      <c r="W70" s="10">
        <v>20</v>
      </c>
      <c r="X70" s="10">
        <v>12</v>
      </c>
      <c r="Y70" s="10">
        <v>5</v>
      </c>
      <c r="Z70" s="10">
        <v>3</v>
      </c>
      <c r="AA70" s="10">
        <v>10</v>
      </c>
      <c r="AB70" s="10">
        <v>6</v>
      </c>
      <c r="AC70" s="20">
        <f t="shared" si="12"/>
        <v>22</v>
      </c>
      <c r="AD70" s="20">
        <f t="shared" si="13"/>
        <v>11</v>
      </c>
      <c r="AE70" s="20">
        <f t="shared" si="14"/>
        <v>32</v>
      </c>
      <c r="AF70" s="20">
        <f t="shared" si="15"/>
        <v>8</v>
      </c>
      <c r="AG70" s="20">
        <f t="shared" si="16"/>
        <v>2</v>
      </c>
      <c r="AH70" s="20">
        <f t="shared" si="17"/>
        <v>4</v>
      </c>
    </row>
    <row r="71" spans="1:34">
      <c r="A71" s="10" t="s">
        <v>986</v>
      </c>
      <c r="B71" s="10" t="s">
        <v>1118</v>
      </c>
      <c r="C71" s="10" t="s">
        <v>100</v>
      </c>
      <c r="D71" s="10" t="s">
        <v>3</v>
      </c>
      <c r="E71" s="10" t="s">
        <v>50</v>
      </c>
      <c r="F71" s="10" t="s">
        <v>3</v>
      </c>
      <c r="G71" s="10" t="s">
        <v>3</v>
      </c>
      <c r="H71" s="10" t="s">
        <v>1325</v>
      </c>
      <c r="I71" s="10" t="s">
        <v>41</v>
      </c>
      <c r="J71" s="10" t="s">
        <v>41</v>
      </c>
      <c r="K71" s="694" t="s">
        <v>42</v>
      </c>
      <c r="L71" s="694" t="s">
        <v>63</v>
      </c>
      <c r="M71" s="10" t="s">
        <v>1245</v>
      </c>
      <c r="N71" s="10">
        <v>287</v>
      </c>
      <c r="O71" s="10">
        <v>144</v>
      </c>
      <c r="P71" s="10">
        <v>143</v>
      </c>
      <c r="Q71" s="10">
        <v>86</v>
      </c>
      <c r="R71" s="10">
        <v>41</v>
      </c>
      <c r="S71" s="10">
        <v>32</v>
      </c>
      <c r="T71" s="10">
        <v>18</v>
      </c>
      <c r="U71" s="10">
        <v>58</v>
      </c>
      <c r="V71" s="10">
        <v>28</v>
      </c>
      <c r="W71" s="10">
        <v>73</v>
      </c>
      <c r="X71" s="10">
        <v>37</v>
      </c>
      <c r="Y71" s="10">
        <v>26</v>
      </c>
      <c r="Z71" s="10">
        <v>11</v>
      </c>
      <c r="AA71" s="10">
        <v>12</v>
      </c>
      <c r="AB71" s="10">
        <v>9</v>
      </c>
      <c r="AC71" s="20">
        <f t="shared" si="12"/>
        <v>45</v>
      </c>
      <c r="AD71" s="20">
        <f t="shared" si="13"/>
        <v>14</v>
      </c>
      <c r="AE71" s="20">
        <f t="shared" si="14"/>
        <v>30</v>
      </c>
      <c r="AF71" s="20">
        <f t="shared" si="15"/>
        <v>36</v>
      </c>
      <c r="AG71" s="20">
        <f t="shared" si="16"/>
        <v>15</v>
      </c>
      <c r="AH71" s="20">
        <f t="shared" si="17"/>
        <v>3</v>
      </c>
    </row>
    <row r="72" spans="1:34">
      <c r="A72" s="10" t="s">
        <v>987</v>
      </c>
      <c r="B72" s="10" t="s">
        <v>1119</v>
      </c>
      <c r="C72" s="10" t="s">
        <v>100</v>
      </c>
      <c r="D72" s="10" t="s">
        <v>5</v>
      </c>
      <c r="E72" s="10" t="s">
        <v>50</v>
      </c>
      <c r="F72" s="10" t="s">
        <v>3</v>
      </c>
      <c r="G72" s="10" t="s">
        <v>4</v>
      </c>
      <c r="H72" s="10" t="s">
        <v>1326</v>
      </c>
      <c r="I72" s="10" t="s">
        <v>41</v>
      </c>
      <c r="J72" s="10" t="s">
        <v>42</v>
      </c>
      <c r="K72" s="694" t="s">
        <v>42</v>
      </c>
      <c r="L72" s="694" t="s">
        <v>63</v>
      </c>
      <c r="M72" s="10" t="s">
        <v>2510</v>
      </c>
      <c r="N72" s="10">
        <v>323</v>
      </c>
      <c r="O72" s="10">
        <v>194</v>
      </c>
      <c r="P72" s="10">
        <v>129</v>
      </c>
      <c r="Q72" s="10">
        <v>89</v>
      </c>
      <c r="R72" s="10">
        <v>56</v>
      </c>
      <c r="S72" s="10">
        <v>50</v>
      </c>
      <c r="T72" s="10">
        <v>39</v>
      </c>
      <c r="U72" s="10">
        <v>39</v>
      </c>
      <c r="V72" s="10">
        <v>24</v>
      </c>
      <c r="W72" s="10">
        <v>94</v>
      </c>
      <c r="X72" s="10">
        <v>53</v>
      </c>
      <c r="Y72" s="10">
        <v>51</v>
      </c>
      <c r="Z72" s="10">
        <v>22</v>
      </c>
      <c r="AA72" s="10">
        <v>0</v>
      </c>
      <c r="AB72" s="10">
        <v>0</v>
      </c>
      <c r="AC72" s="20">
        <f t="shared" si="12"/>
        <v>33</v>
      </c>
      <c r="AD72" s="20">
        <f t="shared" si="13"/>
        <v>11</v>
      </c>
      <c r="AE72" s="20">
        <f t="shared" si="14"/>
        <v>15</v>
      </c>
      <c r="AF72" s="20">
        <f t="shared" si="15"/>
        <v>41</v>
      </c>
      <c r="AG72" s="20">
        <f t="shared" si="16"/>
        <v>29</v>
      </c>
      <c r="AH72" s="20">
        <f t="shared" si="17"/>
        <v>0</v>
      </c>
    </row>
    <row r="73" spans="1:34">
      <c r="A73" s="10" t="s">
        <v>988</v>
      </c>
      <c r="B73" s="10" t="s">
        <v>1120</v>
      </c>
      <c r="C73" s="10" t="s">
        <v>142</v>
      </c>
      <c r="D73" s="10" t="s">
        <v>3</v>
      </c>
      <c r="E73" s="10" t="s">
        <v>50</v>
      </c>
      <c r="F73" s="10" t="s">
        <v>4</v>
      </c>
      <c r="G73" s="10" t="s">
        <v>3</v>
      </c>
      <c r="H73" s="10" t="s">
        <v>1327</v>
      </c>
      <c r="I73" s="10" t="s">
        <v>41</v>
      </c>
      <c r="J73" s="10" t="s">
        <v>41</v>
      </c>
      <c r="K73" s="694" t="s">
        <v>45</v>
      </c>
      <c r="L73" s="694" t="s">
        <v>63</v>
      </c>
      <c r="M73" s="10" t="s">
        <v>2512</v>
      </c>
      <c r="N73" s="10">
        <v>361</v>
      </c>
      <c r="O73" s="10">
        <v>205</v>
      </c>
      <c r="P73" s="10">
        <v>156</v>
      </c>
      <c r="Q73" s="10">
        <v>58</v>
      </c>
      <c r="R73" s="10">
        <v>38</v>
      </c>
      <c r="S73" s="10">
        <v>70</v>
      </c>
      <c r="T73" s="10">
        <v>39</v>
      </c>
      <c r="U73" s="10">
        <v>148</v>
      </c>
      <c r="V73" s="10">
        <v>81</v>
      </c>
      <c r="W73" s="10">
        <v>20</v>
      </c>
      <c r="X73" s="10">
        <v>12</v>
      </c>
      <c r="Y73" s="10">
        <v>46</v>
      </c>
      <c r="Z73" s="10">
        <v>16</v>
      </c>
      <c r="AA73" s="10">
        <v>19</v>
      </c>
      <c r="AB73" s="10">
        <v>19</v>
      </c>
      <c r="AC73" s="20">
        <f t="shared" si="12"/>
        <v>20</v>
      </c>
      <c r="AD73" s="20">
        <f t="shared" si="13"/>
        <v>31</v>
      </c>
      <c r="AE73" s="20">
        <f t="shared" si="14"/>
        <v>67</v>
      </c>
      <c r="AF73" s="20">
        <f t="shared" si="15"/>
        <v>8</v>
      </c>
      <c r="AG73" s="20">
        <f t="shared" si="16"/>
        <v>30</v>
      </c>
      <c r="AH73" s="20">
        <f t="shared" si="17"/>
        <v>0</v>
      </c>
    </row>
    <row r="74" spans="1:34">
      <c r="A74" s="10" t="s">
        <v>989</v>
      </c>
      <c r="B74" s="10" t="s">
        <v>1121</v>
      </c>
      <c r="C74" s="10" t="s">
        <v>100</v>
      </c>
      <c r="D74" s="10" t="s">
        <v>6</v>
      </c>
      <c r="E74" s="10" t="s">
        <v>50</v>
      </c>
      <c r="F74" s="10" t="s">
        <v>5</v>
      </c>
      <c r="G74" s="10" t="s">
        <v>3</v>
      </c>
      <c r="H74" s="10" t="s">
        <v>116</v>
      </c>
      <c r="I74" s="10" t="s">
        <v>41</v>
      </c>
      <c r="J74" s="10" t="s">
        <v>41</v>
      </c>
      <c r="K74" s="694" t="s">
        <v>45</v>
      </c>
      <c r="L74" s="694" t="s">
        <v>63</v>
      </c>
      <c r="M74" s="10" t="s">
        <v>2513</v>
      </c>
      <c r="N74" s="10">
        <v>283</v>
      </c>
      <c r="O74" s="10">
        <v>154</v>
      </c>
      <c r="P74" s="10">
        <v>129</v>
      </c>
      <c r="Q74" s="10">
        <v>80</v>
      </c>
      <c r="R74" s="10">
        <v>45</v>
      </c>
      <c r="S74" s="10">
        <v>87</v>
      </c>
      <c r="T74" s="10">
        <v>40</v>
      </c>
      <c r="U74" s="10">
        <v>32</v>
      </c>
      <c r="V74" s="10">
        <v>22</v>
      </c>
      <c r="W74" s="10">
        <v>40</v>
      </c>
      <c r="X74" s="10">
        <v>22</v>
      </c>
      <c r="Y74" s="10">
        <v>20</v>
      </c>
      <c r="Z74" s="10">
        <v>13</v>
      </c>
      <c r="AA74" s="10">
        <v>24</v>
      </c>
      <c r="AB74" s="10">
        <v>12</v>
      </c>
      <c r="AC74" s="20">
        <f t="shared" si="12"/>
        <v>35</v>
      </c>
      <c r="AD74" s="20">
        <f t="shared" si="13"/>
        <v>47</v>
      </c>
      <c r="AE74" s="20">
        <f t="shared" si="14"/>
        <v>10</v>
      </c>
      <c r="AF74" s="20">
        <f t="shared" si="15"/>
        <v>18</v>
      </c>
      <c r="AG74" s="20">
        <f t="shared" si="16"/>
        <v>7</v>
      </c>
      <c r="AH74" s="20">
        <f t="shared" si="17"/>
        <v>12</v>
      </c>
    </row>
    <row r="75" spans="1:34">
      <c r="A75" s="10" t="s">
        <v>990</v>
      </c>
      <c r="B75" s="10" t="s">
        <v>1122</v>
      </c>
      <c r="C75" s="10" t="s">
        <v>181</v>
      </c>
      <c r="D75" s="10" t="s">
        <v>3</v>
      </c>
      <c r="E75" s="10" t="s">
        <v>50</v>
      </c>
      <c r="F75" s="10" t="s">
        <v>6</v>
      </c>
      <c r="G75" s="10" t="s">
        <v>3</v>
      </c>
      <c r="H75" s="10" t="s">
        <v>2546</v>
      </c>
      <c r="I75" s="10" t="s">
        <v>41</v>
      </c>
      <c r="J75" s="10" t="s">
        <v>42</v>
      </c>
      <c r="K75" s="694" t="s">
        <v>41</v>
      </c>
      <c r="L75" s="694" t="s">
        <v>63</v>
      </c>
      <c r="M75" s="10" t="s">
        <v>1246</v>
      </c>
      <c r="N75" s="10">
        <v>78</v>
      </c>
      <c r="O75" s="10">
        <v>49</v>
      </c>
      <c r="P75" s="10">
        <v>29</v>
      </c>
      <c r="Q75" s="10">
        <v>48</v>
      </c>
      <c r="R75" s="10">
        <v>27</v>
      </c>
      <c r="S75" s="10">
        <v>14</v>
      </c>
      <c r="T75" s="10">
        <v>8</v>
      </c>
      <c r="U75" s="10">
        <v>15</v>
      </c>
      <c r="V75" s="10">
        <v>13</v>
      </c>
      <c r="W75" s="10">
        <v>0</v>
      </c>
      <c r="X75" s="10">
        <v>0</v>
      </c>
      <c r="Y75" s="10">
        <v>0</v>
      </c>
      <c r="Z75" s="10">
        <v>0</v>
      </c>
      <c r="AA75" s="10">
        <v>1</v>
      </c>
      <c r="AB75" s="10">
        <v>1</v>
      </c>
      <c r="AC75" s="20">
        <f t="shared" si="12"/>
        <v>21</v>
      </c>
      <c r="AD75" s="20">
        <f t="shared" si="13"/>
        <v>6</v>
      </c>
      <c r="AE75" s="20">
        <f t="shared" si="14"/>
        <v>2</v>
      </c>
      <c r="AF75" s="20">
        <f t="shared" si="15"/>
        <v>0</v>
      </c>
      <c r="AG75" s="20">
        <f t="shared" si="16"/>
        <v>0</v>
      </c>
      <c r="AH75" s="20">
        <f t="shared" si="17"/>
        <v>0</v>
      </c>
    </row>
    <row r="76" spans="1:34">
      <c r="A76" s="10" t="s">
        <v>991</v>
      </c>
      <c r="B76" s="10" t="s">
        <v>1123</v>
      </c>
      <c r="C76" s="10" t="s">
        <v>100</v>
      </c>
      <c r="D76" s="10" t="s">
        <v>12</v>
      </c>
      <c r="E76" s="10" t="s">
        <v>50</v>
      </c>
      <c r="F76" s="10" t="s">
        <v>7</v>
      </c>
      <c r="G76" s="10" t="s">
        <v>4</v>
      </c>
      <c r="H76" s="10" t="s">
        <v>157</v>
      </c>
      <c r="I76" s="10" t="s">
        <v>41</v>
      </c>
      <c r="J76" s="10" t="s">
        <v>41</v>
      </c>
      <c r="K76" s="694" t="s">
        <v>42</v>
      </c>
      <c r="L76" s="694" t="s">
        <v>63</v>
      </c>
      <c r="M76" s="10" t="s">
        <v>1247</v>
      </c>
      <c r="N76" s="10">
        <v>281</v>
      </c>
      <c r="O76" s="10">
        <v>144</v>
      </c>
      <c r="P76" s="10">
        <v>137</v>
      </c>
      <c r="Q76" s="10">
        <v>38</v>
      </c>
      <c r="R76" s="10">
        <v>19</v>
      </c>
      <c r="S76" s="10">
        <v>30</v>
      </c>
      <c r="T76" s="10">
        <v>15</v>
      </c>
      <c r="U76" s="10">
        <v>84</v>
      </c>
      <c r="V76" s="10">
        <v>41</v>
      </c>
      <c r="W76" s="10">
        <v>57</v>
      </c>
      <c r="X76" s="10">
        <v>29</v>
      </c>
      <c r="Y76" s="10">
        <v>22</v>
      </c>
      <c r="Z76" s="10">
        <v>13</v>
      </c>
      <c r="AA76" s="10">
        <v>50</v>
      </c>
      <c r="AB76" s="10">
        <v>27</v>
      </c>
      <c r="AC76" s="20">
        <f t="shared" si="12"/>
        <v>19</v>
      </c>
      <c r="AD76" s="20">
        <f t="shared" si="13"/>
        <v>15</v>
      </c>
      <c r="AE76" s="20">
        <f t="shared" si="14"/>
        <v>43</v>
      </c>
      <c r="AF76" s="20">
        <f t="shared" si="15"/>
        <v>28</v>
      </c>
      <c r="AG76" s="20">
        <f t="shared" si="16"/>
        <v>9</v>
      </c>
      <c r="AH76" s="20">
        <f t="shared" si="17"/>
        <v>23</v>
      </c>
    </row>
    <row r="77" spans="1:34">
      <c r="A77" s="10" t="s">
        <v>86</v>
      </c>
      <c r="B77" s="10" t="s">
        <v>1124</v>
      </c>
      <c r="C77" s="10" t="s">
        <v>142</v>
      </c>
      <c r="D77" s="10" t="s">
        <v>6</v>
      </c>
      <c r="E77" s="10" t="s">
        <v>50</v>
      </c>
      <c r="F77" s="10" t="s">
        <v>8</v>
      </c>
      <c r="G77" s="10" t="s">
        <v>3</v>
      </c>
      <c r="H77" s="10" t="s">
        <v>811</v>
      </c>
      <c r="I77" s="10" t="s">
        <v>41</v>
      </c>
      <c r="J77" s="10" t="s">
        <v>41</v>
      </c>
      <c r="K77" s="694" t="s">
        <v>45</v>
      </c>
      <c r="L77" s="694" t="s">
        <v>63</v>
      </c>
      <c r="M77" s="10" t="s">
        <v>2514</v>
      </c>
      <c r="N77" s="10">
        <v>192</v>
      </c>
      <c r="O77" s="10">
        <v>121</v>
      </c>
      <c r="P77" s="10">
        <v>71</v>
      </c>
      <c r="Q77" s="10">
        <v>38</v>
      </c>
      <c r="R77" s="10">
        <v>24</v>
      </c>
      <c r="S77" s="10">
        <v>39</v>
      </c>
      <c r="T77" s="10">
        <v>23</v>
      </c>
      <c r="U77" s="10">
        <v>46</v>
      </c>
      <c r="V77" s="10">
        <v>33</v>
      </c>
      <c r="W77" s="10">
        <v>32</v>
      </c>
      <c r="X77" s="10">
        <v>19</v>
      </c>
      <c r="Y77" s="10">
        <v>28</v>
      </c>
      <c r="Z77" s="10">
        <v>16</v>
      </c>
      <c r="AA77" s="10">
        <v>9</v>
      </c>
      <c r="AB77" s="10">
        <v>6</v>
      </c>
      <c r="AC77" s="20">
        <f t="shared" si="12"/>
        <v>14</v>
      </c>
      <c r="AD77" s="20">
        <f t="shared" si="13"/>
        <v>16</v>
      </c>
      <c r="AE77" s="20">
        <f t="shared" si="14"/>
        <v>13</v>
      </c>
      <c r="AF77" s="20">
        <f t="shared" si="15"/>
        <v>13</v>
      </c>
      <c r="AG77" s="20">
        <f t="shared" si="16"/>
        <v>12</v>
      </c>
      <c r="AH77" s="20">
        <f t="shared" si="17"/>
        <v>3</v>
      </c>
    </row>
    <row r="78" spans="1:34">
      <c r="A78" s="10" t="s">
        <v>992</v>
      </c>
      <c r="B78" s="10" t="s">
        <v>1125</v>
      </c>
      <c r="C78" s="10" t="s">
        <v>18</v>
      </c>
      <c r="D78" s="10" t="s">
        <v>7</v>
      </c>
      <c r="E78" s="10" t="s">
        <v>54</v>
      </c>
      <c r="F78" s="10" t="s">
        <v>16</v>
      </c>
      <c r="G78" s="10" t="s">
        <v>3</v>
      </c>
      <c r="H78" s="10" t="s">
        <v>124</v>
      </c>
      <c r="I78" s="10" t="s">
        <v>41</v>
      </c>
      <c r="J78" s="10" t="s">
        <v>41</v>
      </c>
      <c r="K78" s="694" t="s">
        <v>41</v>
      </c>
      <c r="L78" s="694" t="s">
        <v>63</v>
      </c>
      <c r="M78" s="10" t="s">
        <v>1248</v>
      </c>
      <c r="N78" s="10">
        <v>313</v>
      </c>
      <c r="O78" s="10">
        <v>162</v>
      </c>
      <c r="P78" s="10">
        <v>151</v>
      </c>
      <c r="Q78" s="10">
        <v>71</v>
      </c>
      <c r="R78" s="10">
        <v>41</v>
      </c>
      <c r="S78" s="10">
        <v>76</v>
      </c>
      <c r="T78" s="10">
        <v>41</v>
      </c>
      <c r="U78" s="10">
        <v>88</v>
      </c>
      <c r="V78" s="10">
        <v>40</v>
      </c>
      <c r="W78" s="10">
        <v>55</v>
      </c>
      <c r="X78" s="10">
        <v>30</v>
      </c>
      <c r="Y78" s="10">
        <v>18</v>
      </c>
      <c r="Z78" s="10">
        <v>8</v>
      </c>
      <c r="AA78" s="10">
        <v>5</v>
      </c>
      <c r="AB78" s="10">
        <v>2</v>
      </c>
      <c r="AC78" s="20">
        <f t="shared" si="12"/>
        <v>30</v>
      </c>
      <c r="AD78" s="20">
        <f t="shared" si="13"/>
        <v>35</v>
      </c>
      <c r="AE78" s="20">
        <f t="shared" si="14"/>
        <v>48</v>
      </c>
      <c r="AF78" s="20">
        <f t="shared" si="15"/>
        <v>25</v>
      </c>
      <c r="AG78" s="20">
        <f t="shared" si="16"/>
        <v>10</v>
      </c>
      <c r="AH78" s="20">
        <f t="shared" si="17"/>
        <v>3</v>
      </c>
    </row>
    <row r="79" spans="1:34">
      <c r="A79" s="10" t="s">
        <v>993</v>
      </c>
      <c r="B79" s="10" t="s">
        <v>1126</v>
      </c>
      <c r="C79" s="10" t="s">
        <v>141</v>
      </c>
      <c r="D79" s="10" t="s">
        <v>3</v>
      </c>
      <c r="E79" s="10" t="s">
        <v>41</v>
      </c>
      <c r="F79" s="10" t="s">
        <v>5</v>
      </c>
      <c r="G79" s="10" t="s">
        <v>13</v>
      </c>
      <c r="H79" s="10" t="s">
        <v>112</v>
      </c>
      <c r="I79" s="10" t="s">
        <v>41</v>
      </c>
      <c r="J79" s="10" t="s">
        <v>41</v>
      </c>
      <c r="K79" s="694" t="s">
        <v>42</v>
      </c>
      <c r="L79" s="694" t="s">
        <v>63</v>
      </c>
      <c r="M79" s="10" t="s">
        <v>1249</v>
      </c>
      <c r="N79" s="10">
        <v>125</v>
      </c>
      <c r="O79" s="10">
        <v>61</v>
      </c>
      <c r="P79" s="10">
        <v>64</v>
      </c>
      <c r="Q79" s="10">
        <v>35</v>
      </c>
      <c r="R79" s="10">
        <v>16</v>
      </c>
      <c r="S79" s="10">
        <v>38</v>
      </c>
      <c r="T79" s="10">
        <v>20</v>
      </c>
      <c r="U79" s="10">
        <v>13</v>
      </c>
      <c r="V79" s="10">
        <v>6</v>
      </c>
      <c r="W79" s="10">
        <v>17</v>
      </c>
      <c r="X79" s="10">
        <v>8</v>
      </c>
      <c r="Y79" s="10">
        <v>13</v>
      </c>
      <c r="Z79" s="10">
        <v>6</v>
      </c>
      <c r="AA79" s="10">
        <v>9</v>
      </c>
      <c r="AB79" s="10">
        <v>5</v>
      </c>
      <c r="AC79" s="20">
        <f t="shared" si="12"/>
        <v>19</v>
      </c>
      <c r="AD79" s="20">
        <f t="shared" si="13"/>
        <v>18</v>
      </c>
      <c r="AE79" s="20">
        <f t="shared" si="14"/>
        <v>7</v>
      </c>
      <c r="AF79" s="20">
        <f t="shared" si="15"/>
        <v>9</v>
      </c>
      <c r="AG79" s="20">
        <f t="shared" si="16"/>
        <v>7</v>
      </c>
      <c r="AH79" s="20">
        <f t="shared" si="17"/>
        <v>4</v>
      </c>
    </row>
    <row r="80" spans="1:34">
      <c r="A80" s="10" t="s">
        <v>994</v>
      </c>
      <c r="B80" s="10" t="s">
        <v>1127</v>
      </c>
      <c r="C80" s="10" t="s">
        <v>9</v>
      </c>
      <c r="D80" s="10" t="s">
        <v>9</v>
      </c>
      <c r="E80" s="10" t="s">
        <v>63</v>
      </c>
      <c r="F80" s="10" t="s">
        <v>11</v>
      </c>
      <c r="G80" s="10" t="s">
        <v>3</v>
      </c>
      <c r="H80" s="10" t="s">
        <v>1328</v>
      </c>
      <c r="I80" s="10" t="s">
        <v>41</v>
      </c>
      <c r="J80" s="10" t="s">
        <v>41</v>
      </c>
      <c r="K80" s="694" t="s">
        <v>42</v>
      </c>
      <c r="L80" s="694" t="s">
        <v>63</v>
      </c>
      <c r="M80" s="10" t="s">
        <v>1250</v>
      </c>
      <c r="N80" s="10">
        <v>21</v>
      </c>
      <c r="O80" s="10">
        <v>12</v>
      </c>
      <c r="P80" s="10">
        <v>9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15</v>
      </c>
      <c r="X80" s="10">
        <v>7</v>
      </c>
      <c r="Y80" s="10">
        <v>6</v>
      </c>
      <c r="Z80" s="10">
        <v>5</v>
      </c>
      <c r="AA80" s="10">
        <v>0</v>
      </c>
      <c r="AB80" s="10">
        <v>0</v>
      </c>
      <c r="AC80" s="20">
        <f t="shared" si="12"/>
        <v>0</v>
      </c>
      <c r="AD80" s="20">
        <f t="shared" si="13"/>
        <v>0</v>
      </c>
      <c r="AE80" s="20">
        <f t="shared" si="14"/>
        <v>0</v>
      </c>
      <c r="AF80" s="20">
        <f t="shared" si="15"/>
        <v>8</v>
      </c>
      <c r="AG80" s="20">
        <f t="shared" si="16"/>
        <v>1</v>
      </c>
      <c r="AH80" s="20">
        <f t="shared" si="17"/>
        <v>0</v>
      </c>
    </row>
    <row r="81" spans="1:34">
      <c r="A81" s="10" t="s">
        <v>995</v>
      </c>
      <c r="B81" s="10" t="s">
        <v>1128</v>
      </c>
      <c r="C81" s="10" t="s">
        <v>16</v>
      </c>
      <c r="D81" s="10" t="s">
        <v>4</v>
      </c>
      <c r="E81" s="10" t="s">
        <v>69</v>
      </c>
      <c r="F81" s="10" t="s">
        <v>9</v>
      </c>
      <c r="G81" s="10" t="s">
        <v>3</v>
      </c>
      <c r="H81" s="10" t="s">
        <v>1329</v>
      </c>
      <c r="I81" s="10" t="s">
        <v>41</v>
      </c>
      <c r="J81" s="10" t="s">
        <v>42</v>
      </c>
      <c r="K81" s="694" t="s">
        <v>42</v>
      </c>
      <c r="L81" s="694" t="s">
        <v>63</v>
      </c>
      <c r="M81" s="10" t="s">
        <v>1251</v>
      </c>
      <c r="N81" s="10">
        <v>295</v>
      </c>
      <c r="O81" s="10">
        <v>175</v>
      </c>
      <c r="P81" s="10">
        <v>120</v>
      </c>
      <c r="Q81" s="10">
        <v>64</v>
      </c>
      <c r="R81" s="10">
        <v>33</v>
      </c>
      <c r="S81" s="10">
        <v>82</v>
      </c>
      <c r="T81" s="10">
        <v>50</v>
      </c>
      <c r="U81" s="10">
        <v>46</v>
      </c>
      <c r="V81" s="10">
        <v>32</v>
      </c>
      <c r="W81" s="10">
        <v>63</v>
      </c>
      <c r="X81" s="10">
        <v>33</v>
      </c>
      <c r="Y81" s="10">
        <v>37</v>
      </c>
      <c r="Z81" s="10">
        <v>27</v>
      </c>
      <c r="AA81" s="10">
        <v>3</v>
      </c>
      <c r="AB81" s="10">
        <v>0</v>
      </c>
      <c r="AC81" s="20">
        <f t="shared" si="12"/>
        <v>31</v>
      </c>
      <c r="AD81" s="20">
        <f t="shared" si="13"/>
        <v>32</v>
      </c>
      <c r="AE81" s="20">
        <f t="shared" si="14"/>
        <v>14</v>
      </c>
      <c r="AF81" s="20">
        <f t="shared" si="15"/>
        <v>30</v>
      </c>
      <c r="AG81" s="20">
        <f t="shared" si="16"/>
        <v>10</v>
      </c>
      <c r="AH81" s="20">
        <f t="shared" si="17"/>
        <v>3</v>
      </c>
    </row>
    <row r="82" spans="1:34">
      <c r="A82" s="10" t="s">
        <v>996</v>
      </c>
      <c r="B82" s="10" t="s">
        <v>1129</v>
      </c>
      <c r="C82" s="10" t="s">
        <v>179</v>
      </c>
      <c r="D82" s="10" t="s">
        <v>6</v>
      </c>
      <c r="E82" s="10" t="s">
        <v>41</v>
      </c>
      <c r="F82" s="10" t="s">
        <v>12</v>
      </c>
      <c r="G82" s="10" t="s">
        <v>5</v>
      </c>
      <c r="H82" s="10" t="s">
        <v>1330</v>
      </c>
      <c r="I82" s="10" t="s">
        <v>41</v>
      </c>
      <c r="J82" s="10" t="s">
        <v>41</v>
      </c>
      <c r="K82" s="694" t="s">
        <v>41</v>
      </c>
      <c r="L82" s="694" t="s">
        <v>63</v>
      </c>
      <c r="M82" s="10" t="s">
        <v>2516</v>
      </c>
      <c r="N82" s="10">
        <v>75</v>
      </c>
      <c r="O82" s="10">
        <v>36</v>
      </c>
      <c r="P82" s="10">
        <v>39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32</v>
      </c>
      <c r="X82" s="10">
        <v>14</v>
      </c>
      <c r="Y82" s="10">
        <v>37</v>
      </c>
      <c r="Z82" s="10">
        <v>17</v>
      </c>
      <c r="AA82" s="10">
        <v>6</v>
      </c>
      <c r="AB82" s="10">
        <v>5</v>
      </c>
      <c r="AC82" s="20">
        <f t="shared" si="12"/>
        <v>0</v>
      </c>
      <c r="AD82" s="20">
        <f t="shared" si="13"/>
        <v>0</v>
      </c>
      <c r="AE82" s="20">
        <f t="shared" si="14"/>
        <v>0</v>
      </c>
      <c r="AF82" s="20">
        <f t="shared" si="15"/>
        <v>18</v>
      </c>
      <c r="AG82" s="20">
        <f t="shared" si="16"/>
        <v>20</v>
      </c>
      <c r="AH82" s="20">
        <f t="shared" si="17"/>
        <v>1</v>
      </c>
    </row>
    <row r="83" spans="1:34">
      <c r="A83" s="10" t="s">
        <v>997</v>
      </c>
      <c r="B83" s="10" t="s">
        <v>1130</v>
      </c>
      <c r="C83" s="10" t="s">
        <v>179</v>
      </c>
      <c r="D83" s="10" t="s">
        <v>5</v>
      </c>
      <c r="E83" s="10" t="s">
        <v>41</v>
      </c>
      <c r="F83" s="10" t="s">
        <v>4</v>
      </c>
      <c r="G83" s="10" t="s">
        <v>3</v>
      </c>
      <c r="H83" s="10" t="s">
        <v>147</v>
      </c>
      <c r="I83" s="10" t="s">
        <v>41</v>
      </c>
      <c r="J83" s="10" t="s">
        <v>41</v>
      </c>
      <c r="K83" s="694" t="s">
        <v>41</v>
      </c>
      <c r="L83" s="694" t="s">
        <v>63</v>
      </c>
      <c r="M83" s="10" t="s">
        <v>1675</v>
      </c>
      <c r="N83" s="10">
        <v>25</v>
      </c>
      <c r="O83" s="10">
        <v>11</v>
      </c>
      <c r="P83" s="10">
        <v>14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11</v>
      </c>
      <c r="X83" s="10">
        <v>3</v>
      </c>
      <c r="Y83" s="10">
        <v>13</v>
      </c>
      <c r="Z83" s="10">
        <v>7</v>
      </c>
      <c r="AA83" s="10">
        <v>1</v>
      </c>
      <c r="AB83" s="10">
        <v>1</v>
      </c>
      <c r="AC83" s="20">
        <f t="shared" si="12"/>
        <v>0</v>
      </c>
      <c r="AD83" s="20">
        <f t="shared" si="13"/>
        <v>0</v>
      </c>
      <c r="AE83" s="20">
        <f t="shared" si="14"/>
        <v>0</v>
      </c>
      <c r="AF83" s="20">
        <f t="shared" si="15"/>
        <v>8</v>
      </c>
      <c r="AG83" s="20">
        <f t="shared" si="16"/>
        <v>6</v>
      </c>
      <c r="AH83" s="20">
        <f t="shared" si="17"/>
        <v>0</v>
      </c>
    </row>
    <row r="84" spans="1:34">
      <c r="A84" s="10" t="s">
        <v>998</v>
      </c>
      <c r="B84" s="10" t="s">
        <v>1131</v>
      </c>
      <c r="C84" s="10" t="s">
        <v>7</v>
      </c>
      <c r="D84" s="10" t="s">
        <v>9</v>
      </c>
      <c r="E84" s="10" t="s">
        <v>45</v>
      </c>
      <c r="F84" s="10" t="s">
        <v>3</v>
      </c>
      <c r="G84" s="10" t="s">
        <v>16</v>
      </c>
      <c r="H84" s="10" t="s">
        <v>144</v>
      </c>
      <c r="I84" s="10" t="s">
        <v>41</v>
      </c>
      <c r="J84" s="10" t="s">
        <v>41</v>
      </c>
      <c r="K84" s="694" t="s">
        <v>41</v>
      </c>
      <c r="L84" s="694" t="s">
        <v>63</v>
      </c>
      <c r="M84" s="10" t="s">
        <v>1252</v>
      </c>
      <c r="N84" s="10">
        <v>65</v>
      </c>
      <c r="O84" s="10">
        <v>39</v>
      </c>
      <c r="P84" s="10">
        <v>26</v>
      </c>
      <c r="Q84" s="10">
        <v>14</v>
      </c>
      <c r="R84" s="10">
        <v>6</v>
      </c>
      <c r="S84" s="10">
        <v>20</v>
      </c>
      <c r="T84" s="10">
        <v>14</v>
      </c>
      <c r="U84" s="10">
        <v>19</v>
      </c>
      <c r="V84" s="10">
        <v>10</v>
      </c>
      <c r="W84" s="10">
        <v>5</v>
      </c>
      <c r="X84" s="10">
        <v>4</v>
      </c>
      <c r="Y84" s="10">
        <v>7</v>
      </c>
      <c r="Z84" s="10">
        <v>5</v>
      </c>
      <c r="AA84" s="10">
        <v>0</v>
      </c>
      <c r="AB84" s="10">
        <v>0</v>
      </c>
      <c r="AC84" s="20">
        <f t="shared" si="12"/>
        <v>8</v>
      </c>
      <c r="AD84" s="20">
        <f t="shared" si="13"/>
        <v>6</v>
      </c>
      <c r="AE84" s="20">
        <f t="shared" si="14"/>
        <v>9</v>
      </c>
      <c r="AF84" s="20">
        <f t="shared" si="15"/>
        <v>1</v>
      </c>
      <c r="AG84" s="20">
        <f t="shared" si="16"/>
        <v>2</v>
      </c>
      <c r="AH84" s="20">
        <f t="shared" si="17"/>
        <v>0</v>
      </c>
    </row>
    <row r="85" spans="1:34">
      <c r="A85" s="10" t="s">
        <v>999</v>
      </c>
      <c r="B85" s="10" t="s">
        <v>1132</v>
      </c>
      <c r="C85" s="10" t="s">
        <v>16</v>
      </c>
      <c r="D85" s="10" t="s">
        <v>5</v>
      </c>
      <c r="E85" s="10" t="s">
        <v>69</v>
      </c>
      <c r="F85" s="10" t="s">
        <v>11</v>
      </c>
      <c r="G85" s="10" t="s">
        <v>5</v>
      </c>
      <c r="H85" s="10" t="s">
        <v>155</v>
      </c>
      <c r="I85" s="10" t="s">
        <v>41</v>
      </c>
      <c r="J85" s="10" t="s">
        <v>42</v>
      </c>
      <c r="K85" s="694" t="s">
        <v>41</v>
      </c>
      <c r="L85" s="694" t="s">
        <v>63</v>
      </c>
      <c r="M85" s="10" t="s">
        <v>1253</v>
      </c>
      <c r="N85" s="10">
        <v>108</v>
      </c>
      <c r="O85" s="10">
        <v>64</v>
      </c>
      <c r="P85" s="10">
        <v>44</v>
      </c>
      <c r="Q85" s="10">
        <v>29</v>
      </c>
      <c r="R85" s="10">
        <v>21</v>
      </c>
      <c r="S85" s="10">
        <v>37</v>
      </c>
      <c r="T85" s="10">
        <v>19</v>
      </c>
      <c r="U85" s="10">
        <v>19</v>
      </c>
      <c r="V85" s="10">
        <v>10</v>
      </c>
      <c r="W85" s="10">
        <v>11</v>
      </c>
      <c r="X85" s="10">
        <v>7</v>
      </c>
      <c r="Y85" s="10">
        <v>12</v>
      </c>
      <c r="Z85" s="10">
        <v>7</v>
      </c>
      <c r="AA85" s="10">
        <v>0</v>
      </c>
      <c r="AB85" s="10">
        <v>0</v>
      </c>
      <c r="AC85" s="20">
        <f t="shared" si="12"/>
        <v>8</v>
      </c>
      <c r="AD85" s="20">
        <f t="shared" si="13"/>
        <v>18</v>
      </c>
      <c r="AE85" s="20">
        <f t="shared" si="14"/>
        <v>9</v>
      </c>
      <c r="AF85" s="20">
        <f t="shared" si="15"/>
        <v>4</v>
      </c>
      <c r="AG85" s="20">
        <f t="shared" si="16"/>
        <v>5</v>
      </c>
      <c r="AH85" s="20">
        <f t="shared" si="17"/>
        <v>0</v>
      </c>
    </row>
    <row r="86" spans="1:34">
      <c r="A86" s="10" t="s">
        <v>1000</v>
      </c>
      <c r="B86" s="10" t="s">
        <v>1133</v>
      </c>
      <c r="C86" s="10" t="s">
        <v>5</v>
      </c>
      <c r="D86" s="10" t="s">
        <v>4</v>
      </c>
      <c r="E86" s="10" t="s">
        <v>42</v>
      </c>
      <c r="F86" s="10" t="s">
        <v>3</v>
      </c>
      <c r="G86" s="10" t="s">
        <v>13</v>
      </c>
      <c r="H86" s="10" t="s">
        <v>1331</v>
      </c>
      <c r="I86" s="10" t="s">
        <v>41</v>
      </c>
      <c r="J86" s="10" t="s">
        <v>41</v>
      </c>
      <c r="K86" s="694" t="s">
        <v>42</v>
      </c>
      <c r="L86" s="694" t="s">
        <v>63</v>
      </c>
      <c r="M86" s="10" t="s">
        <v>1254</v>
      </c>
      <c r="N86" s="10">
        <v>266</v>
      </c>
      <c r="O86" s="10">
        <v>164</v>
      </c>
      <c r="P86" s="10">
        <v>102</v>
      </c>
      <c r="Q86" s="10">
        <v>44</v>
      </c>
      <c r="R86" s="10">
        <v>23</v>
      </c>
      <c r="S86" s="10">
        <v>34</v>
      </c>
      <c r="T86" s="10">
        <v>25</v>
      </c>
      <c r="U86" s="10">
        <v>72</v>
      </c>
      <c r="V86" s="10">
        <v>34</v>
      </c>
      <c r="W86" s="10">
        <v>41</v>
      </c>
      <c r="X86" s="10">
        <v>25</v>
      </c>
      <c r="Y86" s="10">
        <v>44</v>
      </c>
      <c r="Z86" s="10">
        <v>35</v>
      </c>
      <c r="AA86" s="10">
        <v>31</v>
      </c>
      <c r="AB86" s="10">
        <v>22</v>
      </c>
      <c r="AC86" s="20">
        <f t="shared" si="12"/>
        <v>21</v>
      </c>
      <c r="AD86" s="20">
        <f t="shared" si="13"/>
        <v>9</v>
      </c>
      <c r="AE86" s="20">
        <f t="shared" si="14"/>
        <v>38</v>
      </c>
      <c r="AF86" s="20">
        <f t="shared" si="15"/>
        <v>16</v>
      </c>
      <c r="AG86" s="20">
        <f t="shared" si="16"/>
        <v>9</v>
      </c>
      <c r="AH86" s="20">
        <f t="shared" si="17"/>
        <v>9</v>
      </c>
    </row>
    <row r="87" spans="1:34">
      <c r="A87" s="10" t="s">
        <v>1001</v>
      </c>
      <c r="B87" s="10" t="s">
        <v>1134</v>
      </c>
      <c r="C87" s="10" t="s">
        <v>3</v>
      </c>
      <c r="D87" s="10" t="s">
        <v>6</v>
      </c>
      <c r="E87" s="10" t="s">
        <v>41</v>
      </c>
      <c r="F87" s="10" t="s">
        <v>51</v>
      </c>
      <c r="G87" s="10" t="s">
        <v>6</v>
      </c>
      <c r="H87" s="10" t="s">
        <v>1713</v>
      </c>
      <c r="I87" s="10" t="s">
        <v>41</v>
      </c>
      <c r="J87" s="10" t="s">
        <v>41</v>
      </c>
      <c r="K87" s="694" t="s">
        <v>41</v>
      </c>
      <c r="L87" s="694" t="s">
        <v>63</v>
      </c>
      <c r="M87" s="10" t="s">
        <v>1255</v>
      </c>
      <c r="N87" s="10">
        <v>385</v>
      </c>
      <c r="O87" s="10">
        <v>206</v>
      </c>
      <c r="P87" s="10">
        <v>179</v>
      </c>
      <c r="Q87" s="10">
        <v>91</v>
      </c>
      <c r="R87" s="10">
        <v>50</v>
      </c>
      <c r="S87" s="10">
        <v>61</v>
      </c>
      <c r="T87" s="10">
        <v>35</v>
      </c>
      <c r="U87" s="10">
        <v>58</v>
      </c>
      <c r="V87" s="10">
        <v>32</v>
      </c>
      <c r="W87" s="10">
        <v>119</v>
      </c>
      <c r="X87" s="10">
        <v>52</v>
      </c>
      <c r="Y87" s="10">
        <v>54</v>
      </c>
      <c r="Z87" s="10">
        <v>35</v>
      </c>
      <c r="AA87" s="10">
        <v>2</v>
      </c>
      <c r="AB87" s="10">
        <v>2</v>
      </c>
      <c r="AC87" s="20">
        <f t="shared" si="12"/>
        <v>41</v>
      </c>
      <c r="AD87" s="20">
        <f t="shared" si="13"/>
        <v>26</v>
      </c>
      <c r="AE87" s="20">
        <f t="shared" si="14"/>
        <v>26</v>
      </c>
      <c r="AF87" s="20">
        <f t="shared" si="15"/>
        <v>67</v>
      </c>
      <c r="AG87" s="20">
        <f t="shared" si="16"/>
        <v>19</v>
      </c>
      <c r="AH87" s="20">
        <f t="shared" si="17"/>
        <v>0</v>
      </c>
    </row>
    <row r="88" spans="1:34">
      <c r="A88" s="10" t="s">
        <v>1002</v>
      </c>
      <c r="B88" s="10" t="s">
        <v>1135</v>
      </c>
      <c r="C88" s="10" t="s">
        <v>5</v>
      </c>
      <c r="D88" s="10" t="s">
        <v>3</v>
      </c>
      <c r="E88" s="10" t="s">
        <v>42</v>
      </c>
      <c r="F88" s="10" t="s">
        <v>3</v>
      </c>
      <c r="G88" s="10" t="s">
        <v>5</v>
      </c>
      <c r="H88" s="10" t="s">
        <v>1332</v>
      </c>
      <c r="I88" s="10" t="s">
        <v>41</v>
      </c>
      <c r="J88" s="10" t="s">
        <v>41</v>
      </c>
      <c r="K88" s="694" t="s">
        <v>41</v>
      </c>
      <c r="L88" s="694" t="s">
        <v>63</v>
      </c>
      <c r="M88" s="10" t="s">
        <v>1256</v>
      </c>
      <c r="N88" s="10">
        <v>292</v>
      </c>
      <c r="O88" s="10">
        <v>169</v>
      </c>
      <c r="P88" s="10">
        <v>123</v>
      </c>
      <c r="Q88" s="10">
        <v>72</v>
      </c>
      <c r="R88" s="10">
        <v>41</v>
      </c>
      <c r="S88" s="10">
        <v>66</v>
      </c>
      <c r="T88" s="10">
        <v>39</v>
      </c>
      <c r="U88" s="10">
        <v>35</v>
      </c>
      <c r="V88" s="10">
        <v>25</v>
      </c>
      <c r="W88" s="10">
        <v>58</v>
      </c>
      <c r="X88" s="10">
        <v>34</v>
      </c>
      <c r="Y88" s="10">
        <v>61</v>
      </c>
      <c r="Z88" s="10">
        <v>30</v>
      </c>
      <c r="AA88" s="10">
        <v>0</v>
      </c>
      <c r="AB88" s="10">
        <v>0</v>
      </c>
      <c r="AC88" s="20">
        <f t="shared" si="12"/>
        <v>31</v>
      </c>
      <c r="AD88" s="20">
        <f t="shared" si="13"/>
        <v>27</v>
      </c>
      <c r="AE88" s="20">
        <f t="shared" si="14"/>
        <v>10</v>
      </c>
      <c r="AF88" s="20">
        <f t="shared" si="15"/>
        <v>24</v>
      </c>
      <c r="AG88" s="20">
        <f t="shared" si="16"/>
        <v>31</v>
      </c>
      <c r="AH88" s="20">
        <f t="shared" si="17"/>
        <v>0</v>
      </c>
    </row>
    <row r="89" spans="1:34">
      <c r="A89" s="10" t="s">
        <v>1003</v>
      </c>
      <c r="B89" s="10" t="s">
        <v>1136</v>
      </c>
      <c r="C89" s="10" t="s">
        <v>3</v>
      </c>
      <c r="D89" s="10" t="s">
        <v>6</v>
      </c>
      <c r="E89" s="10" t="s">
        <v>41</v>
      </c>
      <c r="F89" s="10" t="s">
        <v>51</v>
      </c>
      <c r="G89" s="10" t="s">
        <v>4</v>
      </c>
      <c r="H89" s="10" t="s">
        <v>906</v>
      </c>
      <c r="I89" s="10" t="s">
        <v>41</v>
      </c>
      <c r="J89" s="10" t="s">
        <v>41</v>
      </c>
      <c r="K89" s="694" t="s">
        <v>41</v>
      </c>
      <c r="L89" s="694" t="s">
        <v>63</v>
      </c>
      <c r="M89" s="10" t="s">
        <v>1257</v>
      </c>
      <c r="N89" s="10">
        <v>427</v>
      </c>
      <c r="O89" s="10">
        <v>219</v>
      </c>
      <c r="P89" s="10">
        <v>208</v>
      </c>
      <c r="Q89" s="10">
        <v>45</v>
      </c>
      <c r="R89" s="10">
        <v>29</v>
      </c>
      <c r="S89" s="10">
        <v>88</v>
      </c>
      <c r="T89" s="10">
        <v>50</v>
      </c>
      <c r="U89" s="10">
        <v>52</v>
      </c>
      <c r="V89" s="10">
        <v>29</v>
      </c>
      <c r="W89" s="10">
        <v>137</v>
      </c>
      <c r="X89" s="10">
        <v>64</v>
      </c>
      <c r="Y89" s="10">
        <v>62</v>
      </c>
      <c r="Z89" s="10">
        <v>28</v>
      </c>
      <c r="AA89" s="10">
        <v>43</v>
      </c>
      <c r="AB89" s="10">
        <v>19</v>
      </c>
      <c r="AC89" s="20">
        <f t="shared" si="12"/>
        <v>16</v>
      </c>
      <c r="AD89" s="20">
        <f t="shared" si="13"/>
        <v>38</v>
      </c>
      <c r="AE89" s="20">
        <f t="shared" si="14"/>
        <v>23</v>
      </c>
      <c r="AF89" s="20">
        <f t="shared" si="15"/>
        <v>73</v>
      </c>
      <c r="AG89" s="20">
        <f t="shared" si="16"/>
        <v>34</v>
      </c>
      <c r="AH89" s="20">
        <f t="shared" si="17"/>
        <v>24</v>
      </c>
    </row>
    <row r="90" spans="1:34">
      <c r="A90" s="10" t="s">
        <v>1004</v>
      </c>
      <c r="B90" s="10" t="s">
        <v>1137</v>
      </c>
      <c r="C90" s="10" t="s">
        <v>141</v>
      </c>
      <c r="D90" s="10" t="s">
        <v>4</v>
      </c>
      <c r="E90" s="10" t="s">
        <v>41</v>
      </c>
      <c r="F90" s="10" t="s">
        <v>5</v>
      </c>
      <c r="G90" s="10" t="s">
        <v>18</v>
      </c>
      <c r="H90" s="10" t="s">
        <v>1333</v>
      </c>
      <c r="I90" s="10" t="s">
        <v>41</v>
      </c>
      <c r="J90" s="10" t="s">
        <v>41</v>
      </c>
      <c r="K90" s="694" t="s">
        <v>41</v>
      </c>
      <c r="L90" s="694" t="s">
        <v>63</v>
      </c>
      <c r="M90" s="10" t="s">
        <v>1258</v>
      </c>
      <c r="N90" s="10">
        <v>379</v>
      </c>
      <c r="O90" s="10">
        <v>208</v>
      </c>
      <c r="P90" s="10">
        <v>171</v>
      </c>
      <c r="Q90" s="10">
        <v>126</v>
      </c>
      <c r="R90" s="10">
        <v>66</v>
      </c>
      <c r="S90" s="10">
        <v>49</v>
      </c>
      <c r="T90" s="10">
        <v>33</v>
      </c>
      <c r="U90" s="10">
        <v>72</v>
      </c>
      <c r="V90" s="10">
        <v>36</v>
      </c>
      <c r="W90" s="10">
        <v>58</v>
      </c>
      <c r="X90" s="10">
        <v>35</v>
      </c>
      <c r="Y90" s="10">
        <v>62</v>
      </c>
      <c r="Z90" s="10">
        <v>29</v>
      </c>
      <c r="AA90" s="10">
        <v>12</v>
      </c>
      <c r="AB90" s="10">
        <v>9</v>
      </c>
      <c r="AC90" s="20">
        <f t="shared" si="12"/>
        <v>60</v>
      </c>
      <c r="AD90" s="20">
        <f t="shared" si="13"/>
        <v>16</v>
      </c>
      <c r="AE90" s="20">
        <f t="shared" si="14"/>
        <v>36</v>
      </c>
      <c r="AF90" s="20">
        <f t="shared" si="15"/>
        <v>23</v>
      </c>
      <c r="AG90" s="20">
        <f t="shared" si="16"/>
        <v>33</v>
      </c>
      <c r="AH90" s="20">
        <f t="shared" si="17"/>
        <v>3</v>
      </c>
    </row>
    <row r="91" spans="1:34">
      <c r="A91" s="10" t="s">
        <v>120</v>
      </c>
      <c r="B91" s="10" t="s">
        <v>856</v>
      </c>
      <c r="C91" s="10" t="s">
        <v>7</v>
      </c>
      <c r="D91" s="10" t="s">
        <v>9</v>
      </c>
      <c r="E91" s="10" t="s">
        <v>45</v>
      </c>
      <c r="F91" s="10" t="s">
        <v>3</v>
      </c>
      <c r="G91" s="10" t="s">
        <v>7</v>
      </c>
      <c r="H91" s="10" t="s">
        <v>145</v>
      </c>
      <c r="I91" s="10" t="s">
        <v>45</v>
      </c>
      <c r="J91" s="10" t="s">
        <v>41</v>
      </c>
      <c r="K91" s="694" t="s">
        <v>2542</v>
      </c>
      <c r="L91" s="694" t="s">
        <v>63</v>
      </c>
      <c r="M91" s="10" t="s">
        <v>2548</v>
      </c>
      <c r="N91" s="10">
        <v>61</v>
      </c>
      <c r="O91" s="10">
        <v>61</v>
      </c>
      <c r="P91" s="10">
        <v>0</v>
      </c>
      <c r="Q91" s="10">
        <v>37</v>
      </c>
      <c r="R91" s="10">
        <v>37</v>
      </c>
      <c r="S91" s="10">
        <v>11</v>
      </c>
      <c r="T91" s="10">
        <v>11</v>
      </c>
      <c r="U91" s="10">
        <v>4</v>
      </c>
      <c r="V91" s="10">
        <v>4</v>
      </c>
      <c r="W91" s="10">
        <v>7</v>
      </c>
      <c r="X91" s="10">
        <v>7</v>
      </c>
      <c r="Y91" s="10">
        <v>2</v>
      </c>
      <c r="Z91" s="10">
        <v>2</v>
      </c>
      <c r="AA91" s="10">
        <v>0</v>
      </c>
      <c r="AB91" s="10">
        <v>0</v>
      </c>
      <c r="AC91" s="20">
        <f t="shared" si="12"/>
        <v>0</v>
      </c>
      <c r="AD91" s="20">
        <f t="shared" si="13"/>
        <v>0</v>
      </c>
      <c r="AE91" s="20">
        <f t="shared" si="14"/>
        <v>0</v>
      </c>
      <c r="AF91" s="20">
        <f t="shared" si="15"/>
        <v>0</v>
      </c>
      <c r="AG91" s="20">
        <f t="shared" si="16"/>
        <v>0</v>
      </c>
      <c r="AH91" s="20">
        <f t="shared" si="17"/>
        <v>0</v>
      </c>
    </row>
    <row r="92" spans="1:34">
      <c r="A92" s="10" t="s">
        <v>1005</v>
      </c>
      <c r="B92" s="10" t="s">
        <v>1138</v>
      </c>
      <c r="C92" s="10" t="s">
        <v>178</v>
      </c>
      <c r="D92" s="10" t="s">
        <v>8</v>
      </c>
      <c r="E92" s="10" t="s">
        <v>41</v>
      </c>
      <c r="F92" s="10" t="s">
        <v>16</v>
      </c>
      <c r="G92" s="10" t="s">
        <v>6</v>
      </c>
      <c r="H92" s="10" t="s">
        <v>1334</v>
      </c>
      <c r="I92" s="10" t="s">
        <v>41</v>
      </c>
      <c r="J92" s="10" t="s">
        <v>41</v>
      </c>
      <c r="K92" s="694" t="s">
        <v>41</v>
      </c>
      <c r="L92" s="694" t="s">
        <v>63</v>
      </c>
      <c r="M92" s="10" t="s">
        <v>1259</v>
      </c>
      <c r="N92" s="10">
        <v>33</v>
      </c>
      <c r="O92" s="10">
        <v>17</v>
      </c>
      <c r="P92" s="10">
        <v>16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12</v>
      </c>
      <c r="X92" s="10">
        <v>7</v>
      </c>
      <c r="Y92" s="10">
        <v>20</v>
      </c>
      <c r="Z92" s="10">
        <v>10</v>
      </c>
      <c r="AA92" s="10">
        <v>1</v>
      </c>
      <c r="AB92" s="10">
        <v>0</v>
      </c>
      <c r="AC92" s="20">
        <f t="shared" si="12"/>
        <v>0</v>
      </c>
      <c r="AD92" s="20">
        <f t="shared" si="13"/>
        <v>0</v>
      </c>
      <c r="AE92" s="20">
        <f t="shared" si="14"/>
        <v>0</v>
      </c>
      <c r="AF92" s="20">
        <f t="shared" si="15"/>
        <v>5</v>
      </c>
      <c r="AG92" s="20">
        <f t="shared" si="16"/>
        <v>10</v>
      </c>
      <c r="AH92" s="20">
        <f t="shared" si="17"/>
        <v>1</v>
      </c>
    </row>
    <row r="93" spans="1:34">
      <c r="A93" s="10" t="s">
        <v>1006</v>
      </c>
      <c r="B93" s="10" t="s">
        <v>1139</v>
      </c>
      <c r="C93" s="10" t="s">
        <v>9</v>
      </c>
      <c r="D93" s="10" t="s">
        <v>6</v>
      </c>
      <c r="E93" s="10" t="s">
        <v>63</v>
      </c>
      <c r="F93" s="10" t="s">
        <v>4</v>
      </c>
      <c r="G93" s="10" t="s">
        <v>4</v>
      </c>
      <c r="H93" s="10" t="s">
        <v>88</v>
      </c>
      <c r="I93" s="10" t="s">
        <v>41</v>
      </c>
      <c r="J93" s="10" t="s">
        <v>41</v>
      </c>
      <c r="K93" s="694" t="s">
        <v>41</v>
      </c>
      <c r="L93" s="694" t="s">
        <v>63</v>
      </c>
      <c r="M93" s="10" t="s">
        <v>1260</v>
      </c>
      <c r="N93" s="10">
        <v>33</v>
      </c>
      <c r="O93" s="10">
        <v>12</v>
      </c>
      <c r="P93" s="10">
        <v>21</v>
      </c>
      <c r="Q93" s="10">
        <v>0</v>
      </c>
      <c r="R93" s="10">
        <v>0</v>
      </c>
      <c r="S93" s="10">
        <v>4</v>
      </c>
      <c r="T93" s="10">
        <v>2</v>
      </c>
      <c r="U93" s="10">
        <v>0</v>
      </c>
      <c r="V93" s="10">
        <v>0</v>
      </c>
      <c r="W93" s="10">
        <v>23</v>
      </c>
      <c r="X93" s="10">
        <v>6</v>
      </c>
      <c r="Y93" s="10">
        <v>6</v>
      </c>
      <c r="Z93" s="10">
        <v>4</v>
      </c>
      <c r="AA93" s="10">
        <v>0</v>
      </c>
      <c r="AB93" s="10">
        <v>0</v>
      </c>
      <c r="AC93" s="20">
        <f t="shared" si="12"/>
        <v>0</v>
      </c>
      <c r="AD93" s="20">
        <f t="shared" si="13"/>
        <v>2</v>
      </c>
      <c r="AE93" s="20">
        <f t="shared" si="14"/>
        <v>0</v>
      </c>
      <c r="AF93" s="20">
        <f t="shared" si="15"/>
        <v>17</v>
      </c>
      <c r="AG93" s="20">
        <f t="shared" si="16"/>
        <v>2</v>
      </c>
      <c r="AH93" s="20">
        <f t="shared" si="17"/>
        <v>0</v>
      </c>
    </row>
    <row r="94" spans="1:34">
      <c r="A94" s="10" t="s">
        <v>1007</v>
      </c>
      <c r="B94" s="10" t="s">
        <v>1140</v>
      </c>
      <c r="C94" s="10" t="s">
        <v>4</v>
      </c>
      <c r="D94" s="10" t="s">
        <v>7</v>
      </c>
      <c r="E94" s="10" t="s">
        <v>41</v>
      </c>
      <c r="F94" s="10" t="s">
        <v>17</v>
      </c>
      <c r="G94" s="10" t="s">
        <v>5</v>
      </c>
      <c r="H94" s="10" t="s">
        <v>89</v>
      </c>
      <c r="I94" s="10" t="s">
        <v>41</v>
      </c>
      <c r="J94" s="10" t="s">
        <v>42</v>
      </c>
      <c r="K94" s="694" t="s">
        <v>2542</v>
      </c>
      <c r="L94" s="694" t="s">
        <v>63</v>
      </c>
      <c r="M94" s="10" t="s">
        <v>1261</v>
      </c>
      <c r="N94" s="10">
        <v>51</v>
      </c>
      <c r="O94" s="10">
        <v>36</v>
      </c>
      <c r="P94" s="10">
        <v>15</v>
      </c>
      <c r="Q94" s="10">
        <v>10</v>
      </c>
      <c r="R94" s="10">
        <v>8</v>
      </c>
      <c r="S94" s="10">
        <v>9</v>
      </c>
      <c r="T94" s="10">
        <v>6</v>
      </c>
      <c r="U94" s="10">
        <v>5</v>
      </c>
      <c r="V94" s="10">
        <v>3</v>
      </c>
      <c r="W94" s="10">
        <v>18</v>
      </c>
      <c r="X94" s="10">
        <v>13</v>
      </c>
      <c r="Y94" s="10">
        <v>6</v>
      </c>
      <c r="Z94" s="10">
        <v>4</v>
      </c>
      <c r="AA94" s="10">
        <v>3</v>
      </c>
      <c r="AB94" s="10">
        <v>2</v>
      </c>
      <c r="AC94" s="20">
        <f t="shared" si="12"/>
        <v>2</v>
      </c>
      <c r="AD94" s="20">
        <f t="shared" si="13"/>
        <v>3</v>
      </c>
      <c r="AE94" s="20">
        <f t="shared" si="14"/>
        <v>2</v>
      </c>
      <c r="AF94" s="20">
        <f t="shared" si="15"/>
        <v>5</v>
      </c>
      <c r="AG94" s="20">
        <f t="shared" si="16"/>
        <v>2</v>
      </c>
      <c r="AH94" s="20">
        <f t="shared" si="17"/>
        <v>1</v>
      </c>
    </row>
    <row r="95" spans="1:34">
      <c r="A95" s="10" t="s">
        <v>1008</v>
      </c>
      <c r="B95" s="10" t="s">
        <v>1141</v>
      </c>
      <c r="C95" s="10" t="s">
        <v>6</v>
      </c>
      <c r="D95" s="10" t="s">
        <v>8</v>
      </c>
      <c r="E95" s="10" t="s">
        <v>42</v>
      </c>
      <c r="F95" s="10" t="s">
        <v>9</v>
      </c>
      <c r="G95" s="10" t="s">
        <v>8</v>
      </c>
      <c r="H95" s="10" t="s">
        <v>1335</v>
      </c>
      <c r="I95" s="10" t="s">
        <v>41</v>
      </c>
      <c r="J95" s="10" t="s">
        <v>41</v>
      </c>
      <c r="K95" s="694" t="s">
        <v>41</v>
      </c>
      <c r="L95" s="694" t="s">
        <v>63</v>
      </c>
      <c r="M95" s="10" t="s">
        <v>1262</v>
      </c>
      <c r="N95" s="10">
        <v>197</v>
      </c>
      <c r="O95" s="10">
        <v>115</v>
      </c>
      <c r="P95" s="10">
        <v>82</v>
      </c>
      <c r="Q95" s="10">
        <v>31</v>
      </c>
      <c r="R95" s="10">
        <v>17</v>
      </c>
      <c r="S95" s="10">
        <v>35</v>
      </c>
      <c r="T95" s="10">
        <v>20</v>
      </c>
      <c r="U95" s="10">
        <v>38</v>
      </c>
      <c r="V95" s="10">
        <v>25</v>
      </c>
      <c r="W95" s="10">
        <v>44</v>
      </c>
      <c r="X95" s="10">
        <v>27</v>
      </c>
      <c r="Y95" s="10">
        <v>22</v>
      </c>
      <c r="Z95" s="10">
        <v>10</v>
      </c>
      <c r="AA95" s="10">
        <v>27</v>
      </c>
      <c r="AB95" s="10">
        <v>16</v>
      </c>
      <c r="AC95" s="20">
        <f t="shared" si="12"/>
        <v>14</v>
      </c>
      <c r="AD95" s="20">
        <f t="shared" si="13"/>
        <v>15</v>
      </c>
      <c r="AE95" s="20">
        <f t="shared" si="14"/>
        <v>13</v>
      </c>
      <c r="AF95" s="20">
        <f t="shared" si="15"/>
        <v>17</v>
      </c>
      <c r="AG95" s="20">
        <f t="shared" si="16"/>
        <v>12</v>
      </c>
      <c r="AH95" s="20">
        <f t="shared" si="17"/>
        <v>11</v>
      </c>
    </row>
    <row r="96" spans="1:34">
      <c r="A96" s="10" t="s">
        <v>1009</v>
      </c>
      <c r="B96" s="10" t="s">
        <v>1142</v>
      </c>
      <c r="C96" s="10" t="s">
        <v>5</v>
      </c>
      <c r="D96" s="10" t="s">
        <v>5</v>
      </c>
      <c r="E96" s="10" t="s">
        <v>42</v>
      </c>
      <c r="F96" s="10" t="s">
        <v>3</v>
      </c>
      <c r="G96" s="10" t="s">
        <v>9</v>
      </c>
      <c r="H96" s="10" t="s">
        <v>95</v>
      </c>
      <c r="I96" s="10" t="s">
        <v>41</v>
      </c>
      <c r="J96" s="10" t="s">
        <v>42</v>
      </c>
      <c r="K96" s="694" t="s">
        <v>2542</v>
      </c>
      <c r="L96" s="694" t="s">
        <v>63</v>
      </c>
      <c r="M96" s="10" t="s">
        <v>1263</v>
      </c>
      <c r="N96" s="10">
        <v>119</v>
      </c>
      <c r="O96" s="10">
        <v>64</v>
      </c>
      <c r="P96" s="10">
        <v>55</v>
      </c>
      <c r="Q96" s="10">
        <v>23</v>
      </c>
      <c r="R96" s="10">
        <v>10</v>
      </c>
      <c r="S96" s="10">
        <v>29</v>
      </c>
      <c r="T96" s="10">
        <v>18</v>
      </c>
      <c r="U96" s="10">
        <v>30</v>
      </c>
      <c r="V96" s="10">
        <v>13</v>
      </c>
      <c r="W96" s="10">
        <v>25</v>
      </c>
      <c r="X96" s="10">
        <v>17</v>
      </c>
      <c r="Y96" s="10">
        <v>12</v>
      </c>
      <c r="Z96" s="10">
        <v>6</v>
      </c>
      <c r="AA96" s="10">
        <v>0</v>
      </c>
      <c r="AB96" s="10">
        <v>0</v>
      </c>
      <c r="AC96" s="20">
        <f t="shared" si="12"/>
        <v>13</v>
      </c>
      <c r="AD96" s="20">
        <f t="shared" si="13"/>
        <v>11</v>
      </c>
      <c r="AE96" s="20">
        <f t="shared" si="14"/>
        <v>17</v>
      </c>
      <c r="AF96" s="20">
        <f t="shared" si="15"/>
        <v>8</v>
      </c>
      <c r="AG96" s="20">
        <f t="shared" si="16"/>
        <v>6</v>
      </c>
      <c r="AH96" s="20">
        <f t="shared" si="17"/>
        <v>0</v>
      </c>
    </row>
    <row r="97" spans="1:34">
      <c r="A97" s="10" t="s">
        <v>1010</v>
      </c>
      <c r="B97" s="10" t="s">
        <v>1143</v>
      </c>
      <c r="C97" s="10" t="s">
        <v>5</v>
      </c>
      <c r="D97" s="10" t="s">
        <v>9</v>
      </c>
      <c r="E97" s="10" t="s">
        <v>42</v>
      </c>
      <c r="F97" s="10" t="s">
        <v>11</v>
      </c>
      <c r="G97" s="10" t="s">
        <v>5</v>
      </c>
      <c r="H97" s="10" t="s">
        <v>58</v>
      </c>
      <c r="I97" s="10" t="s">
        <v>41</v>
      </c>
      <c r="J97" s="10" t="s">
        <v>42</v>
      </c>
      <c r="K97" s="694" t="s">
        <v>2542</v>
      </c>
      <c r="L97" s="694" t="s">
        <v>63</v>
      </c>
      <c r="M97" s="10" t="s">
        <v>1264</v>
      </c>
      <c r="N97" s="10">
        <v>69</v>
      </c>
      <c r="O97" s="10">
        <v>45</v>
      </c>
      <c r="P97" s="10">
        <v>24</v>
      </c>
      <c r="Q97" s="10">
        <v>11</v>
      </c>
      <c r="R97" s="10">
        <v>6</v>
      </c>
      <c r="S97" s="10">
        <v>12</v>
      </c>
      <c r="T97" s="10">
        <v>7</v>
      </c>
      <c r="U97" s="10">
        <v>6</v>
      </c>
      <c r="V97" s="10">
        <v>4</v>
      </c>
      <c r="W97" s="10">
        <v>17</v>
      </c>
      <c r="X97" s="10">
        <v>14</v>
      </c>
      <c r="Y97" s="10">
        <v>21</v>
      </c>
      <c r="Z97" s="10">
        <v>14</v>
      </c>
      <c r="AA97" s="10">
        <v>2</v>
      </c>
      <c r="AB97" s="10">
        <v>0</v>
      </c>
      <c r="AC97" s="20">
        <f t="shared" si="12"/>
        <v>5</v>
      </c>
      <c r="AD97" s="20">
        <f t="shared" si="13"/>
        <v>5</v>
      </c>
      <c r="AE97" s="20">
        <f t="shared" si="14"/>
        <v>2</v>
      </c>
      <c r="AF97" s="20">
        <f t="shared" si="15"/>
        <v>3</v>
      </c>
      <c r="AG97" s="20">
        <f t="shared" si="16"/>
        <v>7</v>
      </c>
      <c r="AH97" s="20">
        <f t="shared" si="17"/>
        <v>2</v>
      </c>
    </row>
    <row r="98" spans="1:34">
      <c r="A98" s="10" t="s">
        <v>1011</v>
      </c>
      <c r="B98" s="10" t="s">
        <v>1144</v>
      </c>
      <c r="C98" s="10" t="s">
        <v>5</v>
      </c>
      <c r="D98" s="10" t="s">
        <v>8</v>
      </c>
      <c r="E98" s="10" t="s">
        <v>42</v>
      </c>
      <c r="F98" s="10" t="s">
        <v>5</v>
      </c>
      <c r="G98" s="10" t="s">
        <v>11</v>
      </c>
      <c r="H98" s="10" t="s">
        <v>47</v>
      </c>
      <c r="I98" s="10" t="s">
        <v>41</v>
      </c>
      <c r="J98" s="10" t="s">
        <v>42</v>
      </c>
      <c r="K98" s="694" t="s">
        <v>2542</v>
      </c>
      <c r="L98" s="694" t="s">
        <v>63</v>
      </c>
      <c r="M98" s="10" t="s">
        <v>1265</v>
      </c>
      <c r="N98" s="10">
        <v>53</v>
      </c>
      <c r="O98" s="10">
        <v>34</v>
      </c>
      <c r="P98" s="10">
        <v>19</v>
      </c>
      <c r="Q98" s="10">
        <v>7</v>
      </c>
      <c r="R98" s="10">
        <v>6</v>
      </c>
      <c r="S98" s="10">
        <v>9</v>
      </c>
      <c r="T98" s="10">
        <v>6</v>
      </c>
      <c r="U98" s="10">
        <v>10</v>
      </c>
      <c r="V98" s="10">
        <v>5</v>
      </c>
      <c r="W98" s="10">
        <v>15</v>
      </c>
      <c r="X98" s="10">
        <v>8</v>
      </c>
      <c r="Y98" s="10">
        <v>8</v>
      </c>
      <c r="Z98" s="10">
        <v>6</v>
      </c>
      <c r="AA98" s="10">
        <v>4</v>
      </c>
      <c r="AB98" s="10">
        <v>3</v>
      </c>
      <c r="AC98" s="20">
        <f t="shared" si="12"/>
        <v>1</v>
      </c>
      <c r="AD98" s="20">
        <f t="shared" si="13"/>
        <v>3</v>
      </c>
      <c r="AE98" s="20">
        <f t="shared" si="14"/>
        <v>5</v>
      </c>
      <c r="AF98" s="20">
        <f t="shared" si="15"/>
        <v>7</v>
      </c>
      <c r="AG98" s="20">
        <f t="shared" si="16"/>
        <v>2</v>
      </c>
      <c r="AH98" s="20">
        <f t="shared" si="17"/>
        <v>1</v>
      </c>
    </row>
    <row r="99" spans="1:34">
      <c r="A99" s="10" t="s">
        <v>1012</v>
      </c>
      <c r="B99" s="10" t="s">
        <v>1145</v>
      </c>
      <c r="C99" s="10" t="s">
        <v>7</v>
      </c>
      <c r="D99" s="10" t="s">
        <v>4</v>
      </c>
      <c r="E99" s="10" t="s">
        <v>45</v>
      </c>
      <c r="F99" s="10" t="s">
        <v>3</v>
      </c>
      <c r="G99" s="10" t="s">
        <v>12</v>
      </c>
      <c r="H99" s="10" t="s">
        <v>87</v>
      </c>
      <c r="I99" s="10" t="s">
        <v>41</v>
      </c>
      <c r="J99" s="10" t="s">
        <v>41</v>
      </c>
      <c r="K99" s="694" t="s">
        <v>41</v>
      </c>
      <c r="L99" s="694" t="s">
        <v>63</v>
      </c>
      <c r="M99" s="10" t="s">
        <v>1266</v>
      </c>
      <c r="N99" s="10">
        <v>64</v>
      </c>
      <c r="O99" s="10">
        <v>34</v>
      </c>
      <c r="P99" s="10">
        <v>30</v>
      </c>
      <c r="Q99" s="10">
        <v>7</v>
      </c>
      <c r="R99" s="10">
        <v>4</v>
      </c>
      <c r="S99" s="10">
        <v>12</v>
      </c>
      <c r="T99" s="10">
        <v>4</v>
      </c>
      <c r="U99" s="10">
        <v>4</v>
      </c>
      <c r="V99" s="10">
        <v>3</v>
      </c>
      <c r="W99" s="10">
        <v>26</v>
      </c>
      <c r="X99" s="10">
        <v>16</v>
      </c>
      <c r="Y99" s="10">
        <v>8</v>
      </c>
      <c r="Z99" s="10">
        <v>5</v>
      </c>
      <c r="AA99" s="10">
        <v>7</v>
      </c>
      <c r="AB99" s="10">
        <v>2</v>
      </c>
      <c r="AC99" s="20">
        <f t="shared" ref="AC99:AC130" si="18">+Q99-R99</f>
        <v>3</v>
      </c>
      <c r="AD99" s="20">
        <f t="shared" ref="AD99:AD130" si="19">+S99-T99</f>
        <v>8</v>
      </c>
      <c r="AE99" s="20">
        <f t="shared" ref="AE99:AE130" si="20">+U99-V99</f>
        <v>1</v>
      </c>
      <c r="AF99" s="20">
        <f t="shared" ref="AF99:AF130" si="21">+W99-X99</f>
        <v>10</v>
      </c>
      <c r="AG99" s="20">
        <f t="shared" ref="AG99:AG130" si="22">+Y99-Z99</f>
        <v>3</v>
      </c>
      <c r="AH99" s="20">
        <f t="shared" ref="AH99:AH130" si="23">+AA99-AB99</f>
        <v>5</v>
      </c>
    </row>
    <row r="100" spans="1:34">
      <c r="A100" s="10" t="s">
        <v>1013</v>
      </c>
      <c r="B100" s="10" t="s">
        <v>1146</v>
      </c>
      <c r="C100" s="10" t="s">
        <v>5</v>
      </c>
      <c r="D100" s="10" t="s">
        <v>11</v>
      </c>
      <c r="E100" s="10" t="s">
        <v>42</v>
      </c>
      <c r="F100" s="10" t="s">
        <v>7</v>
      </c>
      <c r="G100" s="10" t="s">
        <v>9</v>
      </c>
      <c r="H100" s="10" t="s">
        <v>127</v>
      </c>
      <c r="I100" s="10" t="s">
        <v>41</v>
      </c>
      <c r="J100" s="10" t="s">
        <v>41</v>
      </c>
      <c r="K100" s="694" t="s">
        <v>41</v>
      </c>
      <c r="L100" s="694" t="s">
        <v>63</v>
      </c>
      <c r="M100" s="10" t="s">
        <v>1267</v>
      </c>
      <c r="N100" s="10">
        <v>110</v>
      </c>
      <c r="O100" s="10">
        <v>64</v>
      </c>
      <c r="P100" s="10">
        <v>46</v>
      </c>
      <c r="Q100" s="10">
        <v>23</v>
      </c>
      <c r="R100" s="10">
        <v>15</v>
      </c>
      <c r="S100" s="10">
        <v>26</v>
      </c>
      <c r="T100" s="10">
        <v>15</v>
      </c>
      <c r="U100" s="10">
        <v>20</v>
      </c>
      <c r="V100" s="10">
        <v>15</v>
      </c>
      <c r="W100" s="10">
        <v>12</v>
      </c>
      <c r="X100" s="10">
        <v>5</v>
      </c>
      <c r="Y100" s="10">
        <v>18</v>
      </c>
      <c r="Z100" s="10">
        <v>8</v>
      </c>
      <c r="AA100" s="10">
        <v>11</v>
      </c>
      <c r="AB100" s="10">
        <v>6</v>
      </c>
      <c r="AC100" s="20">
        <f t="shared" si="18"/>
        <v>8</v>
      </c>
      <c r="AD100" s="20">
        <f t="shared" si="19"/>
        <v>11</v>
      </c>
      <c r="AE100" s="20">
        <f t="shared" si="20"/>
        <v>5</v>
      </c>
      <c r="AF100" s="20">
        <f t="shared" si="21"/>
        <v>7</v>
      </c>
      <c r="AG100" s="20">
        <f t="shared" si="22"/>
        <v>10</v>
      </c>
      <c r="AH100" s="20">
        <f t="shared" si="23"/>
        <v>5</v>
      </c>
    </row>
    <row r="101" spans="1:34">
      <c r="A101" s="10" t="s">
        <v>1014</v>
      </c>
      <c r="B101" s="10" t="s">
        <v>1147</v>
      </c>
      <c r="C101" s="10" t="s">
        <v>66</v>
      </c>
      <c r="D101" s="10" t="s">
        <v>4</v>
      </c>
      <c r="E101" s="10" t="s">
        <v>41</v>
      </c>
      <c r="F101" s="10" t="s">
        <v>105</v>
      </c>
      <c r="G101" s="10" t="s">
        <v>3</v>
      </c>
      <c r="H101" s="10" t="s">
        <v>1336</v>
      </c>
      <c r="I101" s="10" t="s">
        <v>41</v>
      </c>
      <c r="J101" s="10" t="s">
        <v>41</v>
      </c>
      <c r="K101" s="694" t="s">
        <v>2542</v>
      </c>
      <c r="L101" s="694" t="s">
        <v>63</v>
      </c>
      <c r="M101" s="10" t="s">
        <v>1268</v>
      </c>
      <c r="N101" s="10">
        <v>74</v>
      </c>
      <c r="O101" s="10">
        <v>44</v>
      </c>
      <c r="P101" s="10">
        <v>30</v>
      </c>
      <c r="Q101" s="10">
        <v>14</v>
      </c>
      <c r="R101" s="10">
        <v>8</v>
      </c>
      <c r="S101" s="10">
        <v>7</v>
      </c>
      <c r="T101" s="10">
        <v>4</v>
      </c>
      <c r="U101" s="10">
        <v>8</v>
      </c>
      <c r="V101" s="10">
        <v>3</v>
      </c>
      <c r="W101" s="10">
        <v>20</v>
      </c>
      <c r="X101" s="10">
        <v>13</v>
      </c>
      <c r="Y101" s="10">
        <v>5</v>
      </c>
      <c r="Z101" s="10">
        <v>5</v>
      </c>
      <c r="AA101" s="10">
        <v>20</v>
      </c>
      <c r="AB101" s="10">
        <v>11</v>
      </c>
      <c r="AC101" s="20">
        <f t="shared" si="18"/>
        <v>6</v>
      </c>
      <c r="AD101" s="20">
        <f t="shared" si="19"/>
        <v>3</v>
      </c>
      <c r="AE101" s="20">
        <f t="shared" si="20"/>
        <v>5</v>
      </c>
      <c r="AF101" s="20">
        <f t="shared" si="21"/>
        <v>7</v>
      </c>
      <c r="AG101" s="20">
        <f t="shared" si="22"/>
        <v>0</v>
      </c>
      <c r="AH101" s="20">
        <f t="shared" si="23"/>
        <v>9</v>
      </c>
    </row>
    <row r="102" spans="1:34">
      <c r="A102" s="10" t="s">
        <v>1015</v>
      </c>
      <c r="B102" s="10" t="s">
        <v>1148</v>
      </c>
      <c r="C102" s="10" t="s">
        <v>7</v>
      </c>
      <c r="D102" s="10" t="s">
        <v>7</v>
      </c>
      <c r="E102" s="10" t="s">
        <v>45</v>
      </c>
      <c r="F102" s="10" t="s">
        <v>4</v>
      </c>
      <c r="G102" s="10" t="s">
        <v>7</v>
      </c>
      <c r="H102" s="10" t="s">
        <v>137</v>
      </c>
      <c r="I102" s="10" t="s">
        <v>41</v>
      </c>
      <c r="J102" s="10" t="s">
        <v>41</v>
      </c>
      <c r="K102" s="694" t="s">
        <v>2542</v>
      </c>
      <c r="L102" s="694" t="s">
        <v>63</v>
      </c>
      <c r="M102" s="10" t="s">
        <v>1269</v>
      </c>
      <c r="N102" s="10">
        <v>53</v>
      </c>
      <c r="O102" s="10">
        <v>31</v>
      </c>
      <c r="P102" s="10">
        <v>22</v>
      </c>
      <c r="Q102" s="10">
        <v>4</v>
      </c>
      <c r="R102" s="10">
        <v>3</v>
      </c>
      <c r="S102" s="10">
        <v>8</v>
      </c>
      <c r="T102" s="10">
        <v>5</v>
      </c>
      <c r="U102" s="10">
        <v>8</v>
      </c>
      <c r="V102" s="10">
        <v>7</v>
      </c>
      <c r="W102" s="10">
        <v>28</v>
      </c>
      <c r="X102" s="10">
        <v>13</v>
      </c>
      <c r="Y102" s="10">
        <v>5</v>
      </c>
      <c r="Z102" s="10">
        <v>3</v>
      </c>
      <c r="AA102" s="10">
        <v>0</v>
      </c>
      <c r="AB102" s="10">
        <v>0</v>
      </c>
      <c r="AC102" s="20">
        <f t="shared" si="18"/>
        <v>1</v>
      </c>
      <c r="AD102" s="20">
        <f t="shared" si="19"/>
        <v>3</v>
      </c>
      <c r="AE102" s="20">
        <f t="shared" si="20"/>
        <v>1</v>
      </c>
      <c r="AF102" s="20">
        <f t="shared" si="21"/>
        <v>15</v>
      </c>
      <c r="AG102" s="20">
        <f t="shared" si="22"/>
        <v>2</v>
      </c>
      <c r="AH102" s="20">
        <f t="shared" si="23"/>
        <v>0</v>
      </c>
    </row>
    <row r="103" spans="1:34">
      <c r="A103" s="10" t="s">
        <v>1016</v>
      </c>
      <c r="B103" s="10" t="s">
        <v>1149</v>
      </c>
      <c r="C103" s="10" t="s">
        <v>178</v>
      </c>
      <c r="D103" s="10" t="s">
        <v>7</v>
      </c>
      <c r="E103" s="10" t="s">
        <v>41</v>
      </c>
      <c r="F103" s="10" t="s">
        <v>66</v>
      </c>
      <c r="G103" s="10" t="s">
        <v>4</v>
      </c>
      <c r="H103" s="10" t="s">
        <v>77</v>
      </c>
      <c r="I103" s="10" t="s">
        <v>41</v>
      </c>
      <c r="J103" s="10" t="s">
        <v>41</v>
      </c>
      <c r="K103" s="694" t="s">
        <v>2542</v>
      </c>
      <c r="L103" s="694" t="s">
        <v>63</v>
      </c>
      <c r="M103" s="10" t="s">
        <v>1270</v>
      </c>
      <c r="N103" s="10">
        <v>286</v>
      </c>
      <c r="O103" s="10">
        <v>176</v>
      </c>
      <c r="P103" s="10">
        <v>110</v>
      </c>
      <c r="Q103" s="10">
        <v>77</v>
      </c>
      <c r="R103" s="10">
        <v>46</v>
      </c>
      <c r="S103" s="10">
        <v>48</v>
      </c>
      <c r="T103" s="10">
        <v>30</v>
      </c>
      <c r="U103" s="10">
        <v>25</v>
      </c>
      <c r="V103" s="10">
        <v>19</v>
      </c>
      <c r="W103" s="10">
        <v>38</v>
      </c>
      <c r="X103" s="10">
        <v>24</v>
      </c>
      <c r="Y103" s="10">
        <v>60</v>
      </c>
      <c r="Z103" s="10">
        <v>35</v>
      </c>
      <c r="AA103" s="10">
        <v>38</v>
      </c>
      <c r="AB103" s="10">
        <v>22</v>
      </c>
      <c r="AC103" s="20">
        <f t="shared" si="18"/>
        <v>31</v>
      </c>
      <c r="AD103" s="20">
        <f t="shared" si="19"/>
        <v>18</v>
      </c>
      <c r="AE103" s="20">
        <f t="shared" si="20"/>
        <v>6</v>
      </c>
      <c r="AF103" s="20">
        <f t="shared" si="21"/>
        <v>14</v>
      </c>
      <c r="AG103" s="20">
        <f t="shared" si="22"/>
        <v>25</v>
      </c>
      <c r="AH103" s="20">
        <f t="shared" si="23"/>
        <v>16</v>
      </c>
    </row>
    <row r="104" spans="1:34">
      <c r="A104" s="10" t="s">
        <v>1017</v>
      </c>
      <c r="B104" s="10" t="s">
        <v>1150</v>
      </c>
      <c r="C104" s="10" t="s">
        <v>141</v>
      </c>
      <c r="D104" s="10" t="s">
        <v>3</v>
      </c>
      <c r="E104" s="10" t="s">
        <v>41</v>
      </c>
      <c r="F104" s="10" t="s">
        <v>5</v>
      </c>
      <c r="G104" s="10" t="s">
        <v>9</v>
      </c>
      <c r="H104" s="10" t="s">
        <v>83</v>
      </c>
      <c r="I104" s="10" t="s">
        <v>41</v>
      </c>
      <c r="J104" s="10" t="s">
        <v>41</v>
      </c>
      <c r="K104" s="694" t="s">
        <v>41</v>
      </c>
      <c r="L104" s="694" t="s">
        <v>63</v>
      </c>
      <c r="M104" s="10" t="s">
        <v>2522</v>
      </c>
      <c r="N104" s="10">
        <v>232</v>
      </c>
      <c r="O104" s="10">
        <v>139</v>
      </c>
      <c r="P104" s="10">
        <v>93</v>
      </c>
      <c r="Q104" s="10">
        <v>39</v>
      </c>
      <c r="R104" s="10">
        <v>23</v>
      </c>
      <c r="S104" s="10">
        <v>34</v>
      </c>
      <c r="T104" s="10">
        <v>14</v>
      </c>
      <c r="U104" s="10">
        <v>23</v>
      </c>
      <c r="V104" s="10">
        <v>14</v>
      </c>
      <c r="W104" s="10">
        <v>84</v>
      </c>
      <c r="X104" s="10">
        <v>49</v>
      </c>
      <c r="Y104" s="10">
        <v>34</v>
      </c>
      <c r="Z104" s="10">
        <v>26</v>
      </c>
      <c r="AA104" s="10">
        <v>18</v>
      </c>
      <c r="AB104" s="10">
        <v>13</v>
      </c>
      <c r="AC104" s="20">
        <f t="shared" si="18"/>
        <v>16</v>
      </c>
      <c r="AD104" s="20">
        <f t="shared" si="19"/>
        <v>20</v>
      </c>
      <c r="AE104" s="20">
        <f t="shared" si="20"/>
        <v>9</v>
      </c>
      <c r="AF104" s="20">
        <f t="shared" si="21"/>
        <v>35</v>
      </c>
      <c r="AG104" s="20">
        <f t="shared" si="22"/>
        <v>8</v>
      </c>
      <c r="AH104" s="20">
        <f t="shared" si="23"/>
        <v>5</v>
      </c>
    </row>
    <row r="105" spans="1:34">
      <c r="A105" s="10" t="s">
        <v>1018</v>
      </c>
      <c r="B105" s="10" t="s">
        <v>1151</v>
      </c>
      <c r="C105" s="10" t="s">
        <v>178</v>
      </c>
      <c r="D105" s="10" t="s">
        <v>4</v>
      </c>
      <c r="E105" s="10" t="s">
        <v>41</v>
      </c>
      <c r="F105" s="10" t="s">
        <v>11</v>
      </c>
      <c r="G105" s="10" t="s">
        <v>9</v>
      </c>
      <c r="H105" s="10" t="s">
        <v>97</v>
      </c>
      <c r="I105" s="10" t="s">
        <v>41</v>
      </c>
      <c r="J105" s="10" t="s">
        <v>41</v>
      </c>
      <c r="K105" s="694" t="s">
        <v>2542</v>
      </c>
      <c r="L105" s="694" t="s">
        <v>63</v>
      </c>
      <c r="M105" s="10" t="s">
        <v>1271</v>
      </c>
      <c r="N105" s="10">
        <v>373</v>
      </c>
      <c r="O105" s="10">
        <v>193</v>
      </c>
      <c r="P105" s="10">
        <v>180</v>
      </c>
      <c r="Q105" s="10">
        <v>113</v>
      </c>
      <c r="R105" s="10">
        <v>61</v>
      </c>
      <c r="S105" s="10">
        <v>75</v>
      </c>
      <c r="T105" s="10">
        <v>40</v>
      </c>
      <c r="U105" s="10">
        <v>63</v>
      </c>
      <c r="V105" s="10">
        <v>34</v>
      </c>
      <c r="W105" s="10">
        <v>50</v>
      </c>
      <c r="X105" s="10">
        <v>24</v>
      </c>
      <c r="Y105" s="10">
        <v>53</v>
      </c>
      <c r="Z105" s="10">
        <v>27</v>
      </c>
      <c r="AA105" s="10">
        <v>19</v>
      </c>
      <c r="AB105" s="10">
        <v>7</v>
      </c>
      <c r="AC105" s="20">
        <f t="shared" si="18"/>
        <v>52</v>
      </c>
      <c r="AD105" s="20">
        <f t="shared" si="19"/>
        <v>35</v>
      </c>
      <c r="AE105" s="20">
        <f t="shared" si="20"/>
        <v>29</v>
      </c>
      <c r="AF105" s="20">
        <f t="shared" si="21"/>
        <v>26</v>
      </c>
      <c r="AG105" s="20">
        <f t="shared" si="22"/>
        <v>26</v>
      </c>
      <c r="AH105" s="20">
        <f t="shared" si="23"/>
        <v>12</v>
      </c>
    </row>
    <row r="106" spans="1:34">
      <c r="A106" s="10" t="s">
        <v>1019</v>
      </c>
      <c r="B106" s="10" t="s">
        <v>1152</v>
      </c>
      <c r="C106" s="10" t="s">
        <v>7</v>
      </c>
      <c r="D106" s="10" t="s">
        <v>6</v>
      </c>
      <c r="E106" s="10" t="s">
        <v>45</v>
      </c>
      <c r="F106" s="10" t="s">
        <v>9</v>
      </c>
      <c r="G106" s="10" t="s">
        <v>3</v>
      </c>
      <c r="H106" s="10" t="s">
        <v>57</v>
      </c>
      <c r="I106" s="10" t="s">
        <v>41</v>
      </c>
      <c r="J106" s="10" t="s">
        <v>41</v>
      </c>
      <c r="K106" s="694" t="s">
        <v>41</v>
      </c>
      <c r="L106" s="694" t="s">
        <v>63</v>
      </c>
      <c r="M106" s="10" t="s">
        <v>1272</v>
      </c>
      <c r="N106" s="10">
        <v>146</v>
      </c>
      <c r="O106" s="10">
        <v>71</v>
      </c>
      <c r="P106" s="10">
        <v>75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10">
        <v>84</v>
      </c>
      <c r="X106" s="10">
        <v>39</v>
      </c>
      <c r="Y106" s="10">
        <v>58</v>
      </c>
      <c r="Z106" s="10">
        <v>30</v>
      </c>
      <c r="AA106" s="10">
        <v>4</v>
      </c>
      <c r="AB106" s="10">
        <v>2</v>
      </c>
      <c r="AC106" s="20">
        <f t="shared" si="18"/>
        <v>0</v>
      </c>
      <c r="AD106" s="20">
        <f t="shared" si="19"/>
        <v>0</v>
      </c>
      <c r="AE106" s="20">
        <f t="shared" si="20"/>
        <v>0</v>
      </c>
      <c r="AF106" s="20">
        <f t="shared" si="21"/>
        <v>45</v>
      </c>
      <c r="AG106" s="20">
        <f t="shared" si="22"/>
        <v>28</v>
      </c>
      <c r="AH106" s="20">
        <f t="shared" si="23"/>
        <v>2</v>
      </c>
    </row>
    <row r="107" spans="1:34">
      <c r="A107" s="10" t="s">
        <v>1020</v>
      </c>
      <c r="B107" s="10" t="s">
        <v>1153</v>
      </c>
      <c r="C107" s="10" t="s">
        <v>6</v>
      </c>
      <c r="D107" s="10" t="s">
        <v>7</v>
      </c>
      <c r="E107" s="10" t="s">
        <v>42</v>
      </c>
      <c r="F107" s="10" t="s">
        <v>8</v>
      </c>
      <c r="G107" s="10" t="s">
        <v>9</v>
      </c>
      <c r="H107" s="10" t="s">
        <v>1337</v>
      </c>
      <c r="I107" s="10" t="s">
        <v>41</v>
      </c>
      <c r="J107" s="10" t="s">
        <v>42</v>
      </c>
      <c r="K107" s="694" t="s">
        <v>41</v>
      </c>
      <c r="L107" s="694" t="s">
        <v>63</v>
      </c>
      <c r="M107" s="10" t="s">
        <v>1273</v>
      </c>
      <c r="N107" s="10">
        <v>124</v>
      </c>
      <c r="O107" s="10">
        <v>76</v>
      </c>
      <c r="P107" s="10">
        <v>48</v>
      </c>
      <c r="Q107" s="10">
        <v>31</v>
      </c>
      <c r="R107" s="10">
        <v>21</v>
      </c>
      <c r="S107" s="10">
        <v>29</v>
      </c>
      <c r="T107" s="10">
        <v>16</v>
      </c>
      <c r="U107" s="10">
        <v>13</v>
      </c>
      <c r="V107" s="10">
        <v>10</v>
      </c>
      <c r="W107" s="10">
        <v>38</v>
      </c>
      <c r="X107" s="10">
        <v>22</v>
      </c>
      <c r="Y107" s="10">
        <v>9</v>
      </c>
      <c r="Z107" s="10">
        <v>3</v>
      </c>
      <c r="AA107" s="10">
        <v>4</v>
      </c>
      <c r="AB107" s="10">
        <v>4</v>
      </c>
      <c r="AC107" s="20">
        <f t="shared" si="18"/>
        <v>10</v>
      </c>
      <c r="AD107" s="20">
        <f t="shared" si="19"/>
        <v>13</v>
      </c>
      <c r="AE107" s="20">
        <f t="shared" si="20"/>
        <v>3</v>
      </c>
      <c r="AF107" s="20">
        <f t="shared" si="21"/>
        <v>16</v>
      </c>
      <c r="AG107" s="20">
        <f t="shared" si="22"/>
        <v>6</v>
      </c>
      <c r="AH107" s="20">
        <f t="shared" si="23"/>
        <v>0</v>
      </c>
    </row>
    <row r="108" spans="1:34">
      <c r="A108" s="10" t="s">
        <v>1021</v>
      </c>
      <c r="B108" s="10" t="s">
        <v>1154</v>
      </c>
      <c r="C108" s="10" t="s">
        <v>9</v>
      </c>
      <c r="D108" s="10" t="s">
        <v>8</v>
      </c>
      <c r="E108" s="10" t="s">
        <v>63</v>
      </c>
      <c r="F108" s="10" t="s">
        <v>8</v>
      </c>
      <c r="G108" s="10" t="s">
        <v>4</v>
      </c>
      <c r="H108" s="10" t="s">
        <v>52</v>
      </c>
      <c r="I108" s="10" t="s">
        <v>41</v>
      </c>
      <c r="J108" s="10" t="s">
        <v>41</v>
      </c>
      <c r="K108" s="694" t="s">
        <v>41</v>
      </c>
      <c r="L108" s="694" t="s">
        <v>63</v>
      </c>
      <c r="M108" s="10" t="s">
        <v>1983</v>
      </c>
      <c r="N108" s="10">
        <v>61</v>
      </c>
      <c r="O108" s="10">
        <v>37</v>
      </c>
      <c r="P108" s="10">
        <v>24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29</v>
      </c>
      <c r="X108" s="10">
        <v>14</v>
      </c>
      <c r="Y108" s="10">
        <v>15</v>
      </c>
      <c r="Z108" s="10">
        <v>10</v>
      </c>
      <c r="AA108" s="10">
        <v>17</v>
      </c>
      <c r="AB108" s="10">
        <v>13</v>
      </c>
      <c r="AC108" s="20">
        <f t="shared" si="18"/>
        <v>0</v>
      </c>
      <c r="AD108" s="20">
        <f t="shared" si="19"/>
        <v>0</v>
      </c>
      <c r="AE108" s="20">
        <f t="shared" si="20"/>
        <v>0</v>
      </c>
      <c r="AF108" s="20">
        <f t="shared" si="21"/>
        <v>15</v>
      </c>
      <c r="AG108" s="20">
        <f t="shared" si="22"/>
        <v>5</v>
      </c>
      <c r="AH108" s="20">
        <f t="shared" si="23"/>
        <v>4</v>
      </c>
    </row>
    <row r="109" spans="1:34">
      <c r="A109" s="10" t="s">
        <v>1022</v>
      </c>
      <c r="B109" s="10" t="s">
        <v>1155</v>
      </c>
      <c r="C109" s="10" t="s">
        <v>9</v>
      </c>
      <c r="D109" s="10" t="s">
        <v>7</v>
      </c>
      <c r="E109" s="10" t="s">
        <v>63</v>
      </c>
      <c r="F109" s="10" t="s">
        <v>5</v>
      </c>
      <c r="G109" s="10" t="s">
        <v>8</v>
      </c>
      <c r="H109" s="10" t="s">
        <v>107</v>
      </c>
      <c r="I109" s="10" t="s">
        <v>41</v>
      </c>
      <c r="J109" s="10" t="s">
        <v>41</v>
      </c>
      <c r="K109" s="694" t="s">
        <v>41</v>
      </c>
      <c r="L109" s="694" t="s">
        <v>63</v>
      </c>
      <c r="M109" s="10" t="s">
        <v>1274</v>
      </c>
      <c r="N109" s="10">
        <v>141</v>
      </c>
      <c r="O109" s="10">
        <v>77</v>
      </c>
      <c r="P109" s="10">
        <v>64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v>61</v>
      </c>
      <c r="X109" s="10">
        <v>30</v>
      </c>
      <c r="Y109" s="10">
        <v>64</v>
      </c>
      <c r="Z109" s="10">
        <v>42</v>
      </c>
      <c r="AA109" s="10">
        <v>16</v>
      </c>
      <c r="AB109" s="10">
        <v>5</v>
      </c>
      <c r="AC109" s="20">
        <f t="shared" si="18"/>
        <v>0</v>
      </c>
      <c r="AD109" s="20">
        <f t="shared" si="19"/>
        <v>0</v>
      </c>
      <c r="AE109" s="20">
        <f t="shared" si="20"/>
        <v>0</v>
      </c>
      <c r="AF109" s="20">
        <f t="shared" si="21"/>
        <v>31</v>
      </c>
      <c r="AG109" s="20">
        <f t="shared" si="22"/>
        <v>22</v>
      </c>
      <c r="AH109" s="20">
        <f t="shared" si="23"/>
        <v>11</v>
      </c>
    </row>
    <row r="110" spans="1:34">
      <c r="A110" s="10" t="s">
        <v>1023</v>
      </c>
      <c r="B110" s="10" t="s">
        <v>1156</v>
      </c>
      <c r="C110" s="10" t="s">
        <v>9</v>
      </c>
      <c r="D110" s="10" t="s">
        <v>4</v>
      </c>
      <c r="E110" s="10" t="s">
        <v>63</v>
      </c>
      <c r="F110" s="10" t="s">
        <v>3</v>
      </c>
      <c r="G110" s="10" t="s">
        <v>4</v>
      </c>
      <c r="H110" s="10" t="s">
        <v>98</v>
      </c>
      <c r="I110" s="10" t="s">
        <v>41</v>
      </c>
      <c r="J110" s="10" t="s">
        <v>41</v>
      </c>
      <c r="K110" s="694" t="s">
        <v>41</v>
      </c>
      <c r="L110" s="694" t="s">
        <v>63</v>
      </c>
      <c r="M110" s="10" t="s">
        <v>1275</v>
      </c>
      <c r="N110" s="10">
        <v>55</v>
      </c>
      <c r="O110" s="10">
        <v>35</v>
      </c>
      <c r="P110" s="10">
        <v>20</v>
      </c>
      <c r="Q110" s="10">
        <v>0</v>
      </c>
      <c r="R110" s="10">
        <v>0</v>
      </c>
      <c r="S110" s="10">
        <v>4</v>
      </c>
      <c r="T110" s="10">
        <v>4</v>
      </c>
      <c r="U110" s="10">
        <v>1</v>
      </c>
      <c r="V110" s="10">
        <v>1</v>
      </c>
      <c r="W110" s="10">
        <v>20</v>
      </c>
      <c r="X110" s="10">
        <v>10</v>
      </c>
      <c r="Y110" s="10">
        <v>19</v>
      </c>
      <c r="Z110" s="10">
        <v>15</v>
      </c>
      <c r="AA110" s="10">
        <v>11</v>
      </c>
      <c r="AB110" s="10">
        <v>5</v>
      </c>
      <c r="AC110" s="20">
        <f t="shared" si="18"/>
        <v>0</v>
      </c>
      <c r="AD110" s="20">
        <f t="shared" si="19"/>
        <v>0</v>
      </c>
      <c r="AE110" s="20">
        <f t="shared" si="20"/>
        <v>0</v>
      </c>
      <c r="AF110" s="20">
        <f t="shared" si="21"/>
        <v>10</v>
      </c>
      <c r="AG110" s="20">
        <f t="shared" si="22"/>
        <v>4</v>
      </c>
      <c r="AH110" s="20">
        <f t="shared" si="23"/>
        <v>6</v>
      </c>
    </row>
    <row r="111" spans="1:34">
      <c r="A111" s="10" t="s">
        <v>1024</v>
      </c>
      <c r="B111" s="10" t="s">
        <v>1157</v>
      </c>
      <c r="C111" s="10" t="s">
        <v>179</v>
      </c>
      <c r="D111" s="10" t="s">
        <v>4</v>
      </c>
      <c r="E111" s="10" t="s">
        <v>41</v>
      </c>
      <c r="F111" s="10" t="s">
        <v>3</v>
      </c>
      <c r="G111" s="10" t="s">
        <v>12</v>
      </c>
      <c r="H111" s="10" t="s">
        <v>1338</v>
      </c>
      <c r="I111" s="10" t="s">
        <v>41</v>
      </c>
      <c r="J111" s="10" t="s">
        <v>41</v>
      </c>
      <c r="K111" s="694" t="s">
        <v>41</v>
      </c>
      <c r="L111" s="694" t="s">
        <v>63</v>
      </c>
      <c r="M111" s="10" t="s">
        <v>1276</v>
      </c>
      <c r="N111" s="10">
        <v>61</v>
      </c>
      <c r="O111" s="10">
        <v>23</v>
      </c>
      <c r="P111" s="10">
        <v>38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32</v>
      </c>
      <c r="X111" s="10">
        <v>16</v>
      </c>
      <c r="Y111" s="10">
        <v>27</v>
      </c>
      <c r="Z111" s="10">
        <v>6</v>
      </c>
      <c r="AA111" s="10">
        <v>2</v>
      </c>
      <c r="AB111" s="10">
        <v>1</v>
      </c>
      <c r="AC111" s="20">
        <f t="shared" si="18"/>
        <v>0</v>
      </c>
      <c r="AD111" s="20">
        <f t="shared" si="19"/>
        <v>0</v>
      </c>
      <c r="AE111" s="20">
        <f t="shared" si="20"/>
        <v>0</v>
      </c>
      <c r="AF111" s="20">
        <f t="shared" si="21"/>
        <v>16</v>
      </c>
      <c r="AG111" s="20">
        <f t="shared" si="22"/>
        <v>21</v>
      </c>
      <c r="AH111" s="20">
        <f t="shared" si="23"/>
        <v>1</v>
      </c>
    </row>
    <row r="112" spans="1:34">
      <c r="A112" s="10" t="s">
        <v>1025</v>
      </c>
      <c r="B112" s="10" t="s">
        <v>1158</v>
      </c>
      <c r="C112" s="10" t="s">
        <v>6</v>
      </c>
      <c r="D112" s="10" t="s">
        <v>3</v>
      </c>
      <c r="E112" s="10" t="s">
        <v>42</v>
      </c>
      <c r="F112" s="10" t="s">
        <v>4</v>
      </c>
      <c r="G112" s="10" t="s">
        <v>8</v>
      </c>
      <c r="H112" s="10" t="s">
        <v>1339</v>
      </c>
      <c r="I112" s="10" t="s">
        <v>41</v>
      </c>
      <c r="J112" s="10" t="s">
        <v>42</v>
      </c>
      <c r="K112" s="694" t="s">
        <v>41</v>
      </c>
      <c r="L112" s="694" t="s">
        <v>63</v>
      </c>
      <c r="M112" s="10" t="s">
        <v>1277</v>
      </c>
      <c r="N112" s="10">
        <v>84</v>
      </c>
      <c r="O112" s="10">
        <v>49</v>
      </c>
      <c r="P112" s="10">
        <v>35</v>
      </c>
      <c r="Q112" s="10">
        <v>18</v>
      </c>
      <c r="R112" s="10">
        <v>13</v>
      </c>
      <c r="S112" s="10">
        <v>20</v>
      </c>
      <c r="T112" s="10">
        <v>13</v>
      </c>
      <c r="U112" s="10">
        <v>9</v>
      </c>
      <c r="V112" s="10">
        <v>4</v>
      </c>
      <c r="W112" s="10">
        <v>21</v>
      </c>
      <c r="X112" s="10">
        <v>15</v>
      </c>
      <c r="Y112" s="10">
        <v>16</v>
      </c>
      <c r="Z112" s="10">
        <v>4</v>
      </c>
      <c r="AA112" s="10">
        <v>0</v>
      </c>
      <c r="AB112" s="10">
        <v>0</v>
      </c>
      <c r="AC112" s="20">
        <f t="shared" si="18"/>
        <v>5</v>
      </c>
      <c r="AD112" s="20">
        <f t="shared" si="19"/>
        <v>7</v>
      </c>
      <c r="AE112" s="20">
        <f t="shared" si="20"/>
        <v>5</v>
      </c>
      <c r="AF112" s="20">
        <f t="shared" si="21"/>
        <v>6</v>
      </c>
      <c r="AG112" s="20">
        <f t="shared" si="22"/>
        <v>12</v>
      </c>
      <c r="AH112" s="20">
        <f t="shared" si="23"/>
        <v>0</v>
      </c>
    </row>
    <row r="113" spans="1:34">
      <c r="A113" s="10" t="s">
        <v>1026</v>
      </c>
      <c r="B113" s="10" t="s">
        <v>1159</v>
      </c>
      <c r="C113" s="10" t="s">
        <v>16</v>
      </c>
      <c r="D113" s="10" t="s">
        <v>3</v>
      </c>
      <c r="E113" s="10" t="s">
        <v>69</v>
      </c>
      <c r="F113" s="10" t="s">
        <v>8</v>
      </c>
      <c r="G113" s="10" t="s">
        <v>3</v>
      </c>
      <c r="H113" s="10" t="s">
        <v>115</v>
      </c>
      <c r="I113" s="10" t="s">
        <v>41</v>
      </c>
      <c r="J113" s="10" t="s">
        <v>41</v>
      </c>
      <c r="K113" s="694" t="s">
        <v>41</v>
      </c>
      <c r="L113" s="694" t="s">
        <v>63</v>
      </c>
      <c r="M113" s="10" t="s">
        <v>1278</v>
      </c>
      <c r="N113" s="10">
        <v>4</v>
      </c>
      <c r="O113" s="10">
        <v>4</v>
      </c>
      <c r="P113" s="10">
        <v>0</v>
      </c>
      <c r="Q113" s="10">
        <v>0</v>
      </c>
      <c r="R113" s="10">
        <v>0</v>
      </c>
      <c r="S113" s="10">
        <v>2</v>
      </c>
      <c r="T113" s="10">
        <v>2</v>
      </c>
      <c r="U113" s="10">
        <v>0</v>
      </c>
      <c r="V113" s="10">
        <v>0</v>
      </c>
      <c r="W113" s="10">
        <v>1</v>
      </c>
      <c r="X113" s="10">
        <v>1</v>
      </c>
      <c r="Y113" s="10">
        <v>1</v>
      </c>
      <c r="Z113" s="10">
        <v>1</v>
      </c>
      <c r="AA113" s="10">
        <v>0</v>
      </c>
      <c r="AB113" s="10">
        <v>0</v>
      </c>
      <c r="AC113" s="20">
        <f t="shared" si="18"/>
        <v>0</v>
      </c>
      <c r="AD113" s="20">
        <f t="shared" si="19"/>
        <v>0</v>
      </c>
      <c r="AE113" s="20">
        <f t="shared" si="20"/>
        <v>0</v>
      </c>
      <c r="AF113" s="20">
        <f t="shared" si="21"/>
        <v>0</v>
      </c>
      <c r="AG113" s="20">
        <f t="shared" si="22"/>
        <v>0</v>
      </c>
      <c r="AH113" s="20">
        <f t="shared" si="23"/>
        <v>0</v>
      </c>
    </row>
    <row r="114" spans="1:34">
      <c r="A114" s="10" t="s">
        <v>1027</v>
      </c>
      <c r="B114" s="10" t="s">
        <v>1160</v>
      </c>
      <c r="C114" s="10" t="s">
        <v>141</v>
      </c>
      <c r="D114" s="10" t="s">
        <v>5</v>
      </c>
      <c r="E114" s="10" t="s">
        <v>41</v>
      </c>
      <c r="F114" s="10" t="s">
        <v>8</v>
      </c>
      <c r="G114" s="10" t="s">
        <v>9</v>
      </c>
      <c r="H114" s="10" t="s">
        <v>83</v>
      </c>
      <c r="I114" s="10" t="s">
        <v>41</v>
      </c>
      <c r="J114" s="10" t="s">
        <v>41</v>
      </c>
      <c r="K114" s="694" t="s">
        <v>41</v>
      </c>
      <c r="L114" s="694" t="s">
        <v>63</v>
      </c>
      <c r="M114" s="10" t="s">
        <v>1279</v>
      </c>
      <c r="N114" s="10">
        <v>75</v>
      </c>
      <c r="O114" s="10">
        <v>32</v>
      </c>
      <c r="P114" s="10">
        <v>43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  <c r="W114" s="10">
        <v>28</v>
      </c>
      <c r="X114" s="10">
        <v>13</v>
      </c>
      <c r="Y114" s="10">
        <v>20</v>
      </c>
      <c r="Z114" s="10">
        <v>8</v>
      </c>
      <c r="AA114" s="10">
        <v>27</v>
      </c>
      <c r="AB114" s="10">
        <v>11</v>
      </c>
      <c r="AC114" s="20">
        <f t="shared" si="18"/>
        <v>0</v>
      </c>
      <c r="AD114" s="20">
        <f t="shared" si="19"/>
        <v>0</v>
      </c>
      <c r="AE114" s="20">
        <f t="shared" si="20"/>
        <v>0</v>
      </c>
      <c r="AF114" s="20">
        <f t="shared" si="21"/>
        <v>15</v>
      </c>
      <c r="AG114" s="20">
        <f t="shared" si="22"/>
        <v>12</v>
      </c>
      <c r="AH114" s="20">
        <f t="shared" si="23"/>
        <v>16</v>
      </c>
    </row>
    <row r="115" spans="1:34">
      <c r="A115" s="10" t="s">
        <v>1028</v>
      </c>
      <c r="B115" s="10" t="s">
        <v>1161</v>
      </c>
      <c r="C115" s="10" t="s">
        <v>4</v>
      </c>
      <c r="D115" s="10" t="s">
        <v>7</v>
      </c>
      <c r="E115" s="10" t="s">
        <v>41</v>
      </c>
      <c r="F115" s="10" t="s">
        <v>9</v>
      </c>
      <c r="G115" s="10" t="s">
        <v>3</v>
      </c>
      <c r="H115" s="10" t="s">
        <v>102</v>
      </c>
      <c r="I115" s="10" t="s">
        <v>41</v>
      </c>
      <c r="J115" s="10" t="s">
        <v>41</v>
      </c>
      <c r="K115" s="694" t="s">
        <v>41</v>
      </c>
      <c r="L115" s="694" t="s">
        <v>63</v>
      </c>
      <c r="M115" s="10" t="s">
        <v>1280</v>
      </c>
      <c r="N115" s="10">
        <v>15</v>
      </c>
      <c r="O115" s="10">
        <v>10</v>
      </c>
      <c r="P115" s="10">
        <v>5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8</v>
      </c>
      <c r="X115" s="10">
        <v>5</v>
      </c>
      <c r="Y115" s="10">
        <v>7</v>
      </c>
      <c r="Z115" s="10">
        <v>5</v>
      </c>
      <c r="AA115" s="10">
        <v>0</v>
      </c>
      <c r="AB115" s="10">
        <v>0</v>
      </c>
      <c r="AC115" s="20">
        <f t="shared" si="18"/>
        <v>0</v>
      </c>
      <c r="AD115" s="20">
        <f t="shared" si="19"/>
        <v>0</v>
      </c>
      <c r="AE115" s="20">
        <f t="shared" si="20"/>
        <v>0</v>
      </c>
      <c r="AF115" s="20">
        <f t="shared" si="21"/>
        <v>3</v>
      </c>
      <c r="AG115" s="20">
        <f t="shared" si="22"/>
        <v>2</v>
      </c>
      <c r="AH115" s="20">
        <f t="shared" si="23"/>
        <v>0</v>
      </c>
    </row>
    <row r="116" spans="1:34">
      <c r="A116" s="10" t="s">
        <v>1029</v>
      </c>
      <c r="B116" s="10" t="s">
        <v>1162</v>
      </c>
      <c r="C116" s="10" t="s">
        <v>17</v>
      </c>
      <c r="D116" s="10" t="s">
        <v>9</v>
      </c>
      <c r="E116" s="10" t="s">
        <v>54</v>
      </c>
      <c r="F116" s="10" t="s">
        <v>4</v>
      </c>
      <c r="G116" s="10" t="s">
        <v>6</v>
      </c>
      <c r="H116" s="10" t="s">
        <v>1340</v>
      </c>
      <c r="I116" s="10" t="s">
        <v>41</v>
      </c>
      <c r="J116" s="10" t="s">
        <v>42</v>
      </c>
      <c r="K116" s="694" t="s">
        <v>41</v>
      </c>
      <c r="L116" s="694" t="s">
        <v>63</v>
      </c>
      <c r="M116" s="10" t="s">
        <v>1281</v>
      </c>
      <c r="N116" s="10">
        <v>40</v>
      </c>
      <c r="O116" s="10">
        <v>24</v>
      </c>
      <c r="P116" s="10">
        <v>16</v>
      </c>
      <c r="Q116" s="10">
        <v>7</v>
      </c>
      <c r="R116" s="10">
        <v>5</v>
      </c>
      <c r="S116" s="10">
        <v>14</v>
      </c>
      <c r="T116" s="10">
        <v>12</v>
      </c>
      <c r="U116" s="10">
        <v>3</v>
      </c>
      <c r="V116" s="10">
        <v>1</v>
      </c>
      <c r="W116" s="10">
        <v>11</v>
      </c>
      <c r="X116" s="10">
        <v>3</v>
      </c>
      <c r="Y116" s="10">
        <v>5</v>
      </c>
      <c r="Z116" s="10">
        <v>3</v>
      </c>
      <c r="AA116" s="10">
        <v>0</v>
      </c>
      <c r="AB116" s="10">
        <v>0</v>
      </c>
      <c r="AC116" s="20">
        <f t="shared" si="18"/>
        <v>2</v>
      </c>
      <c r="AD116" s="20">
        <f t="shared" si="19"/>
        <v>2</v>
      </c>
      <c r="AE116" s="20">
        <f t="shared" si="20"/>
        <v>2</v>
      </c>
      <c r="AF116" s="20">
        <f t="shared" si="21"/>
        <v>8</v>
      </c>
      <c r="AG116" s="20">
        <f t="shared" si="22"/>
        <v>2</v>
      </c>
      <c r="AH116" s="20">
        <f t="shared" si="23"/>
        <v>0</v>
      </c>
    </row>
    <row r="117" spans="1:34">
      <c r="A117" s="10" t="s">
        <v>1030</v>
      </c>
      <c r="B117" s="10" t="s">
        <v>1163</v>
      </c>
      <c r="C117" s="10" t="s">
        <v>6</v>
      </c>
      <c r="D117" s="10" t="s">
        <v>9</v>
      </c>
      <c r="E117" s="10" t="s">
        <v>42</v>
      </c>
      <c r="F117" s="10" t="s">
        <v>16</v>
      </c>
      <c r="G117" s="10" t="s">
        <v>3</v>
      </c>
      <c r="H117" s="10" t="s">
        <v>85</v>
      </c>
      <c r="I117" s="10" t="s">
        <v>41</v>
      </c>
      <c r="J117" s="10" t="s">
        <v>41</v>
      </c>
      <c r="K117" s="694" t="s">
        <v>41</v>
      </c>
      <c r="L117" s="694" t="s">
        <v>63</v>
      </c>
      <c r="M117" s="10" t="s">
        <v>1282</v>
      </c>
      <c r="N117" s="10">
        <v>106</v>
      </c>
      <c r="O117" s="10">
        <v>72</v>
      </c>
      <c r="P117" s="10">
        <v>34</v>
      </c>
      <c r="Q117" s="10">
        <v>19</v>
      </c>
      <c r="R117" s="10">
        <v>13</v>
      </c>
      <c r="S117" s="10">
        <v>21</v>
      </c>
      <c r="T117" s="10">
        <v>14</v>
      </c>
      <c r="U117" s="10">
        <v>19</v>
      </c>
      <c r="V117" s="10">
        <v>17</v>
      </c>
      <c r="W117" s="10">
        <v>36</v>
      </c>
      <c r="X117" s="10">
        <v>21</v>
      </c>
      <c r="Y117" s="10">
        <v>8</v>
      </c>
      <c r="Z117" s="10">
        <v>5</v>
      </c>
      <c r="AA117" s="10">
        <v>3</v>
      </c>
      <c r="AB117" s="10">
        <v>2</v>
      </c>
      <c r="AC117" s="20">
        <f t="shared" si="18"/>
        <v>6</v>
      </c>
      <c r="AD117" s="20">
        <f t="shared" si="19"/>
        <v>7</v>
      </c>
      <c r="AE117" s="20">
        <f t="shared" si="20"/>
        <v>2</v>
      </c>
      <c r="AF117" s="20">
        <f t="shared" si="21"/>
        <v>15</v>
      </c>
      <c r="AG117" s="20">
        <f t="shared" si="22"/>
        <v>3</v>
      </c>
      <c r="AH117" s="20">
        <f t="shared" si="23"/>
        <v>1</v>
      </c>
    </row>
    <row r="118" spans="1:34">
      <c r="A118" s="10" t="s">
        <v>1031</v>
      </c>
      <c r="B118" s="10" t="s">
        <v>1164</v>
      </c>
      <c r="C118" s="10" t="s">
        <v>5</v>
      </c>
      <c r="D118" s="10" t="s">
        <v>11</v>
      </c>
      <c r="E118" s="10" t="s">
        <v>42</v>
      </c>
      <c r="F118" s="10" t="s">
        <v>7</v>
      </c>
      <c r="G118" s="10" t="s">
        <v>3</v>
      </c>
      <c r="H118" s="10" t="s">
        <v>126</v>
      </c>
      <c r="I118" s="10" t="s">
        <v>41</v>
      </c>
      <c r="J118" s="10" t="s">
        <v>41</v>
      </c>
      <c r="K118" s="694" t="s">
        <v>41</v>
      </c>
      <c r="L118" s="694" t="s">
        <v>63</v>
      </c>
      <c r="M118" s="10" t="s">
        <v>1283</v>
      </c>
      <c r="N118" s="10">
        <v>156</v>
      </c>
      <c r="O118" s="10">
        <v>100</v>
      </c>
      <c r="P118" s="10">
        <v>56</v>
      </c>
      <c r="Q118" s="10">
        <v>24</v>
      </c>
      <c r="R118" s="10">
        <v>9</v>
      </c>
      <c r="S118" s="10">
        <v>27</v>
      </c>
      <c r="T118" s="10">
        <v>20</v>
      </c>
      <c r="U118" s="10">
        <v>22</v>
      </c>
      <c r="V118" s="10">
        <v>13</v>
      </c>
      <c r="W118" s="10">
        <v>40</v>
      </c>
      <c r="X118" s="10">
        <v>31</v>
      </c>
      <c r="Y118" s="10">
        <v>29</v>
      </c>
      <c r="Z118" s="10">
        <v>17</v>
      </c>
      <c r="AA118" s="10">
        <v>14</v>
      </c>
      <c r="AB118" s="10">
        <v>10</v>
      </c>
      <c r="AC118" s="20">
        <f t="shared" si="18"/>
        <v>15</v>
      </c>
      <c r="AD118" s="20">
        <f t="shared" si="19"/>
        <v>7</v>
      </c>
      <c r="AE118" s="20">
        <f t="shared" si="20"/>
        <v>9</v>
      </c>
      <c r="AF118" s="20">
        <f t="shared" si="21"/>
        <v>9</v>
      </c>
      <c r="AG118" s="20">
        <f t="shared" si="22"/>
        <v>12</v>
      </c>
      <c r="AH118" s="20">
        <f t="shared" si="23"/>
        <v>4</v>
      </c>
    </row>
    <row r="119" spans="1:34">
      <c r="A119" s="10" t="s">
        <v>1032</v>
      </c>
      <c r="B119" s="10" t="s">
        <v>1165</v>
      </c>
      <c r="C119" s="10" t="s">
        <v>11</v>
      </c>
      <c r="D119" s="10" t="s">
        <v>3</v>
      </c>
      <c r="E119" s="10" t="s">
        <v>69</v>
      </c>
      <c r="F119" s="10" t="s">
        <v>13</v>
      </c>
      <c r="G119" s="10" t="s">
        <v>3</v>
      </c>
      <c r="H119" s="10" t="s">
        <v>1341</v>
      </c>
      <c r="I119" s="10" t="s">
        <v>41</v>
      </c>
      <c r="J119" s="10" t="s">
        <v>41</v>
      </c>
      <c r="K119" s="694" t="s">
        <v>41</v>
      </c>
      <c r="L119" s="694" t="s">
        <v>63</v>
      </c>
      <c r="M119" s="10" t="s">
        <v>1284</v>
      </c>
      <c r="N119" s="10">
        <v>273</v>
      </c>
      <c r="O119" s="10">
        <v>144</v>
      </c>
      <c r="P119" s="10">
        <v>129</v>
      </c>
      <c r="Q119" s="10">
        <v>54</v>
      </c>
      <c r="R119" s="10">
        <v>29</v>
      </c>
      <c r="S119" s="10">
        <v>53</v>
      </c>
      <c r="T119" s="10">
        <v>28</v>
      </c>
      <c r="U119" s="10">
        <v>57</v>
      </c>
      <c r="V119" s="10">
        <v>30</v>
      </c>
      <c r="W119" s="10">
        <v>31</v>
      </c>
      <c r="X119" s="10">
        <v>17</v>
      </c>
      <c r="Y119" s="10">
        <v>43</v>
      </c>
      <c r="Z119" s="10">
        <v>21</v>
      </c>
      <c r="AA119" s="10">
        <v>35</v>
      </c>
      <c r="AB119" s="10">
        <v>19</v>
      </c>
      <c r="AC119" s="20">
        <f t="shared" si="18"/>
        <v>25</v>
      </c>
      <c r="AD119" s="20">
        <f t="shared" si="19"/>
        <v>25</v>
      </c>
      <c r="AE119" s="20">
        <f t="shared" si="20"/>
        <v>27</v>
      </c>
      <c r="AF119" s="20">
        <f t="shared" si="21"/>
        <v>14</v>
      </c>
      <c r="AG119" s="20">
        <f t="shared" si="22"/>
        <v>22</v>
      </c>
      <c r="AH119" s="20">
        <f t="shared" si="23"/>
        <v>16</v>
      </c>
    </row>
    <row r="120" spans="1:34">
      <c r="A120" s="10" t="s">
        <v>1033</v>
      </c>
      <c r="B120" s="10" t="s">
        <v>1166</v>
      </c>
      <c r="C120" s="10" t="s">
        <v>100</v>
      </c>
      <c r="D120" s="10" t="s">
        <v>9</v>
      </c>
      <c r="E120" s="10" t="s">
        <v>50</v>
      </c>
      <c r="F120" s="10" t="s">
        <v>3</v>
      </c>
      <c r="G120" s="10" t="s">
        <v>5</v>
      </c>
      <c r="H120" s="10" t="s">
        <v>1342</v>
      </c>
      <c r="I120" s="10" t="s">
        <v>41</v>
      </c>
      <c r="J120" s="10" t="s">
        <v>41</v>
      </c>
      <c r="K120" s="694" t="s">
        <v>41</v>
      </c>
      <c r="L120" s="694" t="s">
        <v>63</v>
      </c>
      <c r="M120" s="10" t="s">
        <v>1285</v>
      </c>
      <c r="N120" s="10">
        <v>188</v>
      </c>
      <c r="O120" s="10">
        <v>116</v>
      </c>
      <c r="P120" s="10">
        <v>72</v>
      </c>
      <c r="Q120" s="10">
        <v>25</v>
      </c>
      <c r="R120" s="10">
        <v>13</v>
      </c>
      <c r="S120" s="10">
        <v>33</v>
      </c>
      <c r="T120" s="10">
        <v>19</v>
      </c>
      <c r="U120" s="10">
        <v>25</v>
      </c>
      <c r="V120" s="10">
        <v>15</v>
      </c>
      <c r="W120" s="10">
        <v>31</v>
      </c>
      <c r="X120" s="10">
        <v>19</v>
      </c>
      <c r="Y120" s="10">
        <v>45</v>
      </c>
      <c r="Z120" s="10">
        <v>28</v>
      </c>
      <c r="AA120" s="10">
        <v>29</v>
      </c>
      <c r="AB120" s="10">
        <v>22</v>
      </c>
      <c r="AC120" s="20">
        <f t="shared" si="18"/>
        <v>12</v>
      </c>
      <c r="AD120" s="20">
        <f t="shared" si="19"/>
        <v>14</v>
      </c>
      <c r="AE120" s="20">
        <f t="shared" si="20"/>
        <v>10</v>
      </c>
      <c r="AF120" s="20">
        <f t="shared" si="21"/>
        <v>12</v>
      </c>
      <c r="AG120" s="20">
        <f t="shared" si="22"/>
        <v>17</v>
      </c>
      <c r="AH120" s="20">
        <f t="shared" si="23"/>
        <v>7</v>
      </c>
    </row>
    <row r="121" spans="1:34">
      <c r="A121" s="10" t="s">
        <v>1034</v>
      </c>
      <c r="B121" s="10" t="s">
        <v>1167</v>
      </c>
      <c r="C121" s="10" t="s">
        <v>7</v>
      </c>
      <c r="D121" s="10" t="s">
        <v>11</v>
      </c>
      <c r="E121" s="10" t="s">
        <v>45</v>
      </c>
      <c r="F121" s="10" t="s">
        <v>4</v>
      </c>
      <c r="G121" s="10" t="s">
        <v>5</v>
      </c>
      <c r="H121" s="10" t="s">
        <v>1343</v>
      </c>
      <c r="I121" s="10" t="s">
        <v>41</v>
      </c>
      <c r="J121" s="10" t="s">
        <v>41</v>
      </c>
      <c r="K121" s="694" t="s">
        <v>41</v>
      </c>
      <c r="L121" s="694" t="s">
        <v>63</v>
      </c>
      <c r="M121" s="10" t="s">
        <v>1286</v>
      </c>
      <c r="N121" s="10">
        <v>237</v>
      </c>
      <c r="O121" s="10">
        <v>138</v>
      </c>
      <c r="P121" s="10">
        <v>99</v>
      </c>
      <c r="Q121" s="10">
        <v>44</v>
      </c>
      <c r="R121" s="10">
        <v>28</v>
      </c>
      <c r="S121" s="10">
        <v>29</v>
      </c>
      <c r="T121" s="10">
        <v>19</v>
      </c>
      <c r="U121" s="10">
        <v>44</v>
      </c>
      <c r="V121" s="10">
        <v>31</v>
      </c>
      <c r="W121" s="10">
        <v>70</v>
      </c>
      <c r="X121" s="10">
        <v>40</v>
      </c>
      <c r="Y121" s="10">
        <v>50</v>
      </c>
      <c r="Z121" s="10">
        <v>20</v>
      </c>
      <c r="AA121" s="10">
        <v>0</v>
      </c>
      <c r="AB121" s="10">
        <v>0</v>
      </c>
      <c r="AC121" s="20">
        <f t="shared" si="18"/>
        <v>16</v>
      </c>
      <c r="AD121" s="20">
        <f t="shared" si="19"/>
        <v>10</v>
      </c>
      <c r="AE121" s="20">
        <f t="shared" si="20"/>
        <v>13</v>
      </c>
      <c r="AF121" s="20">
        <f t="shared" si="21"/>
        <v>30</v>
      </c>
      <c r="AG121" s="20">
        <f t="shared" si="22"/>
        <v>30</v>
      </c>
      <c r="AH121" s="20">
        <f t="shared" si="23"/>
        <v>0</v>
      </c>
    </row>
    <row r="122" spans="1:34">
      <c r="A122" s="10" t="s">
        <v>1035</v>
      </c>
      <c r="B122" s="10" t="s">
        <v>1168</v>
      </c>
      <c r="C122" s="10" t="s">
        <v>61</v>
      </c>
      <c r="D122" s="10" t="s">
        <v>17</v>
      </c>
      <c r="E122" s="10" t="s">
        <v>54</v>
      </c>
      <c r="F122" s="10" t="s">
        <v>11</v>
      </c>
      <c r="G122" s="10" t="s">
        <v>7</v>
      </c>
      <c r="H122" s="10" t="s">
        <v>81</v>
      </c>
      <c r="I122" s="10" t="s">
        <v>41</v>
      </c>
      <c r="J122" s="10" t="s">
        <v>42</v>
      </c>
      <c r="K122" s="694" t="s">
        <v>41</v>
      </c>
      <c r="L122" s="694" t="s">
        <v>63</v>
      </c>
      <c r="M122" s="10" t="s">
        <v>1676</v>
      </c>
      <c r="N122" s="10">
        <v>27</v>
      </c>
      <c r="O122" s="10">
        <v>14</v>
      </c>
      <c r="P122" s="10">
        <v>13</v>
      </c>
      <c r="Q122" s="10">
        <v>9</v>
      </c>
      <c r="R122" s="10">
        <v>5</v>
      </c>
      <c r="S122" s="10">
        <v>11</v>
      </c>
      <c r="T122" s="10">
        <v>6</v>
      </c>
      <c r="U122" s="10">
        <v>6</v>
      </c>
      <c r="V122" s="10">
        <v>3</v>
      </c>
      <c r="W122" s="10">
        <v>1</v>
      </c>
      <c r="X122" s="10">
        <v>0</v>
      </c>
      <c r="Y122" s="10">
        <v>0</v>
      </c>
      <c r="Z122" s="10">
        <v>0</v>
      </c>
      <c r="AA122" s="10">
        <v>0</v>
      </c>
      <c r="AB122" s="10">
        <v>0</v>
      </c>
      <c r="AC122" s="20">
        <f t="shared" si="18"/>
        <v>4</v>
      </c>
      <c r="AD122" s="20">
        <f t="shared" si="19"/>
        <v>5</v>
      </c>
      <c r="AE122" s="20">
        <f t="shared" si="20"/>
        <v>3</v>
      </c>
      <c r="AF122" s="20">
        <f t="shared" si="21"/>
        <v>1</v>
      </c>
      <c r="AG122" s="20">
        <f t="shared" si="22"/>
        <v>0</v>
      </c>
      <c r="AH122" s="20">
        <f t="shared" si="23"/>
        <v>0</v>
      </c>
    </row>
    <row r="123" spans="1:34">
      <c r="A123" s="10" t="s">
        <v>1036</v>
      </c>
      <c r="B123" s="10" t="s">
        <v>1169</v>
      </c>
      <c r="C123" s="10" t="s">
        <v>141</v>
      </c>
      <c r="D123" s="10" t="s">
        <v>9</v>
      </c>
      <c r="E123" s="10" t="s">
        <v>41</v>
      </c>
      <c r="F123" s="10" t="s">
        <v>5</v>
      </c>
      <c r="G123" s="10" t="s">
        <v>16</v>
      </c>
      <c r="H123" s="10" t="s">
        <v>73</v>
      </c>
      <c r="I123" s="10" t="s">
        <v>41</v>
      </c>
      <c r="J123" s="10" t="s">
        <v>41</v>
      </c>
      <c r="K123" s="694" t="s">
        <v>41</v>
      </c>
      <c r="L123" s="694" t="s">
        <v>63</v>
      </c>
      <c r="M123" s="10" t="s">
        <v>1287</v>
      </c>
      <c r="N123" s="10">
        <v>270</v>
      </c>
      <c r="O123" s="10">
        <v>134</v>
      </c>
      <c r="P123" s="10">
        <v>136</v>
      </c>
      <c r="Q123" s="10">
        <v>53</v>
      </c>
      <c r="R123" s="10">
        <v>28</v>
      </c>
      <c r="S123" s="10">
        <v>40</v>
      </c>
      <c r="T123" s="10">
        <v>18</v>
      </c>
      <c r="U123" s="10">
        <v>58</v>
      </c>
      <c r="V123" s="10">
        <v>26</v>
      </c>
      <c r="W123" s="10">
        <v>43</v>
      </c>
      <c r="X123" s="10">
        <v>23</v>
      </c>
      <c r="Y123" s="10">
        <v>39</v>
      </c>
      <c r="Z123" s="10">
        <v>17</v>
      </c>
      <c r="AA123" s="10">
        <v>37</v>
      </c>
      <c r="AB123" s="10">
        <v>22</v>
      </c>
      <c r="AC123" s="20">
        <f t="shared" si="18"/>
        <v>25</v>
      </c>
      <c r="AD123" s="20">
        <f t="shared" si="19"/>
        <v>22</v>
      </c>
      <c r="AE123" s="20">
        <f t="shared" si="20"/>
        <v>32</v>
      </c>
      <c r="AF123" s="20">
        <f t="shared" si="21"/>
        <v>20</v>
      </c>
      <c r="AG123" s="20">
        <f t="shared" si="22"/>
        <v>22</v>
      </c>
      <c r="AH123" s="20">
        <f t="shared" si="23"/>
        <v>15</v>
      </c>
    </row>
    <row r="124" spans="1:34">
      <c r="A124" s="10" t="s">
        <v>1037</v>
      </c>
      <c r="B124" s="10" t="s">
        <v>1170</v>
      </c>
      <c r="C124" s="10" t="s">
        <v>141</v>
      </c>
      <c r="D124" s="10" t="s">
        <v>5</v>
      </c>
      <c r="E124" s="10" t="s">
        <v>41</v>
      </c>
      <c r="F124" s="10" t="s">
        <v>8</v>
      </c>
      <c r="G124" s="10" t="s">
        <v>8</v>
      </c>
      <c r="H124" s="10" t="s">
        <v>74</v>
      </c>
      <c r="I124" s="10" t="s">
        <v>41</v>
      </c>
      <c r="J124" s="10" t="s">
        <v>42</v>
      </c>
      <c r="K124" s="694" t="s">
        <v>41</v>
      </c>
      <c r="L124" s="694" t="s">
        <v>63</v>
      </c>
      <c r="M124" s="10" t="s">
        <v>1288</v>
      </c>
      <c r="N124" s="10">
        <v>39</v>
      </c>
      <c r="O124" s="10">
        <v>29</v>
      </c>
      <c r="P124" s="10">
        <v>10</v>
      </c>
      <c r="Q124" s="10">
        <v>10</v>
      </c>
      <c r="R124" s="10">
        <v>5</v>
      </c>
      <c r="S124" s="10">
        <v>13</v>
      </c>
      <c r="T124" s="10">
        <v>10</v>
      </c>
      <c r="U124" s="10">
        <v>6</v>
      </c>
      <c r="V124" s="10">
        <v>5</v>
      </c>
      <c r="W124" s="10">
        <v>1</v>
      </c>
      <c r="X124" s="10">
        <v>1</v>
      </c>
      <c r="Y124" s="10">
        <v>3</v>
      </c>
      <c r="Z124" s="10">
        <v>2</v>
      </c>
      <c r="AA124" s="10">
        <v>6</v>
      </c>
      <c r="AB124" s="10">
        <v>6</v>
      </c>
      <c r="AC124" s="20">
        <f t="shared" si="18"/>
        <v>5</v>
      </c>
      <c r="AD124" s="20">
        <f t="shared" si="19"/>
        <v>3</v>
      </c>
      <c r="AE124" s="20">
        <f t="shared" si="20"/>
        <v>1</v>
      </c>
      <c r="AF124" s="20">
        <f t="shared" si="21"/>
        <v>0</v>
      </c>
      <c r="AG124" s="20">
        <f t="shared" si="22"/>
        <v>1</v>
      </c>
      <c r="AH124" s="20">
        <f t="shared" si="23"/>
        <v>0</v>
      </c>
    </row>
    <row r="125" spans="1:34">
      <c r="A125" s="10" t="s">
        <v>1038</v>
      </c>
      <c r="B125" s="10" t="s">
        <v>1171</v>
      </c>
      <c r="C125" s="10" t="s">
        <v>141</v>
      </c>
      <c r="D125" s="10" t="s">
        <v>4</v>
      </c>
      <c r="E125" s="10" t="s">
        <v>41</v>
      </c>
      <c r="F125" s="10" t="s">
        <v>5</v>
      </c>
      <c r="G125" s="10" t="s">
        <v>4</v>
      </c>
      <c r="H125" s="10" t="s">
        <v>71</v>
      </c>
      <c r="I125" s="10" t="s">
        <v>41</v>
      </c>
      <c r="J125" s="10" t="s">
        <v>41</v>
      </c>
      <c r="K125" s="694" t="s">
        <v>41</v>
      </c>
      <c r="L125" s="694" t="s">
        <v>63</v>
      </c>
      <c r="M125" s="10" t="s">
        <v>1289</v>
      </c>
      <c r="N125" s="10">
        <v>277</v>
      </c>
      <c r="O125" s="10">
        <v>150</v>
      </c>
      <c r="P125" s="10">
        <v>127</v>
      </c>
      <c r="Q125" s="10">
        <v>49</v>
      </c>
      <c r="R125" s="10">
        <v>23</v>
      </c>
      <c r="S125" s="10">
        <v>48</v>
      </c>
      <c r="T125" s="10">
        <v>28</v>
      </c>
      <c r="U125" s="10">
        <v>52</v>
      </c>
      <c r="V125" s="10">
        <v>28</v>
      </c>
      <c r="W125" s="10">
        <v>61</v>
      </c>
      <c r="X125" s="10">
        <v>36</v>
      </c>
      <c r="Y125" s="10">
        <v>45</v>
      </c>
      <c r="Z125" s="10">
        <v>28</v>
      </c>
      <c r="AA125" s="10">
        <v>22</v>
      </c>
      <c r="AB125" s="10">
        <v>7</v>
      </c>
      <c r="AC125" s="20">
        <f t="shared" si="18"/>
        <v>26</v>
      </c>
      <c r="AD125" s="20">
        <f t="shared" si="19"/>
        <v>20</v>
      </c>
      <c r="AE125" s="20">
        <f t="shared" si="20"/>
        <v>24</v>
      </c>
      <c r="AF125" s="20">
        <f t="shared" si="21"/>
        <v>25</v>
      </c>
      <c r="AG125" s="20">
        <f t="shared" si="22"/>
        <v>17</v>
      </c>
      <c r="AH125" s="20">
        <f t="shared" si="23"/>
        <v>15</v>
      </c>
    </row>
    <row r="126" spans="1:34">
      <c r="A126" s="10" t="s">
        <v>1039</v>
      </c>
      <c r="B126" s="10" t="s">
        <v>1172</v>
      </c>
      <c r="C126" s="10" t="s">
        <v>142</v>
      </c>
      <c r="D126" s="10" t="s">
        <v>11</v>
      </c>
      <c r="E126" s="10" t="s">
        <v>50</v>
      </c>
      <c r="F126" s="10" t="s">
        <v>4</v>
      </c>
      <c r="G126" s="10" t="s">
        <v>5</v>
      </c>
      <c r="H126" s="10" t="s">
        <v>2534</v>
      </c>
      <c r="I126" s="10" t="s">
        <v>41</v>
      </c>
      <c r="J126" s="10" t="s">
        <v>42</v>
      </c>
      <c r="K126" s="694" t="s">
        <v>41</v>
      </c>
      <c r="L126" s="694" t="s">
        <v>63</v>
      </c>
      <c r="M126" s="10" t="s">
        <v>1290</v>
      </c>
      <c r="N126" s="10">
        <v>211</v>
      </c>
      <c r="O126" s="10">
        <v>103</v>
      </c>
      <c r="P126" s="10">
        <v>108</v>
      </c>
      <c r="Q126" s="10">
        <v>53</v>
      </c>
      <c r="R126" s="10">
        <v>30</v>
      </c>
      <c r="S126" s="10">
        <v>44</v>
      </c>
      <c r="T126" s="10">
        <v>21</v>
      </c>
      <c r="U126" s="10">
        <v>31</v>
      </c>
      <c r="V126" s="10">
        <v>21</v>
      </c>
      <c r="W126" s="10">
        <v>40</v>
      </c>
      <c r="X126" s="10">
        <v>20</v>
      </c>
      <c r="Y126" s="10">
        <v>25</v>
      </c>
      <c r="Z126" s="10">
        <v>7</v>
      </c>
      <c r="AA126" s="10">
        <v>18</v>
      </c>
      <c r="AB126" s="10">
        <v>4</v>
      </c>
      <c r="AC126" s="20">
        <f t="shared" si="18"/>
        <v>23</v>
      </c>
      <c r="AD126" s="20">
        <f t="shared" si="19"/>
        <v>23</v>
      </c>
      <c r="AE126" s="20">
        <f t="shared" si="20"/>
        <v>10</v>
      </c>
      <c r="AF126" s="20">
        <f t="shared" si="21"/>
        <v>20</v>
      </c>
      <c r="AG126" s="20">
        <f t="shared" si="22"/>
        <v>18</v>
      </c>
      <c r="AH126" s="20">
        <f t="shared" si="23"/>
        <v>14</v>
      </c>
    </row>
    <row r="127" spans="1:34">
      <c r="A127" s="10" t="s">
        <v>1040</v>
      </c>
      <c r="B127" s="10" t="s">
        <v>1173</v>
      </c>
      <c r="C127" s="10" t="s">
        <v>142</v>
      </c>
      <c r="D127" s="10" t="s">
        <v>8</v>
      </c>
      <c r="E127" s="10" t="s">
        <v>50</v>
      </c>
      <c r="F127" s="10" t="s">
        <v>4</v>
      </c>
      <c r="G127" s="10" t="s">
        <v>5</v>
      </c>
      <c r="H127" s="10" t="s">
        <v>1345</v>
      </c>
      <c r="I127" s="10" t="s">
        <v>41</v>
      </c>
      <c r="J127" s="10" t="s">
        <v>42</v>
      </c>
      <c r="K127" s="694" t="s">
        <v>41</v>
      </c>
      <c r="L127" s="694" t="s">
        <v>63</v>
      </c>
      <c r="M127" s="10" t="s">
        <v>1291</v>
      </c>
      <c r="N127" s="10">
        <v>49</v>
      </c>
      <c r="O127" s="10">
        <v>26</v>
      </c>
      <c r="P127" s="10">
        <v>23</v>
      </c>
      <c r="Q127" s="10">
        <v>17</v>
      </c>
      <c r="R127" s="10">
        <v>9</v>
      </c>
      <c r="S127" s="10">
        <v>1</v>
      </c>
      <c r="T127" s="10">
        <v>1</v>
      </c>
      <c r="U127" s="10">
        <v>16</v>
      </c>
      <c r="V127" s="10">
        <v>10</v>
      </c>
      <c r="W127" s="10">
        <v>0</v>
      </c>
      <c r="X127" s="10">
        <v>0</v>
      </c>
      <c r="Y127" s="10">
        <v>15</v>
      </c>
      <c r="Z127" s="10">
        <v>6</v>
      </c>
      <c r="AA127" s="10">
        <v>0</v>
      </c>
      <c r="AB127" s="10">
        <v>0</v>
      </c>
      <c r="AC127" s="20">
        <f t="shared" si="18"/>
        <v>8</v>
      </c>
      <c r="AD127" s="20">
        <f t="shared" si="19"/>
        <v>0</v>
      </c>
      <c r="AE127" s="20">
        <f t="shared" si="20"/>
        <v>6</v>
      </c>
      <c r="AF127" s="20">
        <f t="shared" si="21"/>
        <v>0</v>
      </c>
      <c r="AG127" s="20">
        <f t="shared" si="22"/>
        <v>9</v>
      </c>
      <c r="AH127" s="20">
        <f t="shared" si="23"/>
        <v>0</v>
      </c>
    </row>
    <row r="128" spans="1:34">
      <c r="A128" s="10" t="s">
        <v>1041</v>
      </c>
      <c r="B128" s="10" t="s">
        <v>1174</v>
      </c>
      <c r="C128" s="10" t="s">
        <v>51</v>
      </c>
      <c r="D128" s="10" t="s">
        <v>4</v>
      </c>
      <c r="E128" s="10" t="s">
        <v>42</v>
      </c>
      <c r="F128" s="10" t="s">
        <v>13</v>
      </c>
      <c r="G128" s="10" t="s">
        <v>4</v>
      </c>
      <c r="H128" s="10" t="s">
        <v>1346</v>
      </c>
      <c r="I128" s="10" t="s">
        <v>41</v>
      </c>
      <c r="J128" s="10" t="s">
        <v>41</v>
      </c>
      <c r="K128" s="694" t="s">
        <v>41</v>
      </c>
      <c r="L128" s="694" t="s">
        <v>63</v>
      </c>
      <c r="M128" s="10" t="s">
        <v>1292</v>
      </c>
      <c r="N128" s="10">
        <v>50</v>
      </c>
      <c r="O128" s="10">
        <v>31</v>
      </c>
      <c r="P128" s="10">
        <v>19</v>
      </c>
      <c r="Q128" s="10">
        <v>16</v>
      </c>
      <c r="R128" s="10">
        <v>8</v>
      </c>
      <c r="S128" s="10">
        <v>12</v>
      </c>
      <c r="T128" s="10">
        <v>9</v>
      </c>
      <c r="U128" s="10">
        <v>4</v>
      </c>
      <c r="V128" s="10">
        <v>2</v>
      </c>
      <c r="W128" s="10">
        <v>15</v>
      </c>
      <c r="X128" s="10">
        <v>10</v>
      </c>
      <c r="Y128" s="10">
        <v>0</v>
      </c>
      <c r="Z128" s="10">
        <v>0</v>
      </c>
      <c r="AA128" s="10">
        <v>3</v>
      </c>
      <c r="AB128" s="10">
        <v>2</v>
      </c>
      <c r="AC128" s="20">
        <f t="shared" si="18"/>
        <v>8</v>
      </c>
      <c r="AD128" s="20">
        <f t="shared" si="19"/>
        <v>3</v>
      </c>
      <c r="AE128" s="20">
        <f t="shared" si="20"/>
        <v>2</v>
      </c>
      <c r="AF128" s="20">
        <f t="shared" si="21"/>
        <v>5</v>
      </c>
      <c r="AG128" s="20">
        <f t="shared" si="22"/>
        <v>0</v>
      </c>
      <c r="AH128" s="20">
        <f t="shared" si="23"/>
        <v>1</v>
      </c>
    </row>
    <row r="129" spans="1:34">
      <c r="A129" s="10" t="s">
        <v>1042</v>
      </c>
      <c r="B129" s="10" t="s">
        <v>1175</v>
      </c>
      <c r="C129" s="10" t="s">
        <v>3</v>
      </c>
      <c r="D129" s="10" t="s">
        <v>8</v>
      </c>
      <c r="E129" s="10" t="s">
        <v>41</v>
      </c>
      <c r="F129" s="10" t="s">
        <v>13</v>
      </c>
      <c r="G129" s="10" t="s">
        <v>3</v>
      </c>
      <c r="H129" s="10" t="s">
        <v>1347</v>
      </c>
      <c r="I129" s="10" t="s">
        <v>41</v>
      </c>
      <c r="J129" s="10" t="s">
        <v>41</v>
      </c>
      <c r="K129" s="694" t="s">
        <v>41</v>
      </c>
      <c r="L129" s="694" t="s">
        <v>63</v>
      </c>
      <c r="M129" s="10" t="s">
        <v>1293</v>
      </c>
      <c r="N129" s="10">
        <v>57</v>
      </c>
      <c r="O129" s="10">
        <v>24</v>
      </c>
      <c r="P129" s="10">
        <v>33</v>
      </c>
      <c r="Q129" s="10">
        <v>10</v>
      </c>
      <c r="R129" s="10">
        <v>5</v>
      </c>
      <c r="S129" s="10">
        <v>8</v>
      </c>
      <c r="T129" s="10">
        <v>5</v>
      </c>
      <c r="U129" s="10">
        <v>16</v>
      </c>
      <c r="V129" s="10">
        <v>6</v>
      </c>
      <c r="W129" s="10">
        <v>12</v>
      </c>
      <c r="X129" s="10">
        <v>2</v>
      </c>
      <c r="Y129" s="10">
        <v>9</v>
      </c>
      <c r="Z129" s="10">
        <v>4</v>
      </c>
      <c r="AA129" s="10">
        <v>2</v>
      </c>
      <c r="AB129" s="10">
        <v>2</v>
      </c>
      <c r="AC129" s="20">
        <f t="shared" si="18"/>
        <v>5</v>
      </c>
      <c r="AD129" s="20">
        <f t="shared" si="19"/>
        <v>3</v>
      </c>
      <c r="AE129" s="20">
        <f t="shared" si="20"/>
        <v>10</v>
      </c>
      <c r="AF129" s="20">
        <f t="shared" si="21"/>
        <v>10</v>
      </c>
      <c r="AG129" s="20">
        <f t="shared" si="22"/>
        <v>5</v>
      </c>
      <c r="AH129" s="20">
        <f t="shared" si="23"/>
        <v>0</v>
      </c>
    </row>
    <row r="130" spans="1:34">
      <c r="A130" s="10" t="s">
        <v>1043</v>
      </c>
      <c r="B130" s="10" t="s">
        <v>1176</v>
      </c>
      <c r="C130" s="10" t="s">
        <v>9</v>
      </c>
      <c r="D130" s="10" t="s">
        <v>9</v>
      </c>
      <c r="E130" s="10" t="s">
        <v>63</v>
      </c>
      <c r="F130" s="10" t="s">
        <v>9</v>
      </c>
      <c r="G130" s="10" t="s">
        <v>4</v>
      </c>
      <c r="H130" s="10" t="s">
        <v>110</v>
      </c>
      <c r="I130" s="10" t="s">
        <v>41</v>
      </c>
      <c r="J130" s="10" t="s">
        <v>41</v>
      </c>
      <c r="K130" s="694" t="s">
        <v>41</v>
      </c>
      <c r="L130" s="694" t="s">
        <v>63</v>
      </c>
      <c r="M130" s="10" t="s">
        <v>1294</v>
      </c>
      <c r="N130" s="10">
        <v>31</v>
      </c>
      <c r="O130" s="10">
        <v>13</v>
      </c>
      <c r="P130" s="10">
        <v>18</v>
      </c>
      <c r="Q130" s="10">
        <v>0</v>
      </c>
      <c r="R130" s="10">
        <v>0</v>
      </c>
      <c r="S130" s="10">
        <v>0</v>
      </c>
      <c r="T130" s="10">
        <v>0</v>
      </c>
      <c r="U130" s="10">
        <v>0</v>
      </c>
      <c r="V130" s="10">
        <v>0</v>
      </c>
      <c r="W130" s="10">
        <v>13</v>
      </c>
      <c r="X130" s="10">
        <v>5</v>
      </c>
      <c r="Y130" s="10">
        <v>18</v>
      </c>
      <c r="Z130" s="10">
        <v>8</v>
      </c>
      <c r="AA130" s="10">
        <v>0</v>
      </c>
      <c r="AB130" s="10">
        <v>0</v>
      </c>
      <c r="AC130" s="20">
        <f t="shared" si="18"/>
        <v>0</v>
      </c>
      <c r="AD130" s="20">
        <f t="shared" si="19"/>
        <v>0</v>
      </c>
      <c r="AE130" s="20">
        <f t="shared" si="20"/>
        <v>0</v>
      </c>
      <c r="AF130" s="20">
        <f t="shared" si="21"/>
        <v>8</v>
      </c>
      <c r="AG130" s="20">
        <f t="shared" si="22"/>
        <v>10</v>
      </c>
      <c r="AH130" s="20">
        <f t="shared" si="23"/>
        <v>0</v>
      </c>
    </row>
    <row r="131" spans="1:34">
      <c r="A131" s="10" t="s">
        <v>1044</v>
      </c>
      <c r="B131" s="10" t="s">
        <v>1177</v>
      </c>
      <c r="C131" s="10" t="s">
        <v>5</v>
      </c>
      <c r="D131" s="10" t="s">
        <v>6</v>
      </c>
      <c r="E131" s="10" t="s">
        <v>42</v>
      </c>
      <c r="F131" s="10" t="s">
        <v>3</v>
      </c>
      <c r="G131" s="10" t="s">
        <v>11</v>
      </c>
      <c r="H131" s="10" t="s">
        <v>58</v>
      </c>
      <c r="I131" s="10" t="s">
        <v>41</v>
      </c>
      <c r="J131" s="10" t="s">
        <v>41</v>
      </c>
      <c r="K131" s="694" t="s">
        <v>41</v>
      </c>
      <c r="L131" s="694" t="s">
        <v>63</v>
      </c>
      <c r="M131" s="10" t="s">
        <v>1295</v>
      </c>
      <c r="N131" s="10">
        <v>471</v>
      </c>
      <c r="O131" s="10">
        <v>229</v>
      </c>
      <c r="P131" s="10">
        <v>242</v>
      </c>
      <c r="Q131" s="10">
        <v>1</v>
      </c>
      <c r="R131" s="10">
        <v>1</v>
      </c>
      <c r="S131" s="10">
        <v>72</v>
      </c>
      <c r="T131" s="10">
        <v>43</v>
      </c>
      <c r="U131" s="10">
        <v>129</v>
      </c>
      <c r="V131" s="10">
        <v>71</v>
      </c>
      <c r="W131" s="10">
        <v>131</v>
      </c>
      <c r="X131" s="10">
        <v>56</v>
      </c>
      <c r="Y131" s="10">
        <v>54</v>
      </c>
      <c r="Z131" s="10">
        <v>27</v>
      </c>
      <c r="AA131" s="10">
        <v>84</v>
      </c>
      <c r="AB131" s="10">
        <v>31</v>
      </c>
      <c r="AC131" s="20">
        <f t="shared" ref="AC131:AC137" si="24">+Q131-R131</f>
        <v>0</v>
      </c>
      <c r="AD131" s="20">
        <f t="shared" ref="AD131:AD137" si="25">+S131-T131</f>
        <v>29</v>
      </c>
      <c r="AE131" s="20">
        <f t="shared" ref="AE131:AE137" si="26">+U131-V131</f>
        <v>58</v>
      </c>
      <c r="AF131" s="20">
        <f t="shared" ref="AF131:AF137" si="27">+W131-X131</f>
        <v>75</v>
      </c>
      <c r="AG131" s="20">
        <f t="shared" ref="AG131:AG137" si="28">+Y131-Z131</f>
        <v>27</v>
      </c>
      <c r="AH131" s="20">
        <f t="shared" ref="AH131:AH137" si="29">+AA131-AB131</f>
        <v>53</v>
      </c>
    </row>
    <row r="132" spans="1:34">
      <c r="A132" s="10" t="s">
        <v>1045</v>
      </c>
      <c r="B132" s="10" t="s">
        <v>1178</v>
      </c>
      <c r="C132" s="10" t="s">
        <v>51</v>
      </c>
      <c r="D132" s="10" t="s">
        <v>4</v>
      </c>
      <c r="E132" s="10" t="s">
        <v>42</v>
      </c>
      <c r="F132" s="10" t="s">
        <v>13</v>
      </c>
      <c r="G132" s="10" t="s">
        <v>11</v>
      </c>
      <c r="H132" s="10" t="s">
        <v>1348</v>
      </c>
      <c r="I132" s="10" t="s">
        <v>41</v>
      </c>
      <c r="J132" s="10" t="s">
        <v>42</v>
      </c>
      <c r="K132" s="694" t="s">
        <v>41</v>
      </c>
      <c r="L132" s="694" t="s">
        <v>63</v>
      </c>
      <c r="M132" s="10" t="s">
        <v>1296</v>
      </c>
      <c r="N132" s="10">
        <v>156</v>
      </c>
      <c r="O132" s="10">
        <v>96</v>
      </c>
      <c r="P132" s="10">
        <v>60</v>
      </c>
      <c r="Q132" s="10">
        <v>38</v>
      </c>
      <c r="R132" s="10">
        <v>22</v>
      </c>
      <c r="S132" s="10">
        <v>30</v>
      </c>
      <c r="T132" s="10">
        <v>17</v>
      </c>
      <c r="U132" s="10">
        <v>33</v>
      </c>
      <c r="V132" s="10">
        <v>19</v>
      </c>
      <c r="W132" s="10">
        <v>33</v>
      </c>
      <c r="X132" s="10">
        <v>22</v>
      </c>
      <c r="Y132" s="10">
        <v>9</v>
      </c>
      <c r="Z132" s="10">
        <v>5</v>
      </c>
      <c r="AA132" s="10">
        <v>13</v>
      </c>
      <c r="AB132" s="10">
        <v>11</v>
      </c>
      <c r="AC132" s="20">
        <f t="shared" si="24"/>
        <v>16</v>
      </c>
      <c r="AD132" s="20">
        <f t="shared" si="25"/>
        <v>13</v>
      </c>
      <c r="AE132" s="20">
        <f t="shared" si="26"/>
        <v>14</v>
      </c>
      <c r="AF132" s="20">
        <f t="shared" si="27"/>
        <v>11</v>
      </c>
      <c r="AG132" s="20">
        <f t="shared" si="28"/>
        <v>4</v>
      </c>
      <c r="AH132" s="20">
        <f t="shared" si="29"/>
        <v>2</v>
      </c>
    </row>
    <row r="133" spans="1:34">
      <c r="A133" s="10" t="s">
        <v>1046</v>
      </c>
      <c r="B133" s="10" t="s">
        <v>1179</v>
      </c>
      <c r="C133" s="10" t="s">
        <v>12</v>
      </c>
      <c r="D133" s="10" t="s">
        <v>5</v>
      </c>
      <c r="E133" s="10" t="s">
        <v>69</v>
      </c>
      <c r="F133" s="10" t="s">
        <v>4</v>
      </c>
      <c r="G133" s="10" t="s">
        <v>6</v>
      </c>
      <c r="H133" s="10" t="s">
        <v>1349</v>
      </c>
      <c r="I133" s="10" t="s">
        <v>41</v>
      </c>
      <c r="J133" s="10" t="s">
        <v>42</v>
      </c>
      <c r="K133" s="694" t="s">
        <v>41</v>
      </c>
      <c r="L133" s="694" t="s">
        <v>63</v>
      </c>
      <c r="M133" s="10" t="s">
        <v>1297</v>
      </c>
      <c r="N133" s="10">
        <v>39</v>
      </c>
      <c r="O133" s="10">
        <v>25</v>
      </c>
      <c r="P133" s="10">
        <v>14</v>
      </c>
      <c r="Q133" s="10">
        <v>12</v>
      </c>
      <c r="R133" s="10">
        <v>9</v>
      </c>
      <c r="S133" s="10">
        <v>10</v>
      </c>
      <c r="T133" s="10">
        <v>7</v>
      </c>
      <c r="U133" s="10">
        <v>0</v>
      </c>
      <c r="V133" s="10">
        <v>0</v>
      </c>
      <c r="W133" s="10">
        <v>10</v>
      </c>
      <c r="X133" s="10">
        <v>2</v>
      </c>
      <c r="Y133" s="10">
        <v>4</v>
      </c>
      <c r="Z133" s="10">
        <v>4</v>
      </c>
      <c r="AA133" s="10">
        <v>3</v>
      </c>
      <c r="AB133" s="10">
        <v>3</v>
      </c>
      <c r="AC133" s="20">
        <f t="shared" si="24"/>
        <v>3</v>
      </c>
      <c r="AD133" s="20">
        <f t="shared" si="25"/>
        <v>3</v>
      </c>
      <c r="AE133" s="20">
        <f t="shared" si="26"/>
        <v>0</v>
      </c>
      <c r="AF133" s="20">
        <f t="shared" si="27"/>
        <v>8</v>
      </c>
      <c r="AG133" s="20">
        <f t="shared" si="28"/>
        <v>0</v>
      </c>
      <c r="AH133" s="20">
        <f t="shared" si="29"/>
        <v>0</v>
      </c>
    </row>
    <row r="134" spans="1:34">
      <c r="A134" s="10" t="s">
        <v>1047</v>
      </c>
      <c r="B134" s="10" t="s">
        <v>1180</v>
      </c>
      <c r="C134" s="10" t="s">
        <v>9</v>
      </c>
      <c r="D134" s="10" t="s">
        <v>7</v>
      </c>
      <c r="E134" s="10" t="s">
        <v>63</v>
      </c>
      <c r="F134" s="10" t="s">
        <v>5</v>
      </c>
      <c r="G134" s="10" t="s">
        <v>5</v>
      </c>
      <c r="H134" s="10" t="s">
        <v>44</v>
      </c>
      <c r="I134" s="10" t="s">
        <v>41</v>
      </c>
      <c r="J134" s="10" t="s">
        <v>41</v>
      </c>
      <c r="K134" s="694" t="s">
        <v>41</v>
      </c>
      <c r="L134" s="694" t="s">
        <v>63</v>
      </c>
      <c r="M134" s="10" t="s">
        <v>1298</v>
      </c>
      <c r="N134" s="10">
        <v>135</v>
      </c>
      <c r="O134" s="10">
        <v>70</v>
      </c>
      <c r="P134" s="10">
        <v>65</v>
      </c>
      <c r="Q134" s="10">
        <v>18</v>
      </c>
      <c r="R134" s="10">
        <v>9</v>
      </c>
      <c r="S134" s="10">
        <v>27</v>
      </c>
      <c r="T134" s="10">
        <v>16</v>
      </c>
      <c r="U134" s="10">
        <v>12</v>
      </c>
      <c r="V134" s="10">
        <v>4</v>
      </c>
      <c r="W134" s="10">
        <v>33</v>
      </c>
      <c r="X134" s="10">
        <v>18</v>
      </c>
      <c r="Y134" s="10">
        <v>33</v>
      </c>
      <c r="Z134" s="10">
        <v>17</v>
      </c>
      <c r="AA134" s="10">
        <v>12</v>
      </c>
      <c r="AB134" s="10">
        <v>6</v>
      </c>
      <c r="AC134" s="20">
        <f t="shared" si="24"/>
        <v>9</v>
      </c>
      <c r="AD134" s="20">
        <f t="shared" si="25"/>
        <v>11</v>
      </c>
      <c r="AE134" s="20">
        <f t="shared" si="26"/>
        <v>8</v>
      </c>
      <c r="AF134" s="20">
        <f t="shared" si="27"/>
        <v>15</v>
      </c>
      <c r="AG134" s="20">
        <f t="shared" si="28"/>
        <v>16</v>
      </c>
      <c r="AH134" s="20">
        <f t="shared" si="29"/>
        <v>6</v>
      </c>
    </row>
    <row r="135" spans="1:34">
      <c r="A135" s="10" t="s">
        <v>1048</v>
      </c>
      <c r="B135" s="10" t="s">
        <v>856</v>
      </c>
      <c r="C135" s="10" t="s">
        <v>9</v>
      </c>
      <c r="D135" s="10" t="s">
        <v>9</v>
      </c>
      <c r="E135" s="10" t="s">
        <v>63</v>
      </c>
      <c r="F135" s="10" t="s">
        <v>9</v>
      </c>
      <c r="G135" s="10" t="s">
        <v>5</v>
      </c>
      <c r="H135" s="10" t="s">
        <v>2547</v>
      </c>
      <c r="I135" s="10" t="s">
        <v>42</v>
      </c>
      <c r="J135" s="10" t="s">
        <v>41</v>
      </c>
      <c r="K135" s="694" t="s">
        <v>2542</v>
      </c>
      <c r="L135" s="694" t="s">
        <v>63</v>
      </c>
      <c r="M135" s="10" t="s">
        <v>1299</v>
      </c>
      <c r="N135" s="10">
        <v>75</v>
      </c>
      <c r="O135" s="10">
        <v>56</v>
      </c>
      <c r="P135" s="10">
        <v>19</v>
      </c>
      <c r="Q135" s="10">
        <v>24</v>
      </c>
      <c r="R135" s="10">
        <v>16</v>
      </c>
      <c r="S135" s="10">
        <v>18</v>
      </c>
      <c r="T135" s="10">
        <v>15</v>
      </c>
      <c r="U135" s="10">
        <v>12</v>
      </c>
      <c r="V135" s="10">
        <v>8</v>
      </c>
      <c r="W135" s="10">
        <v>12</v>
      </c>
      <c r="X135" s="10">
        <v>11</v>
      </c>
      <c r="Y135" s="10">
        <v>9</v>
      </c>
      <c r="Z135" s="10">
        <v>6</v>
      </c>
      <c r="AA135" s="10">
        <v>0</v>
      </c>
      <c r="AB135" s="10">
        <v>0</v>
      </c>
      <c r="AC135" s="20">
        <f t="shared" si="24"/>
        <v>8</v>
      </c>
      <c r="AD135" s="20">
        <f t="shared" si="25"/>
        <v>3</v>
      </c>
      <c r="AE135" s="20">
        <f t="shared" si="26"/>
        <v>4</v>
      </c>
      <c r="AF135" s="20">
        <f t="shared" si="27"/>
        <v>1</v>
      </c>
      <c r="AG135" s="20">
        <f t="shared" si="28"/>
        <v>3</v>
      </c>
      <c r="AH135" s="20">
        <f t="shared" si="29"/>
        <v>0</v>
      </c>
    </row>
    <row r="136" spans="1:34">
      <c r="A136" s="10" t="s">
        <v>1049</v>
      </c>
      <c r="B136" s="10" t="s">
        <v>1181</v>
      </c>
      <c r="C136" s="10" t="s">
        <v>179</v>
      </c>
      <c r="D136" s="10" t="s">
        <v>7</v>
      </c>
      <c r="E136" s="10" t="s">
        <v>41</v>
      </c>
      <c r="F136" s="10" t="s">
        <v>3</v>
      </c>
      <c r="G136" s="10" t="s">
        <v>9</v>
      </c>
      <c r="H136" s="10" t="s">
        <v>1350</v>
      </c>
      <c r="I136" s="10" t="s">
        <v>41</v>
      </c>
      <c r="J136" s="10" t="s">
        <v>41</v>
      </c>
      <c r="K136" s="694"/>
      <c r="L136" s="694" t="s">
        <v>63</v>
      </c>
      <c r="M136" s="10" t="s">
        <v>1300</v>
      </c>
      <c r="N136" s="10">
        <v>53</v>
      </c>
      <c r="O136" s="10">
        <v>28</v>
      </c>
      <c r="P136" s="10">
        <v>25</v>
      </c>
      <c r="Q136" s="10">
        <v>8</v>
      </c>
      <c r="R136" s="10">
        <v>5</v>
      </c>
      <c r="S136" s="10">
        <v>11</v>
      </c>
      <c r="T136" s="10">
        <v>7</v>
      </c>
      <c r="U136" s="10">
        <v>14</v>
      </c>
      <c r="V136" s="10">
        <v>7</v>
      </c>
      <c r="W136" s="10">
        <v>13</v>
      </c>
      <c r="X136" s="10">
        <v>7</v>
      </c>
      <c r="Y136" s="10">
        <v>1</v>
      </c>
      <c r="Z136" s="10">
        <v>0</v>
      </c>
      <c r="AA136" s="10">
        <v>6</v>
      </c>
      <c r="AB136" s="10">
        <v>2</v>
      </c>
      <c r="AC136" s="20">
        <f t="shared" si="24"/>
        <v>3</v>
      </c>
      <c r="AD136" s="20">
        <f t="shared" si="25"/>
        <v>4</v>
      </c>
      <c r="AE136" s="20">
        <f t="shared" si="26"/>
        <v>7</v>
      </c>
      <c r="AF136" s="20">
        <f t="shared" si="27"/>
        <v>6</v>
      </c>
      <c r="AG136" s="20">
        <f t="shared" si="28"/>
        <v>1</v>
      </c>
      <c r="AH136" s="20">
        <f t="shared" si="29"/>
        <v>4</v>
      </c>
    </row>
    <row r="137" spans="1:34">
      <c r="A137" s="10" t="s">
        <v>1050</v>
      </c>
      <c r="B137" s="10" t="s">
        <v>1182</v>
      </c>
      <c r="C137" s="10" t="s">
        <v>3</v>
      </c>
      <c r="D137" s="10" t="s">
        <v>7</v>
      </c>
      <c r="E137" s="10" t="s">
        <v>41</v>
      </c>
      <c r="F137" s="10" t="s">
        <v>3</v>
      </c>
      <c r="G137" s="10" t="s">
        <v>13</v>
      </c>
      <c r="H137" s="10" t="s">
        <v>72</v>
      </c>
      <c r="I137" s="10" t="s">
        <v>41</v>
      </c>
      <c r="J137" s="10" t="s">
        <v>41</v>
      </c>
      <c r="K137" s="694"/>
      <c r="L137" s="694" t="s">
        <v>63</v>
      </c>
      <c r="M137" s="10" t="s">
        <v>1301</v>
      </c>
      <c r="N137" s="10">
        <v>17</v>
      </c>
      <c r="O137" s="10">
        <v>10</v>
      </c>
      <c r="P137" s="10">
        <v>7</v>
      </c>
      <c r="Q137" s="10">
        <v>0</v>
      </c>
      <c r="R137" s="10">
        <v>0</v>
      </c>
      <c r="S137" s="10">
        <v>0</v>
      </c>
      <c r="T137" s="10">
        <v>0</v>
      </c>
      <c r="U137" s="10">
        <v>0</v>
      </c>
      <c r="V137" s="10">
        <v>0</v>
      </c>
      <c r="W137" s="10">
        <v>10</v>
      </c>
      <c r="X137" s="10">
        <v>7</v>
      </c>
      <c r="Y137" s="10">
        <v>7</v>
      </c>
      <c r="Z137" s="10">
        <v>3</v>
      </c>
      <c r="AA137" s="10">
        <v>0</v>
      </c>
      <c r="AB137" s="10">
        <v>0</v>
      </c>
      <c r="AC137" s="20">
        <f t="shared" si="24"/>
        <v>0</v>
      </c>
      <c r="AD137" s="20">
        <f t="shared" si="25"/>
        <v>0</v>
      </c>
      <c r="AE137" s="20">
        <f t="shared" si="26"/>
        <v>0</v>
      </c>
      <c r="AF137" s="20">
        <f t="shared" si="27"/>
        <v>3</v>
      </c>
      <c r="AG137" s="20">
        <f t="shared" si="28"/>
        <v>4</v>
      </c>
      <c r="AH137" s="20">
        <f t="shared" si="29"/>
        <v>0</v>
      </c>
    </row>
  </sheetData>
  <sheetProtection algorithmName="SHA-512" hashValue="ZWaz8st8l+54ViT1oDR8fTICAt/XlFieiWH9H4lau+ox3NjoM7kSbLt1DTbuL5UPh8I/2Hp1X0HJuiGmxf4uxA==" saltValue="YSgKJFHSeYFNJ6YTGRO9kw==" spinCount="100000" sheet="1" objects="1" scenarios="1"/>
  <autoFilter ref="A2:AH2"/>
  <sortState ref="A3:AH137">
    <sortCondition ref="A3:A137"/>
  </sortState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pageSetUpPr fitToPage="1"/>
  </sheetPr>
  <dimension ref="B1:W27"/>
  <sheetViews>
    <sheetView showGridLines="0" zoomScale="90" zoomScaleNormal="90" workbookViewId="0"/>
  </sheetViews>
  <sheetFormatPr baseColWidth="10" defaultRowHeight="14.25"/>
  <cols>
    <col min="1" max="1" width="5.7109375" style="90" customWidth="1"/>
    <col min="2" max="2" width="39.28515625" style="90" customWidth="1"/>
    <col min="3" max="5" width="6.5703125" style="90" customWidth="1"/>
    <col min="6" max="23" width="6.28515625" style="90" customWidth="1"/>
    <col min="24" max="16384" width="11.42578125" style="90"/>
  </cols>
  <sheetData>
    <row r="1" spans="2:23" ht="18">
      <c r="B1" s="673" t="s">
        <v>874</v>
      </c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141"/>
      <c r="N1" s="141"/>
      <c r="P1" s="738"/>
      <c r="Q1" s="738"/>
      <c r="R1" s="738"/>
      <c r="S1" s="738"/>
      <c r="T1" s="738"/>
      <c r="U1" s="738"/>
      <c r="V1" s="805" t="str">
        <f>+Portada!$M$2</f>
        <v/>
      </c>
      <c r="W1" s="806"/>
    </row>
    <row r="2" spans="2:23" ht="18.75" thickBot="1">
      <c r="B2" s="674" t="s">
        <v>1809</v>
      </c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</row>
    <row r="3" spans="2:23" ht="19.5" customHeight="1" thickTop="1">
      <c r="B3" s="931" t="s">
        <v>291</v>
      </c>
      <c r="C3" s="933" t="s">
        <v>0</v>
      </c>
      <c r="D3" s="934"/>
      <c r="E3" s="935"/>
      <c r="F3" s="936" t="s">
        <v>885</v>
      </c>
      <c r="G3" s="879"/>
      <c r="H3" s="879"/>
      <c r="I3" s="936" t="s">
        <v>886</v>
      </c>
      <c r="J3" s="879"/>
      <c r="K3" s="879"/>
      <c r="L3" s="936" t="s">
        <v>887</v>
      </c>
      <c r="M3" s="879"/>
      <c r="N3" s="879"/>
      <c r="O3" s="936" t="s">
        <v>875</v>
      </c>
      <c r="P3" s="879"/>
      <c r="Q3" s="879"/>
      <c r="R3" s="936" t="s">
        <v>888</v>
      </c>
      <c r="S3" s="879"/>
      <c r="T3" s="879"/>
      <c r="U3" s="936" t="s">
        <v>889</v>
      </c>
      <c r="V3" s="879"/>
      <c r="W3" s="879"/>
    </row>
    <row r="4" spans="2:23" ht="30" customHeight="1" thickBot="1">
      <c r="B4" s="932"/>
      <c r="C4" s="328" t="s">
        <v>0</v>
      </c>
      <c r="D4" s="329" t="s">
        <v>292</v>
      </c>
      <c r="E4" s="330" t="s">
        <v>293</v>
      </c>
      <c r="F4" s="331" t="s">
        <v>0</v>
      </c>
      <c r="G4" s="329" t="s">
        <v>292</v>
      </c>
      <c r="H4" s="332" t="s">
        <v>293</v>
      </c>
      <c r="I4" s="331" t="s">
        <v>0</v>
      </c>
      <c r="J4" s="329" t="s">
        <v>292</v>
      </c>
      <c r="K4" s="332" t="s">
        <v>293</v>
      </c>
      <c r="L4" s="331" t="s">
        <v>0</v>
      </c>
      <c r="M4" s="329" t="s">
        <v>292</v>
      </c>
      <c r="N4" s="332" t="s">
        <v>293</v>
      </c>
      <c r="O4" s="331" t="s">
        <v>0</v>
      </c>
      <c r="P4" s="329" t="s">
        <v>292</v>
      </c>
      <c r="Q4" s="332" t="s">
        <v>293</v>
      </c>
      <c r="R4" s="331" t="s">
        <v>0</v>
      </c>
      <c r="S4" s="329" t="s">
        <v>292</v>
      </c>
      <c r="T4" s="332" t="s">
        <v>293</v>
      </c>
      <c r="U4" s="333" t="s">
        <v>0</v>
      </c>
      <c r="V4" s="329" t="s">
        <v>292</v>
      </c>
      <c r="W4" s="334" t="s">
        <v>293</v>
      </c>
    </row>
    <row r="5" spans="2:23" ht="23.25" customHeight="1" thickTop="1">
      <c r="B5" s="335" t="s">
        <v>294</v>
      </c>
      <c r="C5" s="336">
        <f t="shared" ref="C5:C20" si="0">D5+E5</f>
        <v>0</v>
      </c>
      <c r="D5" s="337">
        <f t="shared" ref="D5" si="1">G5+J5+M5+P5+S5+V5</f>
        <v>0</v>
      </c>
      <c r="E5" s="338">
        <f t="shared" ref="E5" si="2">+H5+K5+N5+Q5+T5+W5</f>
        <v>0</v>
      </c>
      <c r="F5" s="339">
        <f t="shared" ref="F5:F20" si="3">+G5+H5</f>
        <v>0</v>
      </c>
      <c r="G5" s="340"/>
      <c r="H5" s="340"/>
      <c r="I5" s="339">
        <f t="shared" ref="I5:I20" si="4">+J5+K5</f>
        <v>0</v>
      </c>
      <c r="J5" s="340"/>
      <c r="K5" s="340"/>
      <c r="L5" s="339">
        <f t="shared" ref="L5:L20" si="5">+M5+N5</f>
        <v>0</v>
      </c>
      <c r="M5" s="340"/>
      <c r="N5" s="340"/>
      <c r="O5" s="339">
        <f t="shared" ref="O5:O20" si="6">+P5+Q5</f>
        <v>0</v>
      </c>
      <c r="P5" s="340"/>
      <c r="Q5" s="340"/>
      <c r="R5" s="339">
        <f t="shared" ref="R5:R20" si="7">+S5+T5</f>
        <v>0</v>
      </c>
      <c r="S5" s="340"/>
      <c r="T5" s="340"/>
      <c r="U5" s="339">
        <f t="shared" ref="U5:U20" si="8">+V5+W5</f>
        <v>0</v>
      </c>
      <c r="V5" s="340"/>
      <c r="W5" s="341"/>
    </row>
    <row r="6" spans="2:23" ht="23.25" customHeight="1">
      <c r="B6" s="342" t="s">
        <v>295</v>
      </c>
      <c r="C6" s="343">
        <f t="shared" si="0"/>
        <v>0</v>
      </c>
      <c r="D6" s="344">
        <f>G6+J6+M6+P6+S6+V6</f>
        <v>0</v>
      </c>
      <c r="E6" s="345">
        <f>+H6+K6+N6+Q6+T6+W6</f>
        <v>0</v>
      </c>
      <c r="F6" s="346">
        <f t="shared" si="3"/>
        <v>0</v>
      </c>
      <c r="G6" s="347"/>
      <c r="H6" s="348"/>
      <c r="I6" s="346">
        <f t="shared" si="4"/>
        <v>0</v>
      </c>
      <c r="J6" s="347"/>
      <c r="K6" s="348"/>
      <c r="L6" s="346">
        <f t="shared" si="5"/>
        <v>0</v>
      </c>
      <c r="M6" s="347"/>
      <c r="N6" s="348"/>
      <c r="O6" s="346">
        <f t="shared" si="6"/>
        <v>0</v>
      </c>
      <c r="P6" s="347"/>
      <c r="Q6" s="348"/>
      <c r="R6" s="346">
        <f t="shared" si="7"/>
        <v>0</v>
      </c>
      <c r="S6" s="347"/>
      <c r="T6" s="348"/>
      <c r="U6" s="346">
        <f t="shared" si="8"/>
        <v>0</v>
      </c>
      <c r="V6" s="347"/>
      <c r="W6" s="349"/>
    </row>
    <row r="7" spans="2:23" ht="23.25" customHeight="1">
      <c r="B7" s="342" t="s">
        <v>297</v>
      </c>
      <c r="C7" s="343">
        <f t="shared" si="0"/>
        <v>0</v>
      </c>
      <c r="D7" s="344">
        <f t="shared" ref="D7:D20" si="9">G7+J7+M7+P7+S7+V7</f>
        <v>0</v>
      </c>
      <c r="E7" s="345">
        <f t="shared" ref="E7:E20" si="10">+H7+K7+N7+Q7+T7+W7</f>
        <v>0</v>
      </c>
      <c r="F7" s="346">
        <f t="shared" si="3"/>
        <v>0</v>
      </c>
      <c r="G7" s="347"/>
      <c r="H7" s="348"/>
      <c r="I7" s="346">
        <f t="shared" si="4"/>
        <v>0</v>
      </c>
      <c r="J7" s="347"/>
      <c r="K7" s="348"/>
      <c r="L7" s="346">
        <f t="shared" si="5"/>
        <v>0</v>
      </c>
      <c r="M7" s="347"/>
      <c r="N7" s="348"/>
      <c r="O7" s="346">
        <f t="shared" si="6"/>
        <v>0</v>
      </c>
      <c r="P7" s="347"/>
      <c r="Q7" s="348"/>
      <c r="R7" s="346">
        <f t="shared" si="7"/>
        <v>0</v>
      </c>
      <c r="S7" s="347"/>
      <c r="T7" s="348"/>
      <c r="U7" s="346">
        <f t="shared" si="8"/>
        <v>0</v>
      </c>
      <c r="V7" s="347"/>
      <c r="W7" s="349"/>
    </row>
    <row r="8" spans="2:23" ht="23.25" customHeight="1">
      <c r="B8" s="342" t="s">
        <v>296</v>
      </c>
      <c r="C8" s="343">
        <f t="shared" si="0"/>
        <v>0</v>
      </c>
      <c r="D8" s="344">
        <f t="shared" si="9"/>
        <v>0</v>
      </c>
      <c r="E8" s="345">
        <f t="shared" si="10"/>
        <v>0</v>
      </c>
      <c r="F8" s="346">
        <f t="shared" si="3"/>
        <v>0</v>
      </c>
      <c r="G8" s="347"/>
      <c r="H8" s="348"/>
      <c r="I8" s="346">
        <f t="shared" si="4"/>
        <v>0</v>
      </c>
      <c r="J8" s="347"/>
      <c r="K8" s="348"/>
      <c r="L8" s="346">
        <f t="shared" si="5"/>
        <v>0</v>
      </c>
      <c r="M8" s="347"/>
      <c r="N8" s="348"/>
      <c r="O8" s="346">
        <f t="shared" si="6"/>
        <v>0</v>
      </c>
      <c r="P8" s="347"/>
      <c r="Q8" s="348"/>
      <c r="R8" s="346">
        <f t="shared" si="7"/>
        <v>0</v>
      </c>
      <c r="S8" s="347"/>
      <c r="T8" s="348"/>
      <c r="U8" s="346">
        <f t="shared" si="8"/>
        <v>0</v>
      </c>
      <c r="V8" s="347"/>
      <c r="W8" s="349"/>
    </row>
    <row r="9" spans="2:23" ht="23.25" customHeight="1">
      <c r="B9" s="342" t="s">
        <v>867</v>
      </c>
      <c r="C9" s="343">
        <f t="shared" si="0"/>
        <v>0</v>
      </c>
      <c r="D9" s="350">
        <f t="shared" si="9"/>
        <v>0</v>
      </c>
      <c r="E9" s="345">
        <f t="shared" si="10"/>
        <v>0</v>
      </c>
      <c r="F9" s="346">
        <f t="shared" si="3"/>
        <v>0</v>
      </c>
      <c r="G9" s="347"/>
      <c r="H9" s="348"/>
      <c r="I9" s="346">
        <f t="shared" si="4"/>
        <v>0</v>
      </c>
      <c r="J9" s="347"/>
      <c r="K9" s="348"/>
      <c r="L9" s="346">
        <f t="shared" si="5"/>
        <v>0</v>
      </c>
      <c r="M9" s="347"/>
      <c r="N9" s="348"/>
      <c r="O9" s="346">
        <f t="shared" si="6"/>
        <v>0</v>
      </c>
      <c r="P9" s="347"/>
      <c r="Q9" s="348"/>
      <c r="R9" s="346">
        <f t="shared" si="7"/>
        <v>0</v>
      </c>
      <c r="S9" s="347"/>
      <c r="T9" s="348"/>
      <c r="U9" s="346">
        <f t="shared" si="8"/>
        <v>0</v>
      </c>
      <c r="V9" s="347"/>
      <c r="W9" s="349"/>
    </row>
    <row r="10" spans="2:23" ht="23.25" customHeight="1">
      <c r="B10" s="342" t="s">
        <v>868</v>
      </c>
      <c r="C10" s="343">
        <f t="shared" ref="C10:C13" si="11">D10+E10</f>
        <v>0</v>
      </c>
      <c r="D10" s="344">
        <f t="shared" ref="D10:D13" si="12">G10+J10+M10+P10+S10+V10</f>
        <v>0</v>
      </c>
      <c r="E10" s="345">
        <f t="shared" ref="E10:E13" si="13">+H10+K10+N10+Q10+T10+W10</f>
        <v>0</v>
      </c>
      <c r="F10" s="346">
        <f t="shared" ref="F10:F13" si="14">+G10+H10</f>
        <v>0</v>
      </c>
      <c r="G10" s="347"/>
      <c r="H10" s="348"/>
      <c r="I10" s="346">
        <f t="shared" ref="I10:I13" si="15">+J10+K10</f>
        <v>0</v>
      </c>
      <c r="J10" s="347"/>
      <c r="K10" s="348"/>
      <c r="L10" s="346">
        <f t="shared" ref="L10:L13" si="16">+M10+N10</f>
        <v>0</v>
      </c>
      <c r="M10" s="347"/>
      <c r="N10" s="348"/>
      <c r="O10" s="346">
        <f t="shared" ref="O10:O13" si="17">+P10+Q10</f>
        <v>0</v>
      </c>
      <c r="P10" s="347"/>
      <c r="Q10" s="348"/>
      <c r="R10" s="346">
        <f t="shared" ref="R10:R13" si="18">+S10+T10</f>
        <v>0</v>
      </c>
      <c r="S10" s="347"/>
      <c r="T10" s="348"/>
      <c r="U10" s="346">
        <f t="shared" ref="U10:U13" si="19">+V10+W10</f>
        <v>0</v>
      </c>
      <c r="V10" s="347"/>
      <c r="W10" s="349"/>
    </row>
    <row r="11" spans="2:23" ht="23.25" customHeight="1">
      <c r="B11" s="342" t="s">
        <v>869</v>
      </c>
      <c r="C11" s="343">
        <f t="shared" si="11"/>
        <v>0</v>
      </c>
      <c r="D11" s="344">
        <f t="shared" si="12"/>
        <v>0</v>
      </c>
      <c r="E11" s="345">
        <f t="shared" si="13"/>
        <v>0</v>
      </c>
      <c r="F11" s="346">
        <f t="shared" si="14"/>
        <v>0</v>
      </c>
      <c r="G11" s="347"/>
      <c r="H11" s="348"/>
      <c r="I11" s="346">
        <f t="shared" si="15"/>
        <v>0</v>
      </c>
      <c r="J11" s="347"/>
      <c r="K11" s="348"/>
      <c r="L11" s="346">
        <f t="shared" si="16"/>
        <v>0</v>
      </c>
      <c r="M11" s="347"/>
      <c r="N11" s="348"/>
      <c r="O11" s="346">
        <f t="shared" si="17"/>
        <v>0</v>
      </c>
      <c r="P11" s="347"/>
      <c r="Q11" s="348"/>
      <c r="R11" s="346">
        <f t="shared" si="18"/>
        <v>0</v>
      </c>
      <c r="S11" s="347"/>
      <c r="T11" s="348"/>
      <c r="U11" s="346">
        <f t="shared" si="19"/>
        <v>0</v>
      </c>
      <c r="V11" s="347"/>
      <c r="W11" s="349"/>
    </row>
    <row r="12" spans="2:23" ht="23.25" customHeight="1">
      <c r="B12" s="342" t="s">
        <v>172</v>
      </c>
      <c r="C12" s="343">
        <f t="shared" si="11"/>
        <v>0</v>
      </c>
      <c r="D12" s="344">
        <f t="shared" si="12"/>
        <v>0</v>
      </c>
      <c r="E12" s="345">
        <f t="shared" si="13"/>
        <v>0</v>
      </c>
      <c r="F12" s="346">
        <f t="shared" si="14"/>
        <v>0</v>
      </c>
      <c r="G12" s="347"/>
      <c r="H12" s="348"/>
      <c r="I12" s="346">
        <f t="shared" si="15"/>
        <v>0</v>
      </c>
      <c r="J12" s="347"/>
      <c r="K12" s="348"/>
      <c r="L12" s="346">
        <f t="shared" si="16"/>
        <v>0</v>
      </c>
      <c r="M12" s="347"/>
      <c r="N12" s="348"/>
      <c r="O12" s="346">
        <f t="shared" si="17"/>
        <v>0</v>
      </c>
      <c r="P12" s="347"/>
      <c r="Q12" s="348"/>
      <c r="R12" s="346">
        <f t="shared" si="18"/>
        <v>0</v>
      </c>
      <c r="S12" s="347"/>
      <c r="T12" s="348"/>
      <c r="U12" s="346">
        <f t="shared" si="19"/>
        <v>0</v>
      </c>
      <c r="V12" s="347"/>
      <c r="W12" s="349"/>
    </row>
    <row r="13" spans="2:23" ht="23.25" customHeight="1">
      <c r="B13" s="342" t="s">
        <v>19</v>
      </c>
      <c r="C13" s="343">
        <f t="shared" si="11"/>
        <v>0</v>
      </c>
      <c r="D13" s="344">
        <f t="shared" si="12"/>
        <v>0</v>
      </c>
      <c r="E13" s="345">
        <f t="shared" si="13"/>
        <v>0</v>
      </c>
      <c r="F13" s="346">
        <f t="shared" si="14"/>
        <v>0</v>
      </c>
      <c r="G13" s="347"/>
      <c r="H13" s="348"/>
      <c r="I13" s="346">
        <f t="shared" si="15"/>
        <v>0</v>
      </c>
      <c r="J13" s="347"/>
      <c r="K13" s="348"/>
      <c r="L13" s="346">
        <f t="shared" si="16"/>
        <v>0</v>
      </c>
      <c r="M13" s="347"/>
      <c r="N13" s="348"/>
      <c r="O13" s="346">
        <f t="shared" si="17"/>
        <v>0</v>
      </c>
      <c r="P13" s="347"/>
      <c r="Q13" s="348"/>
      <c r="R13" s="346">
        <f t="shared" si="18"/>
        <v>0</v>
      </c>
      <c r="S13" s="347"/>
      <c r="T13" s="348"/>
      <c r="U13" s="346">
        <f t="shared" si="19"/>
        <v>0</v>
      </c>
      <c r="V13" s="347"/>
      <c r="W13" s="349"/>
    </row>
    <row r="14" spans="2:23" ht="23.25" customHeight="1">
      <c r="B14" s="351" t="s">
        <v>911</v>
      </c>
      <c r="C14" s="343">
        <f t="shared" ref="C14" si="20">D14+E14</f>
        <v>0</v>
      </c>
      <c r="D14" s="344">
        <f t="shared" ref="D14" si="21">G14+J14+M14+P14+S14+V14</f>
        <v>0</v>
      </c>
      <c r="E14" s="345">
        <f t="shared" ref="E14" si="22">+H14+K14+N14+Q14+T14+W14</f>
        <v>0</v>
      </c>
      <c r="F14" s="346">
        <f t="shared" ref="F14" si="23">+G14+H14</f>
        <v>0</v>
      </c>
      <c r="G14" s="347"/>
      <c r="H14" s="348"/>
      <c r="I14" s="346">
        <f t="shared" ref="I14" si="24">+J14+K14</f>
        <v>0</v>
      </c>
      <c r="J14" s="347"/>
      <c r="K14" s="348"/>
      <c r="L14" s="346">
        <f t="shared" ref="L14" si="25">+M14+N14</f>
        <v>0</v>
      </c>
      <c r="M14" s="347"/>
      <c r="N14" s="348"/>
      <c r="O14" s="346">
        <f t="shared" ref="O14" si="26">+P14+Q14</f>
        <v>0</v>
      </c>
      <c r="P14" s="347"/>
      <c r="Q14" s="348"/>
      <c r="R14" s="346">
        <f t="shared" ref="R14" si="27">+S14+T14</f>
        <v>0</v>
      </c>
      <c r="S14" s="347"/>
      <c r="T14" s="348"/>
      <c r="U14" s="346">
        <f t="shared" ref="U14" si="28">+V14+W14</f>
        <v>0</v>
      </c>
      <c r="V14" s="347"/>
      <c r="W14" s="349"/>
    </row>
    <row r="15" spans="2:23" ht="23.25" customHeight="1">
      <c r="B15" s="342" t="s">
        <v>870</v>
      </c>
      <c r="C15" s="343">
        <f t="shared" si="0"/>
        <v>0</v>
      </c>
      <c r="D15" s="344">
        <f t="shared" si="9"/>
        <v>0</v>
      </c>
      <c r="E15" s="345">
        <f t="shared" si="10"/>
        <v>0</v>
      </c>
      <c r="F15" s="346">
        <f t="shared" si="3"/>
        <v>0</v>
      </c>
      <c r="G15" s="347"/>
      <c r="H15" s="348"/>
      <c r="I15" s="346">
        <f t="shared" si="4"/>
        <v>0</v>
      </c>
      <c r="J15" s="347"/>
      <c r="K15" s="348"/>
      <c r="L15" s="346">
        <f t="shared" si="5"/>
        <v>0</v>
      </c>
      <c r="M15" s="347"/>
      <c r="N15" s="348"/>
      <c r="O15" s="346">
        <f t="shared" si="6"/>
        <v>0</v>
      </c>
      <c r="P15" s="347"/>
      <c r="Q15" s="348"/>
      <c r="R15" s="346">
        <f t="shared" si="7"/>
        <v>0</v>
      </c>
      <c r="S15" s="347"/>
      <c r="T15" s="348"/>
      <c r="U15" s="346">
        <f t="shared" si="8"/>
        <v>0</v>
      </c>
      <c r="V15" s="347"/>
      <c r="W15" s="349"/>
    </row>
    <row r="16" spans="2:23" ht="23.25" customHeight="1">
      <c r="B16" s="342" t="s">
        <v>163</v>
      </c>
      <c r="C16" s="343">
        <f t="shared" si="0"/>
        <v>0</v>
      </c>
      <c r="D16" s="344">
        <f t="shared" si="9"/>
        <v>0</v>
      </c>
      <c r="E16" s="345">
        <f t="shared" si="10"/>
        <v>0</v>
      </c>
      <c r="F16" s="346">
        <f t="shared" si="3"/>
        <v>0</v>
      </c>
      <c r="G16" s="347"/>
      <c r="H16" s="348"/>
      <c r="I16" s="346">
        <f t="shared" si="4"/>
        <v>0</v>
      </c>
      <c r="J16" s="347"/>
      <c r="K16" s="348"/>
      <c r="L16" s="346">
        <f t="shared" si="5"/>
        <v>0</v>
      </c>
      <c r="M16" s="347"/>
      <c r="N16" s="348"/>
      <c r="O16" s="346">
        <f t="shared" si="6"/>
        <v>0</v>
      </c>
      <c r="P16" s="347"/>
      <c r="Q16" s="348"/>
      <c r="R16" s="346">
        <f t="shared" si="7"/>
        <v>0</v>
      </c>
      <c r="S16" s="347"/>
      <c r="T16" s="348"/>
      <c r="U16" s="346">
        <f t="shared" si="8"/>
        <v>0</v>
      </c>
      <c r="V16" s="347"/>
      <c r="W16" s="349"/>
    </row>
    <row r="17" spans="2:23" ht="23.25" customHeight="1">
      <c r="B17" s="342" t="s">
        <v>164</v>
      </c>
      <c r="C17" s="343">
        <f t="shared" si="0"/>
        <v>0</v>
      </c>
      <c r="D17" s="344">
        <f t="shared" si="9"/>
        <v>0</v>
      </c>
      <c r="E17" s="345">
        <f t="shared" si="10"/>
        <v>0</v>
      </c>
      <c r="F17" s="346">
        <f t="shared" si="3"/>
        <v>0</v>
      </c>
      <c r="G17" s="347"/>
      <c r="H17" s="348"/>
      <c r="I17" s="346">
        <f t="shared" si="4"/>
        <v>0</v>
      </c>
      <c r="J17" s="347"/>
      <c r="K17" s="348"/>
      <c r="L17" s="346">
        <f t="shared" si="5"/>
        <v>0</v>
      </c>
      <c r="M17" s="347"/>
      <c r="N17" s="348"/>
      <c r="O17" s="346">
        <f t="shared" si="6"/>
        <v>0</v>
      </c>
      <c r="P17" s="347"/>
      <c r="Q17" s="348"/>
      <c r="R17" s="346">
        <f t="shared" si="7"/>
        <v>0</v>
      </c>
      <c r="S17" s="347"/>
      <c r="T17" s="348"/>
      <c r="U17" s="346">
        <f t="shared" si="8"/>
        <v>0</v>
      </c>
      <c r="V17" s="347"/>
      <c r="W17" s="349"/>
    </row>
    <row r="18" spans="2:23" ht="23.25" customHeight="1">
      <c r="B18" s="342" t="s">
        <v>162</v>
      </c>
      <c r="C18" s="343">
        <f t="shared" si="0"/>
        <v>0</v>
      </c>
      <c r="D18" s="344">
        <f t="shared" si="9"/>
        <v>0</v>
      </c>
      <c r="E18" s="345">
        <f t="shared" si="10"/>
        <v>0</v>
      </c>
      <c r="F18" s="346">
        <f t="shared" si="3"/>
        <v>0</v>
      </c>
      <c r="G18" s="347"/>
      <c r="H18" s="348"/>
      <c r="I18" s="346">
        <f t="shared" si="4"/>
        <v>0</v>
      </c>
      <c r="J18" s="347"/>
      <c r="K18" s="348"/>
      <c r="L18" s="346">
        <f t="shared" si="5"/>
        <v>0</v>
      </c>
      <c r="M18" s="347"/>
      <c r="N18" s="348"/>
      <c r="O18" s="346">
        <f t="shared" si="6"/>
        <v>0</v>
      </c>
      <c r="P18" s="347"/>
      <c r="Q18" s="348"/>
      <c r="R18" s="346">
        <f t="shared" si="7"/>
        <v>0</v>
      </c>
      <c r="S18" s="347"/>
      <c r="T18" s="348"/>
      <c r="U18" s="346">
        <f t="shared" si="8"/>
        <v>0</v>
      </c>
      <c r="V18" s="347"/>
      <c r="W18" s="349"/>
    </row>
    <row r="19" spans="2:23" ht="23.25" customHeight="1">
      <c r="B19" s="352" t="s">
        <v>1615</v>
      </c>
      <c r="C19" s="353">
        <f t="shared" si="0"/>
        <v>0</v>
      </c>
      <c r="D19" s="354">
        <f t="shared" si="9"/>
        <v>0</v>
      </c>
      <c r="E19" s="355">
        <f t="shared" si="10"/>
        <v>0</v>
      </c>
      <c r="F19" s="356">
        <f t="shared" si="3"/>
        <v>0</v>
      </c>
      <c r="G19" s="357"/>
      <c r="H19" s="358"/>
      <c r="I19" s="356">
        <f t="shared" si="4"/>
        <v>0</v>
      </c>
      <c r="J19" s="357"/>
      <c r="K19" s="358"/>
      <c r="L19" s="356">
        <f t="shared" si="5"/>
        <v>0</v>
      </c>
      <c r="M19" s="357"/>
      <c r="N19" s="358"/>
      <c r="O19" s="356">
        <f t="shared" si="6"/>
        <v>0</v>
      </c>
      <c r="P19" s="357"/>
      <c r="Q19" s="358"/>
      <c r="R19" s="356">
        <f t="shared" si="7"/>
        <v>0</v>
      </c>
      <c r="S19" s="357"/>
      <c r="T19" s="358"/>
      <c r="U19" s="356">
        <f t="shared" si="8"/>
        <v>0</v>
      </c>
      <c r="V19" s="357"/>
      <c r="W19" s="359"/>
    </row>
    <row r="20" spans="2:23" ht="23.25" customHeight="1" thickBot="1">
      <c r="B20" s="360" t="s">
        <v>863</v>
      </c>
      <c r="C20" s="361">
        <f t="shared" si="0"/>
        <v>0</v>
      </c>
      <c r="D20" s="362">
        <f t="shared" si="9"/>
        <v>0</v>
      </c>
      <c r="E20" s="363">
        <f t="shared" si="10"/>
        <v>0</v>
      </c>
      <c r="F20" s="364">
        <f t="shared" si="3"/>
        <v>0</v>
      </c>
      <c r="G20" s="365"/>
      <c r="H20" s="366"/>
      <c r="I20" s="364">
        <f t="shared" si="4"/>
        <v>0</v>
      </c>
      <c r="J20" s="365"/>
      <c r="K20" s="366"/>
      <c r="L20" s="364">
        <f t="shared" si="5"/>
        <v>0</v>
      </c>
      <c r="M20" s="365"/>
      <c r="N20" s="366"/>
      <c r="O20" s="364">
        <f t="shared" si="6"/>
        <v>0</v>
      </c>
      <c r="P20" s="365"/>
      <c r="Q20" s="366"/>
      <c r="R20" s="364">
        <f t="shared" si="7"/>
        <v>0</v>
      </c>
      <c r="S20" s="365"/>
      <c r="T20" s="366"/>
      <c r="U20" s="364">
        <f t="shared" si="8"/>
        <v>0</v>
      </c>
      <c r="V20" s="365"/>
      <c r="W20" s="367"/>
    </row>
    <row r="21" spans="2:23" ht="18.75" thickTop="1">
      <c r="B21" s="368"/>
      <c r="C21" s="23"/>
      <c r="D21" s="47"/>
      <c r="E21" s="47"/>
      <c r="F21" s="369"/>
      <c r="G21" s="370"/>
      <c r="H21" s="370"/>
      <c r="I21" s="370"/>
      <c r="J21" s="370"/>
      <c r="K21" s="370"/>
      <c r="L21" s="370"/>
      <c r="M21" s="370"/>
      <c r="N21" s="370"/>
      <c r="O21" s="370"/>
      <c r="P21" s="370"/>
      <c r="Q21" s="370"/>
      <c r="R21" s="370"/>
      <c r="S21" s="370"/>
      <c r="T21" s="370"/>
      <c r="U21" s="370"/>
      <c r="V21" s="370"/>
      <c r="W21" s="370"/>
    </row>
    <row r="22" spans="2:23" ht="15.75">
      <c r="B22" s="92" t="s">
        <v>290</v>
      </c>
      <c r="G22" s="921"/>
      <c r="H22" s="921"/>
      <c r="I22" s="921"/>
      <c r="J22" s="921"/>
      <c r="K22" s="921"/>
      <c r="L22" s="921"/>
      <c r="M22" s="921"/>
      <c r="N22" s="921"/>
      <c r="O22" s="921"/>
      <c r="P22" s="921"/>
      <c r="Q22" s="921"/>
      <c r="R22" s="921"/>
      <c r="S22" s="921"/>
      <c r="T22" s="921"/>
      <c r="U22" s="921"/>
      <c r="V22" s="921"/>
      <c r="W22" s="921"/>
    </row>
    <row r="23" spans="2:23" ht="18" customHeight="1">
      <c r="B23" s="922"/>
      <c r="C23" s="923"/>
      <c r="D23" s="923"/>
      <c r="E23" s="923"/>
      <c r="F23" s="923"/>
      <c r="G23" s="923"/>
      <c r="H23" s="923"/>
      <c r="I23" s="923"/>
      <c r="J23" s="923"/>
      <c r="K23" s="923"/>
      <c r="L23" s="923"/>
      <c r="M23" s="923"/>
      <c r="N23" s="923"/>
      <c r="O23" s="923"/>
      <c r="P23" s="923"/>
      <c r="Q23" s="923"/>
      <c r="R23" s="923"/>
      <c r="S23" s="923"/>
      <c r="T23" s="923"/>
      <c r="U23" s="923"/>
      <c r="V23" s="923"/>
      <c r="W23" s="924"/>
    </row>
    <row r="24" spans="2:23" ht="18" customHeight="1">
      <c r="B24" s="925"/>
      <c r="C24" s="926"/>
      <c r="D24" s="926"/>
      <c r="E24" s="926"/>
      <c r="F24" s="926"/>
      <c r="G24" s="926"/>
      <c r="H24" s="926"/>
      <c r="I24" s="926"/>
      <c r="J24" s="926"/>
      <c r="K24" s="926"/>
      <c r="L24" s="926"/>
      <c r="M24" s="926"/>
      <c r="N24" s="926"/>
      <c r="O24" s="926"/>
      <c r="P24" s="926"/>
      <c r="Q24" s="926"/>
      <c r="R24" s="926"/>
      <c r="S24" s="926"/>
      <c r="T24" s="926"/>
      <c r="U24" s="926"/>
      <c r="V24" s="926"/>
      <c r="W24" s="927"/>
    </row>
    <row r="25" spans="2:23" ht="18" customHeight="1">
      <c r="B25" s="925"/>
      <c r="C25" s="926"/>
      <c r="D25" s="926"/>
      <c r="E25" s="926"/>
      <c r="F25" s="926"/>
      <c r="G25" s="926"/>
      <c r="H25" s="926"/>
      <c r="I25" s="926"/>
      <c r="J25" s="926"/>
      <c r="K25" s="926"/>
      <c r="L25" s="926"/>
      <c r="M25" s="926"/>
      <c r="N25" s="926"/>
      <c r="O25" s="926"/>
      <c r="P25" s="926"/>
      <c r="Q25" s="926"/>
      <c r="R25" s="926"/>
      <c r="S25" s="926"/>
      <c r="T25" s="926"/>
      <c r="U25" s="926"/>
      <c r="V25" s="926"/>
      <c r="W25" s="927"/>
    </row>
    <row r="26" spans="2:23" ht="18" customHeight="1">
      <c r="B26" s="925"/>
      <c r="C26" s="926"/>
      <c r="D26" s="926"/>
      <c r="E26" s="926"/>
      <c r="F26" s="926"/>
      <c r="G26" s="926"/>
      <c r="H26" s="926"/>
      <c r="I26" s="926"/>
      <c r="J26" s="926"/>
      <c r="K26" s="926"/>
      <c r="L26" s="926"/>
      <c r="M26" s="926"/>
      <c r="N26" s="926"/>
      <c r="O26" s="926"/>
      <c r="P26" s="926"/>
      <c r="Q26" s="926"/>
      <c r="R26" s="926"/>
      <c r="S26" s="926"/>
      <c r="T26" s="926"/>
      <c r="U26" s="926"/>
      <c r="V26" s="926"/>
      <c r="W26" s="927"/>
    </row>
    <row r="27" spans="2:23" ht="18" customHeight="1">
      <c r="B27" s="928"/>
      <c r="C27" s="929"/>
      <c r="D27" s="929"/>
      <c r="E27" s="929"/>
      <c r="F27" s="929"/>
      <c r="G27" s="929"/>
      <c r="H27" s="929"/>
      <c r="I27" s="929"/>
      <c r="J27" s="929"/>
      <c r="K27" s="929"/>
      <c r="L27" s="929"/>
      <c r="M27" s="929"/>
      <c r="N27" s="929"/>
      <c r="O27" s="929"/>
      <c r="P27" s="929"/>
      <c r="Q27" s="929"/>
      <c r="R27" s="929"/>
      <c r="S27" s="929"/>
      <c r="T27" s="929"/>
      <c r="U27" s="929"/>
      <c r="V27" s="929"/>
      <c r="W27" s="930"/>
    </row>
  </sheetData>
  <sheetProtection algorithmName="SHA-512" hashValue="UYnUARscfMRQx3XwV3HMT9E2R1pDlzgWR7EXGWlQWNdh5VmSWifzRHi0uP+MWQ3R8+TtAAHGJxbj49aRDWoOFg==" saltValue="XJ8e1FuLXSffQ4UMG7EJMw==" spinCount="100000" sheet="1" objects="1" scenarios="1"/>
  <mergeCells count="11">
    <mergeCell ref="V1:W1"/>
    <mergeCell ref="G22:W22"/>
    <mergeCell ref="B23:W27"/>
    <mergeCell ref="B3:B4"/>
    <mergeCell ref="C3:E3"/>
    <mergeCell ref="F3:H3"/>
    <mergeCell ref="I3:K3"/>
    <mergeCell ref="L3:N3"/>
    <mergeCell ref="O3:Q3"/>
    <mergeCell ref="R3:T3"/>
    <mergeCell ref="U3:W3"/>
  </mergeCells>
  <conditionalFormatting sqref="C5:F20 I5:I20 L5:L20 O5:O20 R5:R20 U5:U20">
    <cfRule type="cellIs" dxfId="22" priority="272" operator="equal">
      <formula>0</formula>
    </cfRule>
  </conditionalFormatting>
  <conditionalFormatting sqref="G21">
    <cfRule type="containsText" dxfId="21" priority="270" operator="containsText" text="¡VERIFICAR!">
      <formula>NOT(ISERROR(SEARCH("¡VERIFICAR!",G21)))</formula>
    </cfRule>
  </conditionalFormatting>
  <dataValidations count="1">
    <dataValidation type="whole" operator="greaterThanOrEqual" allowBlank="1" showInputMessage="1" showErrorMessage="1" sqref="C5:W20">
      <formula1>0</formula1>
    </dataValidation>
  </dataValidations>
  <printOptions horizontalCentered="1" verticalCentered="1"/>
  <pageMargins left="0" right="0.17" top="0.23622047244094491" bottom="0.19685039370078741" header="0.43307086614173229" footer="0.19685039370078741"/>
  <pageSetup scale="80" orientation="landscape" r:id="rId1"/>
  <headerFooter scaleWithDoc="0">
    <oddFooter>&amp;R&amp;"Goudy,Negrita Cursiva"Técnica Diurna&amp;"Goudy,Cursiva", página 12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pageSetUpPr fitToPage="1"/>
  </sheetPr>
  <dimension ref="B1:I16"/>
  <sheetViews>
    <sheetView showGridLines="0" zoomScale="90" zoomScaleNormal="90" workbookViewId="0"/>
  </sheetViews>
  <sheetFormatPr baseColWidth="10" defaultRowHeight="14.25"/>
  <cols>
    <col min="1" max="1" width="2.42578125" style="212" customWidth="1"/>
    <col min="2" max="2" width="70.5703125" style="212" customWidth="1"/>
    <col min="3" max="3" width="9" style="212" customWidth="1"/>
    <col min="4" max="6" width="12.5703125" style="212" customWidth="1"/>
    <col min="7" max="9" width="12.140625" style="212" customWidth="1"/>
    <col min="10" max="16384" width="11.42578125" style="212"/>
  </cols>
  <sheetData>
    <row r="1" spans="2:9" ht="18">
      <c r="B1" s="621" t="s">
        <v>820</v>
      </c>
      <c r="C1" s="738"/>
      <c r="D1" s="738"/>
      <c r="E1" s="805" t="str">
        <f>+Portada!$M$2</f>
        <v/>
      </c>
      <c r="F1" s="806"/>
    </row>
    <row r="2" spans="2:9" ht="18.75" thickBot="1">
      <c r="B2" s="101" t="s">
        <v>919</v>
      </c>
      <c r="C2" s="142"/>
      <c r="D2" s="142"/>
      <c r="E2" s="142"/>
      <c r="F2" s="142"/>
    </row>
    <row r="3" spans="2:9" ht="26.25" customHeight="1" thickTop="1" thickBot="1">
      <c r="B3" s="302" t="s">
        <v>167</v>
      </c>
      <c r="C3" s="303"/>
      <c r="D3" s="304" t="s">
        <v>0</v>
      </c>
      <c r="E3" s="305" t="s">
        <v>165</v>
      </c>
      <c r="F3" s="306" t="s">
        <v>166</v>
      </c>
    </row>
    <row r="4" spans="2:9" ht="34.5" customHeight="1" thickTop="1" thickBot="1">
      <c r="B4" s="307" t="s">
        <v>323</v>
      </c>
      <c r="C4" s="307"/>
      <c r="D4" s="308">
        <f t="shared" ref="D4:D9" si="0">+E4+F4</f>
        <v>0</v>
      </c>
      <c r="E4" s="216">
        <f>SUM(E5:E9)</f>
        <v>0</v>
      </c>
      <c r="F4" s="309">
        <f>SUM(F5:F9)</f>
        <v>0</v>
      </c>
    </row>
    <row r="5" spans="2:9" ht="34.5" customHeight="1">
      <c r="B5" s="310" t="s">
        <v>1948</v>
      </c>
      <c r="C5" s="310" t="s">
        <v>821</v>
      </c>
      <c r="D5" s="160">
        <f t="shared" si="0"/>
        <v>0</v>
      </c>
      <c r="E5" s="311"/>
      <c r="F5" s="312"/>
    </row>
    <row r="6" spans="2:9" ht="34.5" customHeight="1">
      <c r="B6" s="313" t="s">
        <v>1949</v>
      </c>
      <c r="C6" s="313" t="s">
        <v>821</v>
      </c>
      <c r="D6" s="314">
        <f t="shared" si="0"/>
        <v>0</v>
      </c>
      <c r="E6" s="315"/>
      <c r="F6" s="316"/>
    </row>
    <row r="7" spans="2:9" ht="34.5" customHeight="1">
      <c r="B7" s="313" t="s">
        <v>876</v>
      </c>
      <c r="C7" s="313"/>
      <c r="D7" s="314">
        <f t="shared" si="0"/>
        <v>0</v>
      </c>
      <c r="E7" s="315"/>
      <c r="F7" s="316"/>
    </row>
    <row r="8" spans="2:9" ht="34.5" customHeight="1">
      <c r="B8" s="313" t="s">
        <v>1950</v>
      </c>
      <c r="C8" s="313"/>
      <c r="D8" s="314">
        <f t="shared" si="0"/>
        <v>0</v>
      </c>
      <c r="E8" s="315"/>
      <c r="F8" s="316"/>
      <c r="G8" s="938" t="str">
        <f>IF(AND(OR(D8=0),AND(('CUADRO 8'!F7+'CUADRO 8'!L7)&gt;0)),"¿Quién atiende los estudiantes que reciben Servicio de Apoyo Educativo?",(IF(AND(OR(D8&gt;0),AND(('CUADRO 8'!F7+'CUADRO 8'!L7)=0)),"¡No reportó datos en el Cuadro 8!","")))</f>
        <v/>
      </c>
      <c r="H8" s="938"/>
      <c r="I8" s="938"/>
    </row>
    <row r="9" spans="2:9" ht="34.5" customHeight="1" thickBot="1">
      <c r="B9" s="317" t="s">
        <v>1951</v>
      </c>
      <c r="C9" s="317" t="s">
        <v>821</v>
      </c>
      <c r="D9" s="318">
        <f t="shared" si="0"/>
        <v>0</v>
      </c>
      <c r="E9" s="319"/>
      <c r="F9" s="320"/>
      <c r="G9" s="321"/>
      <c r="H9" s="321"/>
      <c r="I9" s="321"/>
    </row>
    <row r="10" spans="2:9" ht="18" customHeight="1" thickTop="1">
      <c r="B10" s="322" t="s">
        <v>872</v>
      </c>
      <c r="C10" s="323"/>
      <c r="D10" s="324"/>
      <c r="E10" s="325"/>
      <c r="F10" s="325"/>
    </row>
    <row r="11" spans="2:9" ht="21" customHeight="1">
      <c r="B11" s="257" t="s">
        <v>290</v>
      </c>
      <c r="C11" s="257"/>
      <c r="E11" s="937"/>
      <c r="F11" s="937"/>
    </row>
    <row r="12" spans="2:9">
      <c r="B12" s="810"/>
      <c r="C12" s="811"/>
      <c r="D12" s="811"/>
      <c r="E12" s="811"/>
      <c r="F12" s="812"/>
    </row>
    <row r="13" spans="2:9">
      <c r="B13" s="813"/>
      <c r="C13" s="814"/>
      <c r="D13" s="814"/>
      <c r="E13" s="814"/>
      <c r="F13" s="815"/>
    </row>
    <row r="14" spans="2:9" ht="18" customHeight="1">
      <c r="B14" s="813"/>
      <c r="C14" s="814"/>
      <c r="D14" s="814"/>
      <c r="E14" s="814"/>
      <c r="F14" s="815"/>
    </row>
    <row r="15" spans="2:9" ht="18" customHeight="1">
      <c r="B15" s="813"/>
      <c r="C15" s="814"/>
      <c r="D15" s="814"/>
      <c r="E15" s="814"/>
      <c r="F15" s="815"/>
    </row>
    <row r="16" spans="2:9" ht="18" customHeight="1">
      <c r="B16" s="816"/>
      <c r="C16" s="817"/>
      <c r="D16" s="817"/>
      <c r="E16" s="817"/>
      <c r="F16" s="818"/>
    </row>
  </sheetData>
  <sheetProtection algorithmName="SHA-512" hashValue="APrRCxHBV8Y8axkwPdNpQ+ckt/vZDmnnjhiVJIb4z091Em/GYqAbbAXffyy6D8+KEX/OCz5ys+Bmz+hs1HVDKg==" saltValue="n9hd3QS5QxwTVzMiE7FehQ==" spinCount="100000" sheet="1" objects="1" scenarios="1"/>
  <mergeCells count="4">
    <mergeCell ref="B12:F16"/>
    <mergeCell ref="E11:F11"/>
    <mergeCell ref="G8:I8"/>
    <mergeCell ref="E1:F1"/>
  </mergeCells>
  <conditionalFormatting sqref="D4:D9">
    <cfRule type="cellIs" dxfId="20" priority="4" operator="equal">
      <formula>0</formula>
    </cfRule>
  </conditionalFormatting>
  <conditionalFormatting sqref="D4:F4">
    <cfRule type="cellIs" dxfId="19" priority="3" operator="equal">
      <formula>0</formula>
    </cfRule>
  </conditionalFormatting>
  <dataValidations count="1">
    <dataValidation type="whole" operator="greaterThanOrEqual" allowBlank="1" showInputMessage="1" showErrorMessage="1" sqref="D4:F9">
      <formula1>0</formula1>
    </dataValidation>
  </dataValidations>
  <printOptions horizontalCentered="1" verticalCentered="1"/>
  <pageMargins left="0" right="0.17" top="0.23622047244094491" bottom="0.19685039370078741" header="0.43307086614173229" footer="0.19685039370078741"/>
  <pageSetup scale="89" orientation="landscape" r:id="rId1"/>
  <headerFooter scaleWithDoc="0">
    <oddFooter>&amp;R&amp;"Goudy,Negrita Cursiva"Técnica Diurna&amp;"Goudy,Cursiva", página 13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pageSetUpPr fitToPage="1"/>
  </sheetPr>
  <dimension ref="B1:K43"/>
  <sheetViews>
    <sheetView showGridLines="0" zoomScale="90" zoomScaleNormal="90" workbookViewId="0"/>
  </sheetViews>
  <sheetFormatPr baseColWidth="10" defaultRowHeight="14.25"/>
  <cols>
    <col min="1" max="1" width="1.7109375" style="31" customWidth="1"/>
    <col min="2" max="2" width="60.140625" style="31" customWidth="1"/>
    <col min="3" max="5" width="11" style="31" customWidth="1"/>
    <col min="6" max="6" width="1.28515625" style="102" customWidth="1"/>
    <col min="7" max="7" width="59.85546875" style="31" customWidth="1"/>
    <col min="8" max="10" width="11" style="31" customWidth="1"/>
    <col min="11" max="16384" width="11.42578125" style="31"/>
  </cols>
  <sheetData>
    <row r="1" spans="2:10" s="85" customFormat="1" ht="18">
      <c r="B1" s="675" t="s">
        <v>822</v>
      </c>
      <c r="C1" s="259"/>
      <c r="D1" s="259"/>
      <c r="E1" s="259"/>
      <c r="F1" s="259"/>
      <c r="G1" s="724"/>
      <c r="H1" s="260"/>
      <c r="I1" s="805" t="str">
        <f>+Portada!$M$2</f>
        <v/>
      </c>
      <c r="J1" s="806"/>
    </row>
    <row r="2" spans="2:10" ht="18.75" thickBot="1">
      <c r="B2" s="676" t="s">
        <v>1813</v>
      </c>
      <c r="C2" s="261"/>
      <c r="D2" s="261"/>
      <c r="E2" s="261"/>
      <c r="F2" s="261"/>
      <c r="G2" s="261"/>
      <c r="H2" s="261"/>
      <c r="I2" s="261"/>
      <c r="J2" s="261"/>
    </row>
    <row r="3" spans="2:10" s="85" customFormat="1" ht="30" customHeight="1" thickTop="1" thickBot="1">
      <c r="B3" s="262" t="s">
        <v>167</v>
      </c>
      <c r="C3" s="263" t="s">
        <v>0</v>
      </c>
      <c r="D3" s="264" t="s">
        <v>165</v>
      </c>
      <c r="E3" s="262" t="s">
        <v>166</v>
      </c>
      <c r="F3" s="265"/>
      <c r="G3" s="262" t="s">
        <v>167</v>
      </c>
      <c r="H3" s="263" t="s">
        <v>0</v>
      </c>
      <c r="I3" s="264" t="s">
        <v>165</v>
      </c>
      <c r="J3" s="262" t="s">
        <v>166</v>
      </c>
    </row>
    <row r="4" spans="2:10" s="85" customFormat="1" ht="19.5" customHeight="1" thickTop="1" thickBot="1">
      <c r="B4" s="266" t="s">
        <v>182</v>
      </c>
      <c r="C4" s="215">
        <f t="shared" ref="C4:C33" si="0">+D4+E4</f>
        <v>0</v>
      </c>
      <c r="D4" s="267">
        <f>+D5+D11+D16+I5+I16</f>
        <v>0</v>
      </c>
      <c r="E4" s="268">
        <f>+E5+E11+E16+J5+J16</f>
        <v>0</v>
      </c>
      <c r="F4" s="269"/>
      <c r="G4" s="939"/>
      <c r="H4" s="940"/>
      <c r="I4" s="940"/>
      <c r="J4" s="940"/>
    </row>
    <row r="5" spans="2:10" s="85" customFormat="1" ht="19.5" customHeight="1">
      <c r="B5" s="270" t="s">
        <v>823</v>
      </c>
      <c r="C5" s="271">
        <f t="shared" si="0"/>
        <v>0</v>
      </c>
      <c r="D5" s="272">
        <f>SUM(D6:D10)</f>
        <v>0</v>
      </c>
      <c r="E5" s="273">
        <f>SUM(E6:E10)</f>
        <v>0</v>
      </c>
      <c r="F5" s="269"/>
      <c r="G5" s="274" t="s">
        <v>309</v>
      </c>
      <c r="H5" s="245">
        <f t="shared" ref="H5:H10" si="1">+I5+J5</f>
        <v>0</v>
      </c>
      <c r="I5" s="222">
        <f>SUM(I6:I15)</f>
        <v>0</v>
      </c>
      <c r="J5" s="275">
        <f>SUM(J6:J15)</f>
        <v>0</v>
      </c>
    </row>
    <row r="6" spans="2:10" s="85" customFormat="1" ht="19.5" customHeight="1">
      <c r="B6" s="226" t="s">
        <v>168</v>
      </c>
      <c r="C6" s="228">
        <f t="shared" si="0"/>
        <v>0</v>
      </c>
      <c r="D6" s="229"/>
      <c r="E6" s="276"/>
      <c r="F6" s="269"/>
      <c r="G6" s="277" t="s">
        <v>192</v>
      </c>
      <c r="H6" s="228">
        <f t="shared" si="1"/>
        <v>0</v>
      </c>
      <c r="I6" s="229"/>
      <c r="J6" s="276"/>
    </row>
    <row r="7" spans="2:10" s="85" customFormat="1" ht="19.5" customHeight="1">
      <c r="B7" s="226" t="s">
        <v>879</v>
      </c>
      <c r="C7" s="228">
        <f t="shared" si="0"/>
        <v>0</v>
      </c>
      <c r="D7" s="229"/>
      <c r="E7" s="276"/>
      <c r="F7" s="269"/>
      <c r="G7" s="277" t="s">
        <v>183</v>
      </c>
      <c r="H7" s="228">
        <f t="shared" si="1"/>
        <v>0</v>
      </c>
      <c r="I7" s="229"/>
      <c r="J7" s="276"/>
    </row>
    <row r="8" spans="2:10" s="85" customFormat="1" ht="19.5" customHeight="1">
      <c r="B8" s="277" t="s">
        <v>169</v>
      </c>
      <c r="C8" s="228">
        <f t="shared" si="0"/>
        <v>0</v>
      </c>
      <c r="D8" s="229"/>
      <c r="E8" s="276"/>
      <c r="F8" s="269"/>
      <c r="G8" s="277" t="s">
        <v>184</v>
      </c>
      <c r="H8" s="228">
        <f t="shared" si="1"/>
        <v>0</v>
      </c>
      <c r="I8" s="229"/>
      <c r="J8" s="276"/>
    </row>
    <row r="9" spans="2:10" s="85" customFormat="1" ht="19.5" customHeight="1">
      <c r="B9" s="278" t="s">
        <v>310</v>
      </c>
      <c r="C9" s="279">
        <f t="shared" si="0"/>
        <v>0</v>
      </c>
      <c r="D9" s="280"/>
      <c r="E9" s="281"/>
      <c r="F9" s="269"/>
      <c r="G9" s="282" t="s">
        <v>1810</v>
      </c>
      <c r="H9" s="228">
        <f t="shared" si="1"/>
        <v>0</v>
      </c>
      <c r="I9" s="229"/>
      <c r="J9" s="276"/>
    </row>
    <row r="10" spans="2:10" s="85" customFormat="1" ht="19.5" customHeight="1">
      <c r="B10" s="283" t="s">
        <v>881</v>
      </c>
      <c r="C10" s="284">
        <f t="shared" si="0"/>
        <v>0</v>
      </c>
      <c r="D10" s="285"/>
      <c r="E10" s="286"/>
      <c r="F10" s="269"/>
      <c r="G10" s="282" t="s">
        <v>190</v>
      </c>
      <c r="H10" s="228">
        <f t="shared" si="1"/>
        <v>0</v>
      </c>
      <c r="I10" s="229"/>
      <c r="J10" s="276"/>
    </row>
    <row r="11" spans="2:10" s="85" customFormat="1" ht="19.5" customHeight="1">
      <c r="B11" s="287" t="s">
        <v>824</v>
      </c>
      <c r="C11" s="160">
        <f t="shared" si="0"/>
        <v>0</v>
      </c>
      <c r="D11" s="288">
        <f>SUM(D12:D15)</f>
        <v>0</v>
      </c>
      <c r="E11" s="200">
        <f>SUM(E12:E15)</f>
        <v>0</v>
      </c>
      <c r="F11" s="269"/>
      <c r="G11" s="282" t="s">
        <v>185</v>
      </c>
      <c r="H11" s="228">
        <f t="shared" ref="H11:H30" si="2">+I11+J11</f>
        <v>0</v>
      </c>
      <c r="I11" s="229"/>
      <c r="J11" s="276"/>
    </row>
    <row r="12" spans="2:10" s="85" customFormat="1" ht="19.5" customHeight="1">
      <c r="B12" s="226" t="s">
        <v>311</v>
      </c>
      <c r="C12" s="228">
        <f t="shared" si="0"/>
        <v>0</v>
      </c>
      <c r="D12" s="229"/>
      <c r="E12" s="276"/>
      <c r="F12" s="269"/>
      <c r="G12" s="282" t="s">
        <v>188</v>
      </c>
      <c r="H12" s="228">
        <f t="shared" si="2"/>
        <v>0</v>
      </c>
      <c r="I12" s="229"/>
      <c r="J12" s="276"/>
    </row>
    <row r="13" spans="2:10" s="85" customFormat="1" ht="19.5" customHeight="1">
      <c r="B13" s="277" t="s">
        <v>312</v>
      </c>
      <c r="C13" s="228">
        <f t="shared" si="0"/>
        <v>0</v>
      </c>
      <c r="D13" s="229"/>
      <c r="E13" s="276"/>
      <c r="F13" s="269"/>
      <c r="G13" s="282" t="s">
        <v>189</v>
      </c>
      <c r="H13" s="228">
        <f t="shared" si="2"/>
        <v>0</v>
      </c>
      <c r="I13" s="229"/>
      <c r="J13" s="276"/>
    </row>
    <row r="14" spans="2:10" s="85" customFormat="1" ht="19.5" customHeight="1">
      <c r="B14" s="278" t="s">
        <v>313</v>
      </c>
      <c r="C14" s="279">
        <f t="shared" si="0"/>
        <v>0</v>
      </c>
      <c r="D14" s="280"/>
      <c r="E14" s="281"/>
      <c r="F14" s="269"/>
      <c r="G14" s="282" t="s">
        <v>884</v>
      </c>
      <c r="H14" s="228">
        <f t="shared" si="2"/>
        <v>0</v>
      </c>
      <c r="I14" s="229"/>
      <c r="J14" s="276"/>
    </row>
    <row r="15" spans="2:10" s="85" customFormat="1" ht="19.5" customHeight="1">
      <c r="B15" s="283" t="s">
        <v>882</v>
      </c>
      <c r="C15" s="284">
        <f t="shared" si="0"/>
        <v>0</v>
      </c>
      <c r="D15" s="285"/>
      <c r="E15" s="286"/>
      <c r="F15" s="269"/>
      <c r="G15" s="289" t="s">
        <v>314</v>
      </c>
      <c r="H15" s="284">
        <f t="shared" si="2"/>
        <v>0</v>
      </c>
      <c r="I15" s="285"/>
      <c r="J15" s="290"/>
    </row>
    <row r="16" spans="2:10" s="85" customFormat="1" ht="19.5" customHeight="1">
      <c r="B16" s="274" t="s">
        <v>171</v>
      </c>
      <c r="C16" s="245">
        <f t="shared" si="0"/>
        <v>0</v>
      </c>
      <c r="D16" s="222">
        <f>SUM(D17:D33)</f>
        <v>0</v>
      </c>
      <c r="E16" s="275">
        <f>SUM(E17:E33)</f>
        <v>0</v>
      </c>
      <c r="F16" s="269"/>
      <c r="G16" s="291" t="s">
        <v>173</v>
      </c>
      <c r="H16" s="160">
        <f t="shared" si="2"/>
        <v>0</v>
      </c>
      <c r="I16" s="288">
        <f>SUM(I17:I29)</f>
        <v>0</v>
      </c>
      <c r="J16" s="200">
        <f>SUM(J17:J29)</f>
        <v>0</v>
      </c>
    </row>
    <row r="17" spans="2:10" s="85" customFormat="1" ht="19.5" customHeight="1">
      <c r="B17" s="277" t="s">
        <v>294</v>
      </c>
      <c r="C17" s="228">
        <f t="shared" si="0"/>
        <v>0</v>
      </c>
      <c r="D17" s="229"/>
      <c r="E17" s="276"/>
      <c r="F17" s="269"/>
      <c r="G17" s="282" t="s">
        <v>825</v>
      </c>
      <c r="H17" s="228">
        <f t="shared" si="2"/>
        <v>0</v>
      </c>
      <c r="I17" s="229"/>
      <c r="J17" s="276"/>
    </row>
    <row r="18" spans="2:10" s="85" customFormat="1" ht="19.5" customHeight="1">
      <c r="B18" s="277" t="s">
        <v>295</v>
      </c>
      <c r="C18" s="228">
        <f t="shared" si="0"/>
        <v>0</v>
      </c>
      <c r="D18" s="229"/>
      <c r="E18" s="276"/>
      <c r="F18" s="269"/>
      <c r="G18" s="282" t="s">
        <v>273</v>
      </c>
      <c r="H18" s="228">
        <f t="shared" si="2"/>
        <v>0</v>
      </c>
      <c r="I18" s="229"/>
      <c r="J18" s="276"/>
    </row>
    <row r="19" spans="2:10" s="85" customFormat="1" ht="19.5" customHeight="1">
      <c r="B19" s="277" t="s">
        <v>297</v>
      </c>
      <c r="C19" s="228">
        <f t="shared" si="0"/>
        <v>0</v>
      </c>
      <c r="D19" s="229"/>
      <c r="E19" s="276"/>
      <c r="F19" s="269"/>
      <c r="G19" s="282" t="s">
        <v>274</v>
      </c>
      <c r="H19" s="228">
        <f t="shared" si="2"/>
        <v>0</v>
      </c>
      <c r="I19" s="229"/>
      <c r="J19" s="276"/>
    </row>
    <row r="20" spans="2:10" s="85" customFormat="1" ht="19.5" customHeight="1">
      <c r="B20" s="277" t="s">
        <v>296</v>
      </c>
      <c r="C20" s="228">
        <f t="shared" si="0"/>
        <v>0</v>
      </c>
      <c r="D20" s="229"/>
      <c r="E20" s="276"/>
      <c r="F20" s="269"/>
      <c r="G20" s="282" t="s">
        <v>191</v>
      </c>
      <c r="H20" s="228">
        <f t="shared" si="2"/>
        <v>0</v>
      </c>
      <c r="I20" s="229"/>
      <c r="J20" s="276"/>
    </row>
    <row r="21" spans="2:10" s="85" customFormat="1" ht="19.5" customHeight="1">
      <c r="B21" s="277" t="s">
        <v>867</v>
      </c>
      <c r="C21" s="228">
        <f t="shared" si="0"/>
        <v>0</v>
      </c>
      <c r="D21" s="229"/>
      <c r="E21" s="276"/>
      <c r="F21" s="269"/>
      <c r="G21" s="282" t="s">
        <v>1811</v>
      </c>
      <c r="H21" s="228">
        <f t="shared" si="2"/>
        <v>0</v>
      </c>
      <c r="I21" s="229"/>
      <c r="J21" s="276"/>
    </row>
    <row r="22" spans="2:10" s="85" customFormat="1" ht="19.5" customHeight="1">
      <c r="B22" s="277" t="s">
        <v>868</v>
      </c>
      <c r="C22" s="228">
        <f t="shared" si="0"/>
        <v>0</v>
      </c>
      <c r="D22" s="229"/>
      <c r="E22" s="276"/>
      <c r="F22" s="269"/>
      <c r="G22" s="282" t="s">
        <v>1812</v>
      </c>
      <c r="H22" s="228">
        <f t="shared" si="2"/>
        <v>0</v>
      </c>
      <c r="I22" s="229"/>
      <c r="J22" s="276"/>
    </row>
    <row r="23" spans="2:10" s="85" customFormat="1" ht="19.5" customHeight="1">
      <c r="B23" s="282" t="s">
        <v>869</v>
      </c>
      <c r="C23" s="228">
        <f t="shared" si="0"/>
        <v>0</v>
      </c>
      <c r="D23" s="229"/>
      <c r="E23" s="276"/>
      <c r="F23" s="269"/>
      <c r="G23" s="282" t="s">
        <v>826</v>
      </c>
      <c r="H23" s="228">
        <f t="shared" si="2"/>
        <v>0</v>
      </c>
      <c r="I23" s="229"/>
      <c r="J23" s="276"/>
    </row>
    <row r="24" spans="2:10" s="85" customFormat="1" ht="19.5" customHeight="1">
      <c r="B24" s="282" t="s">
        <v>172</v>
      </c>
      <c r="C24" s="228">
        <f t="shared" si="0"/>
        <v>0</v>
      </c>
      <c r="D24" s="229"/>
      <c r="E24" s="276"/>
      <c r="F24" s="269"/>
      <c r="G24" s="277" t="s">
        <v>827</v>
      </c>
      <c r="H24" s="228">
        <f t="shared" si="2"/>
        <v>0</v>
      </c>
      <c r="I24" s="229"/>
      <c r="J24" s="276"/>
    </row>
    <row r="25" spans="2:10" s="85" customFormat="1" ht="19.5" customHeight="1">
      <c r="B25" s="282" t="s">
        <v>19</v>
      </c>
      <c r="C25" s="228">
        <f t="shared" si="0"/>
        <v>0</v>
      </c>
      <c r="D25" s="229"/>
      <c r="E25" s="276"/>
      <c r="F25" s="269"/>
      <c r="G25" s="277" t="s">
        <v>828</v>
      </c>
      <c r="H25" s="228">
        <f t="shared" si="2"/>
        <v>0</v>
      </c>
      <c r="I25" s="229"/>
      <c r="J25" s="276"/>
    </row>
    <row r="26" spans="2:10" s="85" customFormat="1" ht="19.5" customHeight="1">
      <c r="B26" s="282" t="s">
        <v>870</v>
      </c>
      <c r="C26" s="228">
        <f t="shared" si="0"/>
        <v>0</v>
      </c>
      <c r="D26" s="229"/>
      <c r="E26" s="276"/>
      <c r="F26" s="269"/>
      <c r="G26" s="277" t="s">
        <v>829</v>
      </c>
      <c r="H26" s="228">
        <f t="shared" si="2"/>
        <v>0</v>
      </c>
      <c r="I26" s="229"/>
      <c r="J26" s="276"/>
    </row>
    <row r="27" spans="2:10" s="85" customFormat="1" ht="19.5" customHeight="1">
      <c r="B27" s="282" t="s">
        <v>163</v>
      </c>
      <c r="C27" s="228">
        <f t="shared" si="0"/>
        <v>0</v>
      </c>
      <c r="D27" s="229"/>
      <c r="E27" s="276"/>
      <c r="F27" s="269"/>
      <c r="G27" s="277" t="s">
        <v>830</v>
      </c>
      <c r="H27" s="228">
        <f t="shared" si="2"/>
        <v>0</v>
      </c>
      <c r="I27" s="229"/>
      <c r="J27" s="276"/>
    </row>
    <row r="28" spans="2:10" s="85" customFormat="1" ht="19.5" customHeight="1">
      <c r="B28" s="282" t="s">
        <v>164</v>
      </c>
      <c r="C28" s="228">
        <f t="shared" si="0"/>
        <v>0</v>
      </c>
      <c r="D28" s="229"/>
      <c r="E28" s="276"/>
      <c r="F28" s="269"/>
      <c r="G28" s="292" t="s">
        <v>832</v>
      </c>
      <c r="H28" s="228">
        <f t="shared" si="2"/>
        <v>0</v>
      </c>
      <c r="I28" s="229"/>
      <c r="J28" s="276"/>
    </row>
    <row r="29" spans="2:10" s="85" customFormat="1" ht="19.5" customHeight="1" thickBot="1">
      <c r="B29" s="282" t="s">
        <v>162</v>
      </c>
      <c r="C29" s="228">
        <f t="shared" si="0"/>
        <v>0</v>
      </c>
      <c r="D29" s="229"/>
      <c r="E29" s="276"/>
      <c r="F29" s="269"/>
      <c r="G29" s="278" t="s">
        <v>831</v>
      </c>
      <c r="H29" s="279">
        <f t="shared" si="2"/>
        <v>0</v>
      </c>
      <c r="I29" s="280"/>
      <c r="J29" s="281"/>
    </row>
    <row r="30" spans="2:10" s="85" customFormat="1" ht="19.5" customHeight="1">
      <c r="B30" s="277" t="s">
        <v>1615</v>
      </c>
      <c r="C30" s="228">
        <f t="shared" si="0"/>
        <v>0</v>
      </c>
      <c r="D30" s="229"/>
      <c r="E30" s="276"/>
      <c r="F30" s="269"/>
      <c r="G30" s="947" t="s">
        <v>317</v>
      </c>
      <c r="H30" s="941">
        <f t="shared" si="2"/>
        <v>0</v>
      </c>
      <c r="I30" s="943"/>
      <c r="J30" s="945"/>
    </row>
    <row r="31" spans="2:10" s="85" customFormat="1" ht="19.5" customHeight="1" thickBot="1">
      <c r="B31" s="282" t="s">
        <v>911</v>
      </c>
      <c r="C31" s="228">
        <f t="shared" si="0"/>
        <v>0</v>
      </c>
      <c r="D31" s="229"/>
      <c r="E31" s="276"/>
      <c r="F31" s="269"/>
      <c r="G31" s="948"/>
      <c r="H31" s="942"/>
      <c r="I31" s="944"/>
      <c r="J31" s="946"/>
    </row>
    <row r="32" spans="2:10" s="85" customFormat="1" ht="19.5" customHeight="1">
      <c r="B32" s="293" t="s">
        <v>883</v>
      </c>
      <c r="C32" s="228">
        <f t="shared" si="0"/>
        <v>0</v>
      </c>
      <c r="D32" s="229"/>
      <c r="E32" s="276"/>
      <c r="F32" s="269"/>
      <c r="G32" s="949" t="str">
        <f>IF(AND('CUADRO 1'!D15=0,H30=0),"",(IF(AND('CUADRO 1'!D15&gt;0,H30=0),"Indique los docentes que atienden los Proyectos de Educación Abierta.","")))</f>
        <v/>
      </c>
      <c r="H32" s="950"/>
      <c r="I32" s="950"/>
      <c r="J32" s="950"/>
    </row>
    <row r="33" spans="2:11" s="85" customFormat="1" ht="19.5" customHeight="1" thickBot="1">
      <c r="B33" s="294" t="s">
        <v>315</v>
      </c>
      <c r="C33" s="248">
        <f t="shared" si="0"/>
        <v>0</v>
      </c>
      <c r="D33" s="249"/>
      <c r="E33" s="295"/>
      <c r="F33" s="296"/>
      <c r="G33" s="951"/>
      <c r="H33" s="952"/>
      <c r="I33" s="952"/>
      <c r="J33" s="952"/>
    </row>
    <row r="34" spans="2:11" s="85" customFormat="1" ht="21" customHeight="1" thickTop="1">
      <c r="D34" s="297"/>
      <c r="E34" s="298"/>
      <c r="F34" s="298"/>
      <c r="G34" s="162" t="s">
        <v>872</v>
      </c>
    </row>
    <row r="35" spans="2:11" s="85" customFormat="1" ht="21" customHeight="1">
      <c r="B35" s="257" t="s">
        <v>290</v>
      </c>
      <c r="C35" s="32"/>
      <c r="D35" s="299"/>
      <c r="E35" s="299"/>
      <c r="F35" s="299"/>
      <c r="G35" s="300"/>
      <c r="H35" s="300"/>
      <c r="I35" s="300"/>
      <c r="J35" s="300"/>
    </row>
    <row r="36" spans="2:11" s="85" customFormat="1" ht="21" customHeight="1">
      <c r="B36" s="922"/>
      <c r="C36" s="923"/>
      <c r="D36" s="923"/>
      <c r="E36" s="923"/>
      <c r="F36" s="923"/>
      <c r="G36" s="923"/>
      <c r="H36" s="923"/>
      <c r="I36" s="923"/>
      <c r="J36" s="924"/>
    </row>
    <row r="37" spans="2:11" s="85" customFormat="1" ht="21" customHeight="1">
      <c r="B37" s="925"/>
      <c r="C37" s="926"/>
      <c r="D37" s="926"/>
      <c r="E37" s="926"/>
      <c r="F37" s="926"/>
      <c r="G37" s="926"/>
      <c r="H37" s="926"/>
      <c r="I37" s="926"/>
      <c r="J37" s="927"/>
    </row>
    <row r="38" spans="2:11" s="85" customFormat="1">
      <c r="B38" s="925"/>
      <c r="C38" s="926"/>
      <c r="D38" s="926"/>
      <c r="E38" s="926"/>
      <c r="F38" s="926"/>
      <c r="G38" s="926"/>
      <c r="H38" s="926"/>
      <c r="I38" s="926"/>
      <c r="J38" s="927"/>
    </row>
    <row r="39" spans="2:11" s="85" customFormat="1">
      <c r="B39" s="928"/>
      <c r="C39" s="929"/>
      <c r="D39" s="929"/>
      <c r="E39" s="929"/>
      <c r="F39" s="929"/>
      <c r="G39" s="929"/>
      <c r="H39" s="929"/>
      <c r="I39" s="929"/>
      <c r="J39" s="930"/>
    </row>
    <row r="40" spans="2:11" s="85" customFormat="1">
      <c r="B40" s="31"/>
      <c r="C40" s="31"/>
      <c r="D40" s="31"/>
      <c r="E40" s="31"/>
      <c r="F40" s="102"/>
      <c r="G40" s="31"/>
      <c r="H40" s="31"/>
      <c r="I40" s="31"/>
      <c r="J40" s="301"/>
    </row>
    <row r="41" spans="2:11">
      <c r="J41" s="301"/>
      <c r="K41" s="85"/>
    </row>
    <row r="42" spans="2:11">
      <c r="H42" s="301"/>
      <c r="I42" s="301"/>
    </row>
    <row r="43" spans="2:11">
      <c r="G43" s="301"/>
      <c r="H43" s="301"/>
      <c r="I43" s="301"/>
    </row>
  </sheetData>
  <sheetProtection algorithmName="SHA-512" hashValue="LyglWXIlQeVCse4AbPpijsIVCCvLLyWSGgkPGnnM+XWXSGFStAOuJWXOlXVwzuWI4DxK8SxCc9iVqMrrq8Pz6A==" saltValue="imOaOLiOuqOmU6wRZdGOLw==" spinCount="100000" sheet="1" objects="1" scenarios="1"/>
  <mergeCells count="8">
    <mergeCell ref="I1:J1"/>
    <mergeCell ref="G4:J4"/>
    <mergeCell ref="B36:J39"/>
    <mergeCell ref="H30:H31"/>
    <mergeCell ref="I30:I31"/>
    <mergeCell ref="J30:J31"/>
    <mergeCell ref="G30:G31"/>
    <mergeCell ref="G32:J33"/>
  </mergeCells>
  <conditionalFormatting sqref="C4:E5 D16:E16 D11:E11 I16:J16 I5:J5 H5:H10 C6:C33 H12:H30">
    <cfRule type="cellIs" dxfId="18" priority="5" operator="equal">
      <formula>0</formula>
    </cfRule>
  </conditionalFormatting>
  <conditionalFormatting sqref="H11">
    <cfRule type="cellIs" dxfId="17" priority="4" operator="equal">
      <formula>0</formula>
    </cfRule>
  </conditionalFormatting>
  <dataValidations count="1">
    <dataValidation type="whole" operator="greaterThanOrEqual" allowBlank="1" showInputMessage="1" showErrorMessage="1" sqref="C4:E33 H5:J31">
      <formula1>0</formula1>
    </dataValidation>
  </dataValidations>
  <printOptions horizontalCentered="1" verticalCentered="1"/>
  <pageMargins left="0" right="0.17" top="0.23622047244094491" bottom="0.19685039370078741" header="0.43307086614173229" footer="0.19685039370078741"/>
  <pageSetup scale="73" orientation="landscape" r:id="rId1"/>
  <headerFooter scaleWithDoc="0">
    <oddFooter>&amp;R&amp;"Goudy,Negrita Cursiva"Técnica Diurna&amp;"Goudy,Cursiva", página 14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pageSetUpPr fitToPage="1"/>
  </sheetPr>
  <dimension ref="B1:L45"/>
  <sheetViews>
    <sheetView showGridLines="0" zoomScale="90" zoomScaleNormal="90" workbookViewId="0"/>
  </sheetViews>
  <sheetFormatPr baseColWidth="10" defaultRowHeight="14.25"/>
  <cols>
    <col min="1" max="1" width="5.28515625" style="31" customWidth="1"/>
    <col min="2" max="2" width="46.140625" style="31" customWidth="1"/>
    <col min="3" max="3" width="5.42578125" style="33" customWidth="1"/>
    <col min="4" max="5" width="9.140625" style="31" customWidth="1"/>
    <col min="6" max="10" width="9.140625" style="85" customWidth="1"/>
    <col min="11" max="12" width="9.140625" style="31" customWidth="1"/>
    <col min="13" max="16384" width="11.42578125" style="31"/>
  </cols>
  <sheetData>
    <row r="1" spans="2:12" s="85" customFormat="1" ht="18">
      <c r="B1" s="91" t="s">
        <v>873</v>
      </c>
      <c r="C1" s="208"/>
      <c r="D1" s="209"/>
      <c r="H1" s="738"/>
      <c r="I1" s="738"/>
      <c r="J1" s="738"/>
      <c r="K1" s="805" t="str">
        <f>+Portada!$M$2</f>
        <v/>
      </c>
      <c r="L1" s="806"/>
    </row>
    <row r="2" spans="2:12" ht="18.75" thickBot="1">
      <c r="B2" s="677" t="s">
        <v>1814</v>
      </c>
      <c r="C2" s="210"/>
      <c r="D2" s="211"/>
      <c r="E2" s="211"/>
      <c r="F2" s="211"/>
      <c r="G2" s="211"/>
      <c r="H2" s="211"/>
      <c r="I2" s="211"/>
      <c r="J2" s="211"/>
      <c r="K2" s="211"/>
      <c r="L2" s="211"/>
    </row>
    <row r="3" spans="2:12" s="212" customFormat="1" ht="22.5" customHeight="1" thickTop="1">
      <c r="B3" s="963" t="s">
        <v>167</v>
      </c>
      <c r="C3" s="964"/>
      <c r="D3" s="955" t="s">
        <v>0</v>
      </c>
      <c r="E3" s="953" t="s">
        <v>1942</v>
      </c>
      <c r="F3" s="953" t="s">
        <v>1943</v>
      </c>
      <c r="G3" s="953" t="s">
        <v>1944</v>
      </c>
      <c r="H3" s="953" t="s">
        <v>1945</v>
      </c>
      <c r="I3" s="953" t="s">
        <v>1946</v>
      </c>
      <c r="J3" s="953" t="s">
        <v>1947</v>
      </c>
      <c r="K3" s="957" t="s">
        <v>316</v>
      </c>
      <c r="L3" s="959" t="s">
        <v>170</v>
      </c>
    </row>
    <row r="4" spans="2:12" s="85" customFormat="1" ht="22.5" customHeight="1" thickBot="1">
      <c r="B4" s="965"/>
      <c r="C4" s="966"/>
      <c r="D4" s="956"/>
      <c r="E4" s="954"/>
      <c r="F4" s="954"/>
      <c r="G4" s="954"/>
      <c r="H4" s="954"/>
      <c r="I4" s="954"/>
      <c r="J4" s="954"/>
      <c r="K4" s="958"/>
      <c r="L4" s="960"/>
    </row>
    <row r="5" spans="2:12" s="85" customFormat="1" ht="24.75" customHeight="1" thickTop="1" thickBot="1">
      <c r="B5" s="213" t="s">
        <v>1663</v>
      </c>
      <c r="C5" s="214"/>
      <c r="D5" s="215">
        <f t="shared" ref="D5:L5" si="0">+D6+D24</f>
        <v>0</v>
      </c>
      <c r="E5" s="216">
        <f t="shared" si="0"/>
        <v>0</v>
      </c>
      <c r="F5" s="217">
        <f t="shared" si="0"/>
        <v>0</v>
      </c>
      <c r="G5" s="217">
        <f t="shared" si="0"/>
        <v>0</v>
      </c>
      <c r="H5" s="217">
        <f t="shared" si="0"/>
        <v>0</v>
      </c>
      <c r="I5" s="217">
        <f t="shared" si="0"/>
        <v>0</v>
      </c>
      <c r="J5" s="217">
        <f t="shared" si="0"/>
        <v>0</v>
      </c>
      <c r="K5" s="216">
        <f t="shared" si="0"/>
        <v>0</v>
      </c>
      <c r="L5" s="218">
        <f t="shared" si="0"/>
        <v>0</v>
      </c>
    </row>
    <row r="6" spans="2:12" s="85" customFormat="1" ht="22.5" customHeight="1">
      <c r="B6" s="219" t="s">
        <v>171</v>
      </c>
      <c r="C6" s="220"/>
      <c r="D6" s="221">
        <f t="shared" ref="D6:L6" si="1">SUM(D7:D23)</f>
        <v>0</v>
      </c>
      <c r="E6" s="222">
        <f t="shared" si="1"/>
        <v>0</v>
      </c>
      <c r="F6" s="223">
        <f t="shared" si="1"/>
        <v>0</v>
      </c>
      <c r="G6" s="223">
        <f t="shared" si="1"/>
        <v>0</v>
      </c>
      <c r="H6" s="223">
        <f t="shared" si="1"/>
        <v>0</v>
      </c>
      <c r="I6" s="223">
        <f t="shared" si="1"/>
        <v>0</v>
      </c>
      <c r="J6" s="223">
        <f t="shared" si="1"/>
        <v>0</v>
      </c>
      <c r="K6" s="224">
        <f t="shared" si="1"/>
        <v>0</v>
      </c>
      <c r="L6" s="225">
        <f t="shared" si="1"/>
        <v>0</v>
      </c>
    </row>
    <row r="7" spans="2:12" s="85" customFormat="1" ht="22.5" customHeight="1">
      <c r="B7" s="226" t="s">
        <v>294</v>
      </c>
      <c r="C7" s="227" t="str">
        <f>IF(AND(D7&lt;&gt;'CUADRO 12'!C17),"**","")</f>
        <v/>
      </c>
      <c r="D7" s="228">
        <f t="shared" ref="D7:D23" si="2">SUM(E7:L7)</f>
        <v>0</v>
      </c>
      <c r="E7" s="229"/>
      <c r="F7" s="230"/>
      <c r="G7" s="230"/>
      <c r="H7" s="230"/>
      <c r="I7" s="230"/>
      <c r="J7" s="230"/>
      <c r="K7" s="229"/>
      <c r="L7" s="231"/>
    </row>
    <row r="8" spans="2:12" s="85" customFormat="1" ht="22.5" customHeight="1">
      <c r="B8" s="226" t="s">
        <v>295</v>
      </c>
      <c r="C8" s="227" t="str">
        <f>IF(AND(D8&lt;&gt;'CUADRO 12'!C18),"**","")</f>
        <v/>
      </c>
      <c r="D8" s="228">
        <f t="shared" si="2"/>
        <v>0</v>
      </c>
      <c r="E8" s="229"/>
      <c r="F8" s="230"/>
      <c r="G8" s="230"/>
      <c r="H8" s="230"/>
      <c r="I8" s="230"/>
      <c r="J8" s="230"/>
      <c r="K8" s="229"/>
      <c r="L8" s="231"/>
    </row>
    <row r="9" spans="2:12" s="85" customFormat="1" ht="22.5" customHeight="1">
      <c r="B9" s="226" t="s">
        <v>297</v>
      </c>
      <c r="C9" s="227" t="str">
        <f>IF(AND(D9&lt;&gt;'CUADRO 12'!C19),"**","")</f>
        <v/>
      </c>
      <c r="D9" s="228">
        <f t="shared" si="2"/>
        <v>0</v>
      </c>
      <c r="E9" s="229"/>
      <c r="F9" s="230"/>
      <c r="G9" s="230"/>
      <c r="H9" s="230"/>
      <c r="I9" s="230"/>
      <c r="J9" s="230"/>
      <c r="K9" s="229"/>
      <c r="L9" s="231"/>
    </row>
    <row r="10" spans="2:12" s="85" customFormat="1" ht="22.5" customHeight="1">
      <c r="B10" s="226" t="s">
        <v>296</v>
      </c>
      <c r="C10" s="227" t="str">
        <f>IF(AND(D10&lt;&gt;'CUADRO 12'!C20),"**","")</f>
        <v/>
      </c>
      <c r="D10" s="228">
        <f t="shared" si="2"/>
        <v>0</v>
      </c>
      <c r="E10" s="229"/>
      <c r="F10" s="230"/>
      <c r="G10" s="230"/>
      <c r="H10" s="230"/>
      <c r="I10" s="230"/>
      <c r="J10" s="230"/>
      <c r="K10" s="229"/>
      <c r="L10" s="231"/>
    </row>
    <row r="11" spans="2:12" s="85" customFormat="1" ht="22.5" customHeight="1">
      <c r="B11" s="232" t="s">
        <v>867</v>
      </c>
      <c r="C11" s="227" t="str">
        <f>IF(AND(D11&lt;&gt;'CUADRO 12'!C21),"**","")</f>
        <v/>
      </c>
      <c r="D11" s="228">
        <f t="shared" si="2"/>
        <v>0</v>
      </c>
      <c r="E11" s="229"/>
      <c r="F11" s="233"/>
      <c r="G11" s="230"/>
      <c r="H11" s="230"/>
      <c r="I11" s="230"/>
      <c r="J11" s="230"/>
      <c r="K11" s="229"/>
      <c r="L11" s="231"/>
    </row>
    <row r="12" spans="2:12" s="85" customFormat="1" ht="22.5" customHeight="1">
      <c r="B12" s="232" t="s">
        <v>868</v>
      </c>
      <c r="C12" s="227" t="str">
        <f>IF(AND(D12&lt;&gt;'CUADRO 12'!C22),"**","")</f>
        <v/>
      </c>
      <c r="D12" s="228">
        <f t="shared" si="2"/>
        <v>0</v>
      </c>
      <c r="E12" s="229"/>
      <c r="F12" s="234"/>
      <c r="G12" s="234"/>
      <c r="H12" s="234"/>
      <c r="I12" s="234"/>
      <c r="J12" s="234"/>
      <c r="K12" s="229"/>
      <c r="L12" s="231"/>
    </row>
    <row r="13" spans="2:12" s="85" customFormat="1" ht="22.5" customHeight="1">
      <c r="B13" s="232" t="s">
        <v>869</v>
      </c>
      <c r="C13" s="227" t="str">
        <f>IF(AND(D13&lt;&gt;'CUADRO 12'!C23),"**","")</f>
        <v/>
      </c>
      <c r="D13" s="228">
        <f t="shared" si="2"/>
        <v>0</v>
      </c>
      <c r="E13" s="229"/>
      <c r="F13" s="234"/>
      <c r="G13" s="234"/>
      <c r="H13" s="234"/>
      <c r="I13" s="234"/>
      <c r="J13" s="234"/>
      <c r="K13" s="229"/>
      <c r="L13" s="231"/>
    </row>
    <row r="14" spans="2:12" s="85" customFormat="1" ht="22.5" customHeight="1">
      <c r="B14" s="232" t="s">
        <v>172</v>
      </c>
      <c r="C14" s="227" t="str">
        <f>IF(AND(D14&lt;&gt;'CUADRO 12'!C24),"**","")</f>
        <v/>
      </c>
      <c r="D14" s="228">
        <f t="shared" si="2"/>
        <v>0</v>
      </c>
      <c r="E14" s="229"/>
      <c r="F14" s="234"/>
      <c r="G14" s="235"/>
      <c r="H14" s="234"/>
      <c r="I14" s="235"/>
      <c r="J14" s="235"/>
      <c r="K14" s="229"/>
      <c r="L14" s="236"/>
    </row>
    <row r="15" spans="2:12" s="85" customFormat="1" ht="22.5" customHeight="1">
      <c r="B15" s="232" t="s">
        <v>19</v>
      </c>
      <c r="C15" s="227" t="str">
        <f>IF(AND(D15&lt;&gt;'CUADRO 12'!C25),"**","")</f>
        <v/>
      </c>
      <c r="D15" s="228">
        <f t="shared" si="2"/>
        <v>0</v>
      </c>
      <c r="E15" s="229"/>
      <c r="F15" s="234"/>
      <c r="G15" s="235"/>
      <c r="H15" s="234"/>
      <c r="I15" s="235"/>
      <c r="J15" s="235"/>
      <c r="K15" s="229"/>
      <c r="L15" s="236"/>
    </row>
    <row r="16" spans="2:12" s="85" customFormat="1" ht="22.5" customHeight="1">
      <c r="B16" s="232" t="s">
        <v>870</v>
      </c>
      <c r="C16" s="227" t="str">
        <f>IF(AND(D16&lt;&gt;'CUADRO 12'!C26),"**","")</f>
        <v/>
      </c>
      <c r="D16" s="228">
        <f t="shared" si="2"/>
        <v>0</v>
      </c>
      <c r="E16" s="229"/>
      <c r="F16" s="230"/>
      <c r="G16" s="230"/>
      <c r="H16" s="230"/>
      <c r="I16" s="230"/>
      <c r="J16" s="230"/>
      <c r="K16" s="229"/>
      <c r="L16" s="231"/>
    </row>
    <row r="17" spans="2:12" s="85" customFormat="1" ht="22.5" customHeight="1">
      <c r="B17" s="232" t="s">
        <v>163</v>
      </c>
      <c r="C17" s="227" t="str">
        <f>IF(AND(D17&lt;&gt;'CUADRO 12'!C27),"**","")</f>
        <v/>
      </c>
      <c r="D17" s="228">
        <f t="shared" si="2"/>
        <v>0</v>
      </c>
      <c r="E17" s="229"/>
      <c r="F17" s="230"/>
      <c r="G17" s="230"/>
      <c r="H17" s="230"/>
      <c r="I17" s="230"/>
      <c r="J17" s="230"/>
      <c r="K17" s="229"/>
      <c r="L17" s="231"/>
    </row>
    <row r="18" spans="2:12" s="85" customFormat="1" ht="22.5" customHeight="1">
      <c r="B18" s="232" t="s">
        <v>164</v>
      </c>
      <c r="C18" s="227" t="str">
        <f>IF(AND(D18&lt;&gt;'CUADRO 12'!C28),"**","")</f>
        <v/>
      </c>
      <c r="D18" s="228">
        <f t="shared" si="2"/>
        <v>0</v>
      </c>
      <c r="E18" s="229"/>
      <c r="F18" s="230"/>
      <c r="G18" s="230"/>
      <c r="H18" s="230"/>
      <c r="I18" s="230"/>
      <c r="J18" s="230"/>
      <c r="K18" s="229"/>
      <c r="L18" s="231"/>
    </row>
    <row r="19" spans="2:12" s="85" customFormat="1" ht="22.5" customHeight="1">
      <c r="B19" s="232" t="s">
        <v>162</v>
      </c>
      <c r="C19" s="227" t="str">
        <f>IF(AND(D19&lt;&gt;'CUADRO 12'!C29),"**","")</f>
        <v/>
      </c>
      <c r="D19" s="228">
        <f t="shared" si="2"/>
        <v>0</v>
      </c>
      <c r="E19" s="229"/>
      <c r="F19" s="230"/>
      <c r="G19" s="230"/>
      <c r="H19" s="230"/>
      <c r="I19" s="230"/>
      <c r="J19" s="230"/>
      <c r="K19" s="229"/>
      <c r="L19" s="231"/>
    </row>
    <row r="20" spans="2:12" s="85" customFormat="1" ht="22.5" customHeight="1">
      <c r="B20" s="232" t="s">
        <v>1615</v>
      </c>
      <c r="C20" s="227" t="str">
        <f>IF(AND(D20&lt;&gt;'CUADRO 12'!C30),"**","")</f>
        <v/>
      </c>
      <c r="D20" s="228">
        <f t="shared" si="2"/>
        <v>0</v>
      </c>
      <c r="E20" s="229"/>
      <c r="F20" s="230"/>
      <c r="G20" s="230"/>
      <c r="H20" s="230"/>
      <c r="I20" s="230"/>
      <c r="J20" s="230"/>
      <c r="K20" s="229"/>
      <c r="L20" s="231"/>
    </row>
    <row r="21" spans="2:12" s="85" customFormat="1" ht="22.5" customHeight="1">
      <c r="B21" s="232" t="s">
        <v>911</v>
      </c>
      <c r="C21" s="227" t="str">
        <f>IF(AND(D21&lt;&gt;'CUADRO 12'!C31),"**","")</f>
        <v/>
      </c>
      <c r="D21" s="228">
        <f t="shared" si="2"/>
        <v>0</v>
      </c>
      <c r="E21" s="229"/>
      <c r="F21" s="230"/>
      <c r="G21" s="230"/>
      <c r="H21" s="230"/>
      <c r="I21" s="230"/>
      <c r="J21" s="230"/>
      <c r="K21" s="229"/>
      <c r="L21" s="231"/>
    </row>
    <row r="22" spans="2:12" s="85" customFormat="1" ht="22.5" customHeight="1">
      <c r="B22" s="232" t="s">
        <v>883</v>
      </c>
      <c r="C22" s="227" t="str">
        <f>IF(AND(D22&lt;&gt;'CUADRO 12'!C32),"**","")</f>
        <v/>
      </c>
      <c r="D22" s="228">
        <f t="shared" si="2"/>
        <v>0</v>
      </c>
      <c r="E22" s="229"/>
      <c r="F22" s="230"/>
      <c r="G22" s="230"/>
      <c r="H22" s="230"/>
      <c r="I22" s="230"/>
      <c r="J22" s="230"/>
      <c r="K22" s="229"/>
      <c r="L22" s="231"/>
    </row>
    <row r="23" spans="2:12" s="85" customFormat="1" ht="22.5" customHeight="1">
      <c r="B23" s="237" t="s">
        <v>315</v>
      </c>
      <c r="C23" s="238" t="str">
        <f>IF(AND(D23&lt;&gt;'CUADRO 12'!C33),"**","")</f>
        <v/>
      </c>
      <c r="D23" s="239">
        <f t="shared" si="2"/>
        <v>0</v>
      </c>
      <c r="E23" s="240"/>
      <c r="F23" s="241"/>
      <c r="G23" s="241"/>
      <c r="H23" s="241"/>
      <c r="I23" s="241"/>
      <c r="J23" s="241"/>
      <c r="K23" s="240"/>
      <c r="L23" s="242"/>
    </row>
    <row r="24" spans="2:12" s="85" customFormat="1" ht="22.5" customHeight="1">
      <c r="B24" s="243" t="s">
        <v>309</v>
      </c>
      <c r="C24" s="244"/>
      <c r="D24" s="245">
        <f t="shared" ref="D24:L24" si="3">SUM(D25:D34)</f>
        <v>0</v>
      </c>
      <c r="E24" s="222">
        <f t="shared" si="3"/>
        <v>0</v>
      </c>
      <c r="F24" s="223">
        <f t="shared" si="3"/>
        <v>0</v>
      </c>
      <c r="G24" s="223">
        <f t="shared" si="3"/>
        <v>0</v>
      </c>
      <c r="H24" s="223">
        <f t="shared" si="3"/>
        <v>0</v>
      </c>
      <c r="I24" s="223">
        <f t="shared" si="3"/>
        <v>0</v>
      </c>
      <c r="J24" s="223">
        <f t="shared" si="3"/>
        <v>0</v>
      </c>
      <c r="K24" s="222">
        <f t="shared" si="3"/>
        <v>0</v>
      </c>
      <c r="L24" s="225">
        <f t="shared" si="3"/>
        <v>0</v>
      </c>
    </row>
    <row r="25" spans="2:12" s="85" customFormat="1" ht="22.5" customHeight="1">
      <c r="B25" s="232" t="s">
        <v>192</v>
      </c>
      <c r="C25" s="227" t="str">
        <f>IF(AND(D25&lt;&gt;'CUADRO 12'!H6),"**","")</f>
        <v/>
      </c>
      <c r="D25" s="228">
        <f>SUM(E25:L25)</f>
        <v>0</v>
      </c>
      <c r="E25" s="229"/>
      <c r="F25" s="230"/>
      <c r="G25" s="230"/>
      <c r="H25" s="230"/>
      <c r="I25" s="230"/>
      <c r="J25" s="230"/>
      <c r="K25" s="229"/>
      <c r="L25" s="231"/>
    </row>
    <row r="26" spans="2:12" s="85" customFormat="1" ht="22.5" customHeight="1">
      <c r="B26" s="232" t="s">
        <v>183</v>
      </c>
      <c r="C26" s="227" t="str">
        <f>IF(AND(D26&lt;&gt;'CUADRO 12'!H7),"**","")</f>
        <v/>
      </c>
      <c r="D26" s="228">
        <f t="shared" ref="D26:D34" si="4">SUM(E26:L26)</f>
        <v>0</v>
      </c>
      <c r="E26" s="229"/>
      <c r="F26" s="230"/>
      <c r="G26" s="230"/>
      <c r="H26" s="230"/>
      <c r="I26" s="230"/>
      <c r="J26" s="230"/>
      <c r="K26" s="229"/>
      <c r="L26" s="231"/>
    </row>
    <row r="27" spans="2:12" s="85" customFormat="1" ht="22.5" customHeight="1">
      <c r="B27" s="232" t="s">
        <v>184</v>
      </c>
      <c r="C27" s="227" t="str">
        <f>IF(AND(D27&lt;&gt;'CUADRO 12'!H8),"**","")</f>
        <v/>
      </c>
      <c r="D27" s="228">
        <f t="shared" si="4"/>
        <v>0</v>
      </c>
      <c r="E27" s="229"/>
      <c r="F27" s="230"/>
      <c r="G27" s="230"/>
      <c r="H27" s="230"/>
      <c r="I27" s="230"/>
      <c r="J27" s="230"/>
      <c r="K27" s="229"/>
      <c r="L27" s="231"/>
    </row>
    <row r="28" spans="2:12" s="85" customFormat="1" ht="22.5" customHeight="1">
      <c r="B28" s="232" t="s">
        <v>1810</v>
      </c>
      <c r="C28" s="227" t="str">
        <f>IF(AND(D28&lt;&gt;'CUADRO 12'!H9),"**","")</f>
        <v/>
      </c>
      <c r="D28" s="228">
        <f t="shared" si="4"/>
        <v>0</v>
      </c>
      <c r="E28" s="229"/>
      <c r="F28" s="230"/>
      <c r="G28" s="230"/>
      <c r="H28" s="230"/>
      <c r="I28" s="230"/>
      <c r="J28" s="230"/>
      <c r="K28" s="229"/>
      <c r="L28" s="231"/>
    </row>
    <row r="29" spans="2:12" s="85" customFormat="1" ht="22.5" customHeight="1">
      <c r="B29" s="226" t="s">
        <v>190</v>
      </c>
      <c r="C29" s="227" t="str">
        <f>IF(AND(D29&lt;&gt;'CUADRO 12'!H10),"**","")</f>
        <v/>
      </c>
      <c r="D29" s="228">
        <f t="shared" si="4"/>
        <v>0</v>
      </c>
      <c r="E29" s="229"/>
      <c r="F29" s="230"/>
      <c r="G29" s="230"/>
      <c r="H29" s="230"/>
      <c r="I29" s="230"/>
      <c r="J29" s="230"/>
      <c r="K29" s="229"/>
      <c r="L29" s="231"/>
    </row>
    <row r="30" spans="2:12" s="85" customFormat="1" ht="22.5" customHeight="1">
      <c r="B30" s="226" t="s">
        <v>185</v>
      </c>
      <c r="C30" s="227" t="str">
        <f>IF(AND(D30&lt;&gt;'CUADRO 12'!H11),"**","")</f>
        <v/>
      </c>
      <c r="D30" s="228">
        <f t="shared" si="4"/>
        <v>0</v>
      </c>
      <c r="E30" s="229"/>
      <c r="F30" s="230"/>
      <c r="G30" s="230"/>
      <c r="H30" s="230"/>
      <c r="I30" s="230"/>
      <c r="J30" s="230"/>
      <c r="K30" s="229"/>
      <c r="L30" s="231"/>
    </row>
    <row r="31" spans="2:12" s="85" customFormat="1" ht="22.5" customHeight="1">
      <c r="B31" s="226" t="s">
        <v>188</v>
      </c>
      <c r="C31" s="227" t="str">
        <f>IF(AND(D31&lt;&gt;'CUADRO 12'!H12),"**","")</f>
        <v/>
      </c>
      <c r="D31" s="228">
        <f t="shared" si="4"/>
        <v>0</v>
      </c>
      <c r="E31" s="229"/>
      <c r="F31" s="230"/>
      <c r="G31" s="230"/>
      <c r="H31" s="230"/>
      <c r="I31" s="230"/>
      <c r="J31" s="230"/>
      <c r="K31" s="229"/>
      <c r="L31" s="231"/>
    </row>
    <row r="32" spans="2:12" s="85" customFormat="1" ht="22.5" customHeight="1">
      <c r="B32" s="226" t="s">
        <v>189</v>
      </c>
      <c r="C32" s="227" t="str">
        <f>IF(AND(D32&lt;&gt;'CUADRO 12'!H13),"**","")</f>
        <v/>
      </c>
      <c r="D32" s="228">
        <f t="shared" si="4"/>
        <v>0</v>
      </c>
      <c r="E32" s="229"/>
      <c r="F32" s="230"/>
      <c r="G32" s="230"/>
      <c r="H32" s="230"/>
      <c r="I32" s="230"/>
      <c r="J32" s="230"/>
      <c r="K32" s="229"/>
      <c r="L32" s="231"/>
    </row>
    <row r="33" spans="2:12" s="85" customFormat="1" ht="22.5" customHeight="1">
      <c r="B33" s="226" t="s">
        <v>884</v>
      </c>
      <c r="C33" s="227" t="str">
        <f>IF(AND(D33&lt;&gt;'CUADRO 12'!H14),"**","")</f>
        <v/>
      </c>
      <c r="D33" s="228">
        <f t="shared" si="4"/>
        <v>0</v>
      </c>
      <c r="E33" s="229"/>
      <c r="F33" s="230"/>
      <c r="G33" s="230"/>
      <c r="H33" s="230"/>
      <c r="I33" s="230"/>
      <c r="J33" s="230"/>
      <c r="K33" s="229"/>
      <c r="L33" s="231"/>
    </row>
    <row r="34" spans="2:12" s="85" customFormat="1" ht="22.5" customHeight="1" thickBot="1">
      <c r="B34" s="246" t="s">
        <v>314</v>
      </c>
      <c r="C34" s="247" t="str">
        <f>IF(AND(D34&lt;&gt;'CUADRO 12'!H15),"**","")</f>
        <v/>
      </c>
      <c r="D34" s="248">
        <f t="shared" si="4"/>
        <v>0</v>
      </c>
      <c r="E34" s="249"/>
      <c r="F34" s="250"/>
      <c r="G34" s="250"/>
      <c r="H34" s="250"/>
      <c r="I34" s="250"/>
      <c r="J34" s="250"/>
      <c r="K34" s="249"/>
      <c r="L34" s="251"/>
    </row>
    <row r="35" spans="2:12" s="212" customFormat="1" ht="15.75" customHeight="1" thickTop="1">
      <c r="B35" s="252"/>
      <c r="C35" s="253"/>
      <c r="D35" s="254" t="str">
        <f>IF(OR(D7&lt;&gt;'CUADRO 12'!C17,D8&lt;&gt;'CUADRO 12'!C18,D9&lt;&gt;'CUADRO 12'!C19,D10&lt;&gt;'CUADRO 12'!C20,D11&lt;&gt;'CUADRO 12'!C21,D12&lt;&gt;'CUADRO 12'!C22,D13&lt;&gt;'CUADRO 12'!C23,D14&lt;&gt;'CUADRO 12'!C24,D15&lt;&gt;'CUADRO 12'!C25,D16&lt;&gt;'CUADRO 12'!C26,D17&lt;&gt;'CUADRO 12'!C27,D18&lt;&gt;'CUADRO 12'!C28,D19&lt;&gt;'CUADRO 12'!C29,D20&lt;&gt;'CUADRO 12'!C30,D21&lt;&gt;'CUADRO 12'!C31,D22&lt;&gt;'CUADRO 12'!C32,D23&lt;&gt;'CUADRO 12'!C33,D25&lt;&gt;'CUADRO 12'!H6,D26&lt;&gt;'CUADRO 12'!H7,D27&lt;&gt;'CUADRO 12'!H8,D28&lt;&gt;'CUADRO 12'!H9,D29&lt;&gt;'CUADRO 12'!H10,D30&lt;&gt;'CUADRO 12'!H11,D31&lt;&gt;'CUADRO 12'!H12,D32&lt;&gt;'CUADRO 12'!H13,D33&lt;&gt;'CUADRO 12'!H14,D34&lt;&gt;'CUADRO 12'!H15),"**","")</f>
        <v/>
      </c>
      <c r="E35" s="254"/>
      <c r="F35" s="254"/>
      <c r="G35" s="254"/>
      <c r="H35" s="254"/>
      <c r="I35" s="254"/>
      <c r="J35" s="254"/>
      <c r="K35" s="255"/>
      <c r="L35" s="255"/>
    </row>
    <row r="36" spans="2:12" s="212" customFormat="1" ht="15" customHeight="1">
      <c r="B36" s="256"/>
      <c r="C36" s="57"/>
      <c r="D36" s="961" t="str">
        <f>IF(D35="**","** ¡VERIFICAR!.  La cifra digitada en alguno de los Cargos es diferente a la que se reportó en el Cuadro 12.","")</f>
        <v/>
      </c>
      <c r="E36" s="961"/>
      <c r="F36" s="961"/>
      <c r="G36" s="961"/>
      <c r="H36" s="961"/>
      <c r="I36" s="961"/>
      <c r="J36" s="961"/>
      <c r="K36" s="961"/>
      <c r="L36" s="961"/>
    </row>
    <row r="37" spans="2:12" s="85" customFormat="1" ht="24.75" customHeight="1">
      <c r="B37" s="257" t="s">
        <v>290</v>
      </c>
      <c r="C37" s="258"/>
      <c r="D37" s="962"/>
      <c r="E37" s="962"/>
      <c r="F37" s="962"/>
      <c r="G37" s="962"/>
      <c r="H37" s="962"/>
      <c r="I37" s="962"/>
      <c r="J37" s="962"/>
      <c r="K37" s="962"/>
      <c r="L37" s="962"/>
    </row>
    <row r="38" spans="2:12" s="85" customFormat="1" ht="26.25" customHeight="1">
      <c r="B38" s="922"/>
      <c r="C38" s="923"/>
      <c r="D38" s="923"/>
      <c r="E38" s="923"/>
      <c r="F38" s="923"/>
      <c r="G38" s="923"/>
      <c r="H38" s="923"/>
      <c r="I38" s="923"/>
      <c r="J38" s="923"/>
      <c r="K38" s="923"/>
      <c r="L38" s="924"/>
    </row>
    <row r="39" spans="2:12" s="85" customFormat="1" ht="26.25" customHeight="1">
      <c r="B39" s="925"/>
      <c r="C39" s="926"/>
      <c r="D39" s="926"/>
      <c r="E39" s="926"/>
      <c r="F39" s="926"/>
      <c r="G39" s="926"/>
      <c r="H39" s="926"/>
      <c r="I39" s="926"/>
      <c r="J39" s="926"/>
      <c r="K39" s="926"/>
      <c r="L39" s="927"/>
    </row>
    <row r="40" spans="2:12" s="85" customFormat="1" ht="26.25" customHeight="1">
      <c r="B40" s="925"/>
      <c r="C40" s="926"/>
      <c r="D40" s="926"/>
      <c r="E40" s="926"/>
      <c r="F40" s="926"/>
      <c r="G40" s="926"/>
      <c r="H40" s="926"/>
      <c r="I40" s="926"/>
      <c r="J40" s="926"/>
      <c r="K40" s="926"/>
      <c r="L40" s="927"/>
    </row>
    <row r="41" spans="2:12" s="85" customFormat="1" ht="26.25" customHeight="1">
      <c r="B41" s="928"/>
      <c r="C41" s="929"/>
      <c r="D41" s="929"/>
      <c r="E41" s="929"/>
      <c r="F41" s="929"/>
      <c r="G41" s="929"/>
      <c r="H41" s="929"/>
      <c r="I41" s="929"/>
      <c r="J41" s="929"/>
      <c r="K41" s="929"/>
      <c r="L41" s="930"/>
    </row>
    <row r="42" spans="2:12" s="85" customFormat="1">
      <c r="B42" s="31"/>
      <c r="C42" s="33"/>
      <c r="D42" s="31"/>
      <c r="E42" s="31"/>
      <c r="K42" s="31"/>
    </row>
    <row r="43" spans="2:12" s="85" customFormat="1">
      <c r="B43" s="31"/>
      <c r="C43" s="33"/>
      <c r="D43" s="31"/>
      <c r="E43" s="31"/>
      <c r="K43" s="31"/>
    </row>
    <row r="44" spans="2:12" s="85" customFormat="1">
      <c r="B44" s="31"/>
      <c r="C44" s="33"/>
      <c r="D44" s="31"/>
      <c r="E44" s="31"/>
      <c r="K44" s="31"/>
    </row>
    <row r="45" spans="2:12" s="85" customFormat="1">
      <c r="B45" s="31"/>
      <c r="C45" s="33"/>
      <c r="D45" s="31"/>
      <c r="E45" s="31"/>
      <c r="K45" s="31"/>
    </row>
  </sheetData>
  <sheetProtection algorithmName="SHA-512" hashValue="rRp+r1ZTE8IUGeoYPc5BesMPXeDF6Q9mfiiAhWs2jL0OFI8hkmsCa5kGmaeVh6pBXjDMS7/28+bxUbVJH3QXbQ==" saltValue="wERKiXUv6/2dQXBT8vnljw==" spinCount="100000" sheet="1" objects="1" scenarios="1"/>
  <mergeCells count="13">
    <mergeCell ref="K1:L1"/>
    <mergeCell ref="E3:E4"/>
    <mergeCell ref="F3:F4"/>
    <mergeCell ref="B38:L41"/>
    <mergeCell ref="D3:D4"/>
    <mergeCell ref="K3:K4"/>
    <mergeCell ref="L3:L4"/>
    <mergeCell ref="G3:G4"/>
    <mergeCell ref="H3:H4"/>
    <mergeCell ref="I3:I4"/>
    <mergeCell ref="J3:J4"/>
    <mergeCell ref="D36:L37"/>
    <mergeCell ref="B3:C4"/>
  </mergeCells>
  <conditionalFormatting sqref="D5:D9 D12:D14 K24:L24 K5:L6 D20:D34">
    <cfRule type="cellIs" dxfId="16" priority="11" operator="equal">
      <formula>0</formula>
    </cfRule>
  </conditionalFormatting>
  <conditionalFormatting sqref="D10:D11">
    <cfRule type="cellIs" dxfId="15" priority="7" operator="equal">
      <formula>0</formula>
    </cfRule>
  </conditionalFormatting>
  <conditionalFormatting sqref="E24 E5:E6 H5:J6 H24:J24">
    <cfRule type="cellIs" dxfId="14" priority="6" operator="equal">
      <formula>0</formula>
    </cfRule>
  </conditionalFormatting>
  <conditionalFormatting sqref="F5:G6 F24:G24">
    <cfRule type="cellIs" dxfId="13" priority="5" operator="equal">
      <formula>0</formula>
    </cfRule>
  </conditionalFormatting>
  <conditionalFormatting sqref="D15:D19">
    <cfRule type="cellIs" dxfId="12" priority="2" operator="equal">
      <formula>0</formula>
    </cfRule>
  </conditionalFormatting>
  <dataValidations count="1">
    <dataValidation type="whole" operator="greaterThanOrEqual" allowBlank="1" showInputMessage="1" showErrorMessage="1" sqref="D5:L34">
      <formula1>0</formula1>
    </dataValidation>
  </dataValidations>
  <printOptions horizontalCentered="1" verticalCentered="1"/>
  <pageMargins left="0" right="0.17" top="0.23622047244094491" bottom="0.19685039370078741" header="0.43307086614173229" footer="0.19685039370078741"/>
  <pageSetup scale="65" orientation="landscape" r:id="rId1"/>
  <headerFooter scaleWithDoc="0">
    <oddFooter>&amp;R&amp;"Goudy,Negrita Cursiva"Técnica Diurna&amp;"Goudy,Cursiva", página 15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B1:Q54"/>
  <sheetViews>
    <sheetView showGridLines="0" showRuler="0" zoomScale="90" zoomScaleNormal="90" zoomScaleSheetLayoutView="90" zoomScalePageLayoutView="86" workbookViewId="0"/>
  </sheetViews>
  <sheetFormatPr baseColWidth="10" defaultRowHeight="14.25"/>
  <cols>
    <col min="1" max="1" width="2.85546875" style="31" customWidth="1"/>
    <col min="2" max="2" width="6" style="31" customWidth="1"/>
    <col min="3" max="3" width="5" style="90" customWidth="1"/>
    <col min="4" max="4" width="6.85546875" style="90" customWidth="1"/>
    <col min="5" max="5" width="11.5703125" style="90" customWidth="1"/>
    <col min="6" max="6" width="12.42578125" style="90" customWidth="1"/>
    <col min="7" max="7" width="11.42578125" style="90" customWidth="1"/>
    <col min="8" max="10" width="11.42578125" style="31" customWidth="1"/>
    <col min="11" max="11" width="11.7109375" style="31" customWidth="1"/>
    <col min="12" max="12" width="5.28515625" style="31" customWidth="1"/>
    <col min="13" max="13" width="58.7109375" style="31" customWidth="1"/>
    <col min="14" max="14" width="6.85546875" style="31" customWidth="1"/>
    <col min="15" max="15" width="12.42578125" style="131" customWidth="1"/>
    <col min="16" max="16" width="12.42578125" style="31" customWidth="1"/>
    <col min="17" max="17" width="26.28515625" style="102" customWidth="1"/>
    <col min="18" max="16384" width="11.42578125" style="31"/>
  </cols>
  <sheetData>
    <row r="1" spans="2:17" ht="18">
      <c r="B1" s="91" t="s">
        <v>1664</v>
      </c>
      <c r="H1" s="37"/>
      <c r="M1" s="724"/>
      <c r="N1" s="724"/>
      <c r="O1" s="805" t="str">
        <f>+Portada!$M$2</f>
        <v/>
      </c>
      <c r="P1" s="806"/>
      <c r="Q1" s="31"/>
    </row>
    <row r="2" spans="2:17" s="102" customFormat="1" ht="18">
      <c r="B2" s="1003" t="s">
        <v>2531</v>
      </c>
      <c r="C2" s="1003"/>
      <c r="D2" s="1003"/>
      <c r="E2" s="1003"/>
      <c r="F2" s="1003"/>
      <c r="G2" s="1003"/>
      <c r="H2" s="1003"/>
      <c r="I2" s="1003"/>
      <c r="J2" s="1003"/>
      <c r="K2" s="1003"/>
      <c r="L2" s="1003"/>
      <c r="M2" s="1003"/>
      <c r="N2" s="1003"/>
      <c r="O2" s="1003"/>
      <c r="P2" s="1003"/>
      <c r="Q2" s="142"/>
    </row>
    <row r="3" spans="2:17" s="102" customFormat="1" ht="25.5" customHeight="1">
      <c r="B3" s="143" t="s">
        <v>1775</v>
      </c>
      <c r="C3" s="144"/>
      <c r="H3" s="37"/>
      <c r="I3" s="37"/>
      <c r="J3" s="37"/>
      <c r="K3" s="37"/>
      <c r="M3" s="103"/>
      <c r="N3" s="103"/>
      <c r="O3" s="103"/>
      <c r="P3" s="103"/>
      <c r="Q3" s="103"/>
    </row>
    <row r="4" spans="2:17" s="85" customFormat="1" ht="18.75" thickBot="1">
      <c r="B4" s="145"/>
      <c r="C4" s="102"/>
      <c r="D4" s="102"/>
      <c r="E4" s="102"/>
      <c r="F4" s="102"/>
      <c r="G4" s="102"/>
      <c r="H4" s="37"/>
      <c r="I4" s="37"/>
      <c r="J4" s="37"/>
      <c r="K4" s="37"/>
      <c r="L4" s="146" t="s">
        <v>203</v>
      </c>
      <c r="M4" s="147" t="s">
        <v>1776</v>
      </c>
      <c r="N4" s="147"/>
      <c r="O4" s="148"/>
      <c r="P4" s="149"/>
      <c r="Q4" s="37"/>
    </row>
    <row r="5" spans="2:17" ht="18.75" customHeight="1" thickTop="1">
      <c r="B5" s="150" t="s">
        <v>1908</v>
      </c>
      <c r="C5" s="1009" t="s">
        <v>1907</v>
      </c>
      <c r="D5" s="1009"/>
      <c r="E5" s="1009"/>
      <c r="F5" s="1009"/>
      <c r="G5" s="1009"/>
      <c r="H5" s="1009"/>
      <c r="I5" s="1009"/>
      <c r="J5" s="1009"/>
      <c r="K5" s="37"/>
      <c r="M5" s="1004" t="s">
        <v>1777</v>
      </c>
      <c r="N5" s="714"/>
      <c r="O5" s="1006" t="s">
        <v>318</v>
      </c>
      <c r="P5" s="1008" t="s">
        <v>275</v>
      </c>
      <c r="Q5" s="37"/>
    </row>
    <row r="6" spans="2:17" ht="18.75" customHeight="1" thickBot="1">
      <c r="B6" s="150"/>
      <c r="C6" s="1009"/>
      <c r="D6" s="1009"/>
      <c r="E6" s="1009"/>
      <c r="F6" s="1009"/>
      <c r="G6" s="1009"/>
      <c r="H6" s="1009"/>
      <c r="I6" s="1009"/>
      <c r="J6" s="1009"/>
      <c r="K6" s="37"/>
      <c r="M6" s="1005"/>
      <c r="N6" s="715"/>
      <c r="O6" s="1007"/>
      <c r="P6" s="973"/>
    </row>
    <row r="7" spans="2:17" ht="18.75" customHeight="1" thickTop="1">
      <c r="B7" s="150"/>
      <c r="C7" s="1009"/>
      <c r="D7" s="1009"/>
      <c r="E7" s="1009"/>
      <c r="F7" s="1009"/>
      <c r="G7" s="1009"/>
      <c r="H7" s="1009"/>
      <c r="I7" s="1009"/>
      <c r="J7" s="1009"/>
      <c r="K7" s="37"/>
      <c r="M7" s="151" t="s">
        <v>1778</v>
      </c>
      <c r="N7" s="151"/>
      <c r="O7" s="152">
        <f>SUM(O8:O10)</f>
        <v>0</v>
      </c>
      <c r="P7" s="153">
        <f>SUM(P8:P10)</f>
        <v>0</v>
      </c>
      <c r="Q7" s="154"/>
    </row>
    <row r="8" spans="2:17" ht="18.75" customHeight="1">
      <c r="B8" s="150"/>
      <c r="C8" s="1009"/>
      <c r="D8" s="1009"/>
      <c r="E8" s="1009"/>
      <c r="F8" s="1009"/>
      <c r="G8" s="1009"/>
      <c r="H8" s="1009"/>
      <c r="I8" s="1009"/>
      <c r="J8" s="1009"/>
      <c r="K8" s="37"/>
      <c r="M8" s="721" t="s">
        <v>1665</v>
      </c>
      <c r="N8" s="155"/>
      <c r="O8" s="156"/>
      <c r="P8" s="113"/>
      <c r="Q8" s="157" t="str">
        <f>IF(AND(OR(O8&gt;0),AND(P8="")),"¿Nada en buen estado?",IF(AND(OR(O8&gt;=0),AND(P8&gt;O8)),"Verifique la cantidad total",""))</f>
        <v/>
      </c>
    </row>
    <row r="9" spans="2:17" ht="18.75" customHeight="1">
      <c r="B9" s="146"/>
      <c r="C9" s="94" t="str">
        <f>IF((D9="Sí"),"1",(IF(D9="No","2","")))</f>
        <v/>
      </c>
      <c r="D9" s="97"/>
      <c r="E9" s="158"/>
      <c r="F9" s="158"/>
      <c r="G9" s="158"/>
      <c r="H9" s="37"/>
      <c r="I9" s="37"/>
      <c r="J9" s="37"/>
      <c r="K9" s="37"/>
      <c r="M9" s="721" t="s">
        <v>324</v>
      </c>
      <c r="N9" s="155"/>
      <c r="O9" s="156"/>
      <c r="P9" s="113"/>
      <c r="Q9" s="157" t="str">
        <f>IF(AND(OR(O9&gt;0),AND(P9="")),"¿Nada en buen estado?",IF(AND(OR(O9&gt;=0),AND(P9&gt;O9)),"Verifique la cantidad total",""))</f>
        <v/>
      </c>
    </row>
    <row r="10" spans="2:17" ht="19.5" customHeight="1">
      <c r="C10" s="158"/>
      <c r="D10" s="158"/>
      <c r="E10" s="158"/>
      <c r="F10" s="158"/>
      <c r="G10" s="158"/>
      <c r="H10" s="37"/>
      <c r="I10" s="37"/>
      <c r="J10" s="37"/>
      <c r="K10" s="37"/>
      <c r="M10" s="159" t="s">
        <v>833</v>
      </c>
      <c r="N10" s="159"/>
      <c r="O10" s="160">
        <f>+O11+O12+O13</f>
        <v>0</v>
      </c>
      <c r="P10" s="161">
        <f>+P11+P12+P13</f>
        <v>0</v>
      </c>
      <c r="Q10" s="157"/>
    </row>
    <row r="11" spans="2:17" ht="18.75" customHeight="1">
      <c r="B11" s="146" t="s">
        <v>199</v>
      </c>
      <c r="C11" s="162" t="s">
        <v>1779</v>
      </c>
      <c r="D11" s="163"/>
      <c r="E11" s="105"/>
      <c r="F11" s="105"/>
      <c r="G11" s="105"/>
      <c r="H11" s="37"/>
      <c r="I11" s="37"/>
      <c r="J11" s="37"/>
      <c r="K11" s="37"/>
      <c r="M11" s="164"/>
      <c r="N11" s="164"/>
      <c r="O11" s="165"/>
      <c r="P11" s="166"/>
      <c r="Q11" s="157" t="str">
        <f t="shared" ref="Q11:Q28" si="0">IF(AND(OR(O11&gt;0),AND(P11="")),"¿Nada en buen estado?",IF(AND(OR(O11&gt;=0),AND(P11&gt;O11)),"Verifique la cantidad total",""))</f>
        <v/>
      </c>
    </row>
    <row r="12" spans="2:17" ht="18.75" customHeight="1">
      <c r="B12" s="167"/>
      <c r="C12" s="94" t="str">
        <f>IF((D12="Sí"),"1",(IF(D12="No","2","")))</f>
        <v/>
      </c>
      <c r="D12" s="97"/>
      <c r="E12" s="98" t="s">
        <v>269</v>
      </c>
      <c r="F12" s="98"/>
      <c r="G12" s="102"/>
      <c r="H12" s="37"/>
      <c r="I12" s="37"/>
      <c r="J12" s="37"/>
      <c r="K12" s="37"/>
      <c r="M12" s="164"/>
      <c r="N12" s="164"/>
      <c r="O12" s="165"/>
      <c r="P12" s="166"/>
      <c r="Q12" s="157" t="str">
        <f t="shared" si="0"/>
        <v/>
      </c>
    </row>
    <row r="13" spans="2:17" ht="18.75" customHeight="1">
      <c r="B13" s="94"/>
      <c r="C13" s="94" t="str">
        <f>IF((D13="Sí"),"1",(IF(D13="No","2","")))</f>
        <v/>
      </c>
      <c r="D13" s="97"/>
      <c r="E13" s="99" t="s">
        <v>1740</v>
      </c>
      <c r="F13" s="99"/>
      <c r="G13" s="102"/>
      <c r="H13" s="37"/>
      <c r="I13" s="37"/>
      <c r="J13" s="37"/>
      <c r="K13" s="37"/>
      <c r="L13" s="85"/>
      <c r="M13" s="164"/>
      <c r="N13" s="164"/>
      <c r="O13" s="165"/>
      <c r="P13" s="166"/>
      <c r="Q13" s="157" t="str">
        <f t="shared" si="0"/>
        <v/>
      </c>
    </row>
    <row r="14" spans="2:17" ht="18.75" customHeight="1">
      <c r="B14" s="39"/>
      <c r="C14" s="94" t="str">
        <f>IF((D14="Sí"),"1",(IF(D14="No","2","")))</f>
        <v/>
      </c>
      <c r="D14" s="97"/>
      <c r="E14" s="99" t="s">
        <v>270</v>
      </c>
      <c r="F14" s="99"/>
      <c r="G14" s="102"/>
      <c r="M14" s="168" t="s">
        <v>319</v>
      </c>
      <c r="N14" s="168"/>
      <c r="O14" s="165"/>
      <c r="P14" s="169"/>
      <c r="Q14" s="157" t="str">
        <f t="shared" si="0"/>
        <v/>
      </c>
    </row>
    <row r="15" spans="2:17" s="85" customFormat="1" ht="18.75" customHeight="1">
      <c r="B15" s="103"/>
      <c r="C15" s="94" t="str">
        <f>IF((D15="Sí"),"1",(IF(D15="No","2","")))</f>
        <v/>
      </c>
      <c r="D15" s="97"/>
      <c r="E15" s="99" t="s">
        <v>916</v>
      </c>
      <c r="F15" s="99"/>
      <c r="G15" s="102"/>
      <c r="H15" s="31"/>
      <c r="I15" s="31"/>
      <c r="J15" s="31"/>
      <c r="K15" s="31"/>
      <c r="L15" s="31"/>
      <c r="M15" s="168" t="s">
        <v>251</v>
      </c>
      <c r="N15" s="168"/>
      <c r="O15" s="165"/>
      <c r="P15" s="169"/>
      <c r="Q15" s="157" t="str">
        <f t="shared" si="0"/>
        <v/>
      </c>
    </row>
    <row r="16" spans="2:17" ht="18.75" customHeight="1">
      <c r="C16" s="102"/>
      <c r="D16" s="102"/>
      <c r="E16" s="102"/>
      <c r="F16" s="102"/>
      <c r="G16" s="102"/>
      <c r="M16" s="168" t="s">
        <v>871</v>
      </c>
      <c r="N16" s="168"/>
      <c r="O16" s="165"/>
      <c r="P16" s="169"/>
      <c r="Q16" s="157" t="str">
        <f t="shared" si="0"/>
        <v/>
      </c>
    </row>
    <row r="17" spans="2:17" ht="18.75" customHeight="1" thickBot="1">
      <c r="B17" s="146" t="s">
        <v>200</v>
      </c>
      <c r="C17" s="147" t="s">
        <v>1780</v>
      </c>
      <c r="D17" s="147"/>
      <c r="E17" s="147"/>
      <c r="F17" s="147"/>
      <c r="G17" s="170"/>
      <c r="H17" s="170"/>
      <c r="I17" s="170"/>
      <c r="K17" s="37"/>
      <c r="M17" s="168" t="s">
        <v>835</v>
      </c>
      <c r="N17" s="168"/>
      <c r="O17" s="165"/>
      <c r="P17" s="169"/>
      <c r="Q17" s="157" t="str">
        <f t="shared" si="0"/>
        <v/>
      </c>
    </row>
    <row r="18" spans="2:17" ht="18.75" customHeight="1" thickTop="1">
      <c r="B18" s="103"/>
      <c r="C18" s="978" t="s">
        <v>282</v>
      </c>
      <c r="D18" s="978"/>
      <c r="E18" s="978"/>
      <c r="F18" s="979"/>
      <c r="G18" s="984" t="s">
        <v>281</v>
      </c>
      <c r="H18" s="985"/>
      <c r="I18" s="988" t="s">
        <v>322</v>
      </c>
      <c r="J18" s="989"/>
      <c r="K18" s="37"/>
      <c r="M18" s="168" t="s">
        <v>1669</v>
      </c>
      <c r="N18" s="168"/>
      <c r="O18" s="165"/>
      <c r="P18" s="169"/>
      <c r="Q18" s="157" t="str">
        <f t="shared" si="0"/>
        <v/>
      </c>
    </row>
    <row r="19" spans="2:17" ht="18.75" customHeight="1">
      <c r="B19" s="103"/>
      <c r="C19" s="980"/>
      <c r="D19" s="980"/>
      <c r="E19" s="980"/>
      <c r="F19" s="981"/>
      <c r="G19" s="986"/>
      <c r="H19" s="987"/>
      <c r="I19" s="990"/>
      <c r="J19" s="991"/>
      <c r="K19" s="37"/>
      <c r="L19" s="37"/>
      <c r="M19" s="168" t="s">
        <v>252</v>
      </c>
      <c r="N19" s="168"/>
      <c r="O19" s="165"/>
      <c r="P19" s="169"/>
      <c r="Q19" s="157" t="str">
        <f t="shared" si="0"/>
        <v/>
      </c>
    </row>
    <row r="20" spans="2:17" s="37" customFormat="1" ht="18.75" customHeight="1">
      <c r="B20" s="103"/>
      <c r="C20" s="980"/>
      <c r="D20" s="980"/>
      <c r="E20" s="980"/>
      <c r="F20" s="981"/>
      <c r="G20" s="992" t="s">
        <v>283</v>
      </c>
      <c r="H20" s="995" t="s">
        <v>276</v>
      </c>
      <c r="I20" s="968" t="s">
        <v>283</v>
      </c>
      <c r="J20" s="971" t="s">
        <v>276</v>
      </c>
      <c r="M20" s="168" t="s">
        <v>288</v>
      </c>
      <c r="N20" s="168"/>
      <c r="O20" s="165"/>
      <c r="P20" s="169"/>
      <c r="Q20" s="157" t="str">
        <f t="shared" si="0"/>
        <v/>
      </c>
    </row>
    <row r="21" spans="2:17" s="37" customFormat="1" ht="18.75" customHeight="1">
      <c r="B21" s="103"/>
      <c r="C21" s="980"/>
      <c r="D21" s="980"/>
      <c r="E21" s="980"/>
      <c r="F21" s="981"/>
      <c r="G21" s="993"/>
      <c r="H21" s="996"/>
      <c r="I21" s="969"/>
      <c r="J21" s="972"/>
      <c r="M21" s="168" t="s">
        <v>300</v>
      </c>
      <c r="N21" s="722" t="str">
        <f>IF(AND(D12="Sí",OR(O21="",O21=0)),"**","")</f>
        <v/>
      </c>
      <c r="O21" s="165"/>
      <c r="P21" s="169"/>
      <c r="Q21" s="157" t="str">
        <f t="shared" si="0"/>
        <v/>
      </c>
    </row>
    <row r="22" spans="2:17" s="37" customFormat="1" ht="18.75" customHeight="1" thickBot="1">
      <c r="B22" s="171"/>
      <c r="C22" s="982"/>
      <c r="D22" s="982"/>
      <c r="E22" s="982"/>
      <c r="F22" s="983"/>
      <c r="G22" s="994"/>
      <c r="H22" s="997"/>
      <c r="I22" s="970"/>
      <c r="J22" s="973"/>
      <c r="M22" s="168" t="s">
        <v>304</v>
      </c>
      <c r="N22" s="168"/>
      <c r="O22" s="165"/>
      <c r="P22" s="169"/>
      <c r="Q22" s="157" t="str">
        <f t="shared" si="0"/>
        <v/>
      </c>
    </row>
    <row r="23" spans="2:17" s="37" customFormat="1" ht="18.75" customHeight="1" thickTop="1">
      <c r="B23" s="85"/>
      <c r="C23" s="172" t="s">
        <v>277</v>
      </c>
      <c r="D23" s="172"/>
      <c r="E23" s="172"/>
      <c r="F23" s="172"/>
      <c r="G23" s="173">
        <f>SUM(G24:G26)</f>
        <v>0</v>
      </c>
      <c r="H23" s="174">
        <f>SUM(H24:H26)</f>
        <v>0</v>
      </c>
      <c r="I23" s="175">
        <f>SUM(I24:I26)</f>
        <v>0</v>
      </c>
      <c r="J23" s="176">
        <f>SUM(J24:J26)</f>
        <v>0</v>
      </c>
      <c r="M23" s="168" t="s">
        <v>892</v>
      </c>
      <c r="N23" s="168"/>
      <c r="O23" s="165"/>
      <c r="P23" s="169"/>
      <c r="Q23" s="157" t="str">
        <f t="shared" si="0"/>
        <v/>
      </c>
    </row>
    <row r="24" spans="2:17" s="37" customFormat="1" ht="18.75" customHeight="1">
      <c r="B24" s="85"/>
      <c r="C24" s="974" t="s">
        <v>278</v>
      </c>
      <c r="D24" s="974"/>
      <c r="E24" s="974"/>
      <c r="F24" s="975"/>
      <c r="G24" s="177"/>
      <c r="H24" s="178"/>
      <c r="I24" s="179"/>
      <c r="J24" s="180"/>
      <c r="M24" s="168" t="s">
        <v>301</v>
      </c>
      <c r="N24" s="168"/>
      <c r="O24" s="165"/>
      <c r="P24" s="169"/>
      <c r="Q24" s="157" t="str">
        <f t="shared" si="0"/>
        <v/>
      </c>
    </row>
    <row r="25" spans="2:17" s="37" customFormat="1" ht="18.75" customHeight="1">
      <c r="B25" s="31"/>
      <c r="C25" s="974" t="s">
        <v>279</v>
      </c>
      <c r="D25" s="974"/>
      <c r="E25" s="974"/>
      <c r="F25" s="975"/>
      <c r="G25" s="177"/>
      <c r="H25" s="178"/>
      <c r="I25" s="179"/>
      <c r="J25" s="180"/>
      <c r="M25" s="168" t="s">
        <v>302</v>
      </c>
      <c r="N25" s="168"/>
      <c r="O25" s="165"/>
      <c r="P25" s="169"/>
      <c r="Q25" s="157" t="str">
        <f t="shared" si="0"/>
        <v/>
      </c>
    </row>
    <row r="26" spans="2:17" s="37" customFormat="1" ht="18.75" customHeight="1" thickBot="1">
      <c r="B26" s="31"/>
      <c r="C26" s="976" t="s">
        <v>280</v>
      </c>
      <c r="D26" s="976"/>
      <c r="E26" s="976"/>
      <c r="F26" s="977"/>
      <c r="G26" s="181"/>
      <c r="H26" s="182"/>
      <c r="I26" s="183"/>
      <c r="J26" s="184"/>
      <c r="M26" s="185" t="s">
        <v>836</v>
      </c>
      <c r="N26" s="185"/>
      <c r="O26" s="186"/>
      <c r="P26" s="187"/>
      <c r="Q26" s="157" t="str">
        <f t="shared" si="0"/>
        <v/>
      </c>
    </row>
    <row r="27" spans="2:17" s="37" customFormat="1" ht="18.75" customHeight="1" thickTop="1">
      <c r="B27" s="31"/>
      <c r="C27" s="1001" t="str">
        <f>IF(AND(D14="No",OR(G23&gt;0,I23&gt;0)),"Indicó que NO cuentan con Servicio de Internet en el punto 2.",(IF(AND(D14="",OR(G23&gt;0,I23&gt;0)),"Indicar que tienen Servicio de  Internet en el punto 2.",(IF(AND(D14="Sí",OR(H23&gt;0,J23&gt;0),AND(G23=0,I23=0)),"Indicó que cuentan con Servicio de Internet en el punto 2, pero ninguna computadora conectada a Internet.","")))))</f>
        <v/>
      </c>
      <c r="D27" s="1001"/>
      <c r="E27" s="1001"/>
      <c r="F27" s="1001"/>
      <c r="G27" s="1001"/>
      <c r="H27" s="1001"/>
      <c r="I27" s="1001"/>
      <c r="J27" s="1001"/>
      <c r="M27" s="188" t="s">
        <v>1909</v>
      </c>
      <c r="N27" s="723" t="str">
        <f>IF(AND(D37="Sí",OR(O27="",O27=0)),"***",IF(AND(O27&gt;0,OR(D37="No",D37="")),"++",""))</f>
        <v/>
      </c>
      <c r="O27" s="189"/>
      <c r="P27" s="190"/>
      <c r="Q27" s="157" t="str">
        <f t="shared" si="0"/>
        <v/>
      </c>
    </row>
    <row r="28" spans="2:17" s="37" customFormat="1" ht="18.75" customHeight="1" thickBot="1">
      <c r="C28" s="1002"/>
      <c r="D28" s="1002"/>
      <c r="E28" s="1002"/>
      <c r="F28" s="1002"/>
      <c r="G28" s="1002"/>
      <c r="H28" s="1002"/>
      <c r="I28" s="1002"/>
      <c r="J28" s="1002"/>
      <c r="M28" s="194" t="s">
        <v>1781</v>
      </c>
      <c r="N28" s="194"/>
      <c r="O28" s="195"/>
      <c r="P28" s="196"/>
      <c r="Q28" s="157" t="str">
        <f t="shared" si="0"/>
        <v/>
      </c>
    </row>
    <row r="29" spans="2:17" s="37" customFormat="1" ht="18.75" customHeight="1" thickTop="1">
      <c r="B29" s="146" t="s">
        <v>201</v>
      </c>
      <c r="C29" s="191" t="s">
        <v>1666</v>
      </c>
      <c r="D29" s="192"/>
      <c r="E29" s="192"/>
      <c r="F29" s="102"/>
      <c r="G29" s="193"/>
      <c r="H29" s="193"/>
      <c r="I29" s="105"/>
      <c r="M29" s="725" t="str">
        <f>IF(N21="**","** Indicó que cuentan con Servicio de Biblioteca, pero no indica espacio físico.","")</f>
        <v/>
      </c>
      <c r="N29" s="162"/>
      <c r="O29" s="713"/>
      <c r="P29" s="138"/>
      <c r="Q29" s="201"/>
    </row>
    <row r="30" spans="2:17" s="37" customFormat="1" ht="18.75" customHeight="1">
      <c r="B30" s="31"/>
      <c r="C30" s="106" t="str">
        <f>IF((D30="Sí"),"1",(IF((D30="No"),"2","")))</f>
        <v/>
      </c>
      <c r="D30" s="197"/>
      <c r="E30" s="198" t="str">
        <f>IF(D30="Sí","Indique nombre y código presupuestario de la institución con la que se comparte","")</f>
        <v/>
      </c>
      <c r="F30" s="105"/>
      <c r="G30" s="105"/>
      <c r="H30" s="105"/>
      <c r="I30" s="199"/>
      <c r="M30" s="725" t="str">
        <f>IF(N27="***","*** Indicó que cuentan con Sala de Lactancia, pero no indica espacio físico.",(IF(N27="++","++ Indicó datos en espacio físico, pero en el punto 6, seleccionó la opción No o la dejó en blanco.","")))</f>
        <v/>
      </c>
      <c r="N30" s="162"/>
      <c r="O30" s="713"/>
      <c r="P30" s="138"/>
      <c r="Q30" s="201"/>
    </row>
    <row r="31" spans="2:17" s="37" customFormat="1" ht="18.75" customHeight="1">
      <c r="B31" s="31"/>
      <c r="C31" s="193"/>
      <c r="D31" s="998"/>
      <c r="E31" s="999"/>
      <c r="F31" s="999"/>
      <c r="G31" s="999"/>
      <c r="H31" s="999"/>
      <c r="I31" s="1000"/>
      <c r="J31" s="202"/>
      <c r="L31" s="137" t="s">
        <v>290</v>
      </c>
    </row>
    <row r="32" spans="2:17" s="37" customFormat="1" ht="18.75" customHeight="1">
      <c r="B32" s="31"/>
      <c r="C32" s="193"/>
      <c r="D32" s="998"/>
      <c r="E32" s="999"/>
      <c r="F32" s="999"/>
      <c r="G32" s="999"/>
      <c r="H32" s="999"/>
      <c r="I32" s="1000"/>
      <c r="J32" s="202"/>
      <c r="L32" s="922"/>
      <c r="M32" s="923"/>
      <c r="N32" s="923"/>
      <c r="O32" s="923"/>
      <c r="P32" s="924"/>
      <c r="Q32" s="203"/>
    </row>
    <row r="33" spans="2:17" s="37" customFormat="1" ht="18.75" customHeight="1">
      <c r="B33" s="31"/>
      <c r="C33" s="193"/>
      <c r="D33" s="998"/>
      <c r="E33" s="999"/>
      <c r="F33" s="999"/>
      <c r="G33" s="999"/>
      <c r="H33" s="999"/>
      <c r="I33" s="1000"/>
      <c r="J33" s="202"/>
      <c r="K33" s="31"/>
      <c r="L33" s="925"/>
      <c r="M33" s="926"/>
      <c r="N33" s="926"/>
      <c r="O33" s="926"/>
      <c r="P33" s="927"/>
      <c r="Q33" s="203"/>
    </row>
    <row r="34" spans="2:17" s="37" customFormat="1" ht="18.75" customHeight="1">
      <c r="B34" s="31"/>
      <c r="C34" s="193"/>
      <c r="D34" s="998"/>
      <c r="E34" s="999"/>
      <c r="F34" s="999"/>
      <c r="G34" s="999"/>
      <c r="H34" s="999"/>
      <c r="I34" s="1000"/>
      <c r="J34" s="202"/>
      <c r="K34" s="31"/>
      <c r="L34" s="925"/>
      <c r="M34" s="926"/>
      <c r="N34" s="926"/>
      <c r="O34" s="926"/>
      <c r="P34" s="927"/>
      <c r="Q34" s="203"/>
    </row>
    <row r="35" spans="2:17" s="37" customFormat="1" ht="18.75" customHeight="1">
      <c r="B35" s="31"/>
      <c r="C35" s="90"/>
      <c r="D35" s="90"/>
      <c r="E35" s="90"/>
      <c r="F35" s="90"/>
      <c r="G35" s="90"/>
      <c r="H35" s="31"/>
      <c r="I35" s="31"/>
      <c r="J35" s="31"/>
      <c r="K35" s="31"/>
      <c r="L35" s="925"/>
      <c r="M35" s="926"/>
      <c r="N35" s="926"/>
      <c r="O35" s="926"/>
      <c r="P35" s="927"/>
      <c r="Q35" s="203"/>
    </row>
    <row r="36" spans="2:17" ht="19.5" customHeight="1">
      <c r="B36" s="146" t="s">
        <v>202</v>
      </c>
      <c r="C36" s="191" t="s">
        <v>2003</v>
      </c>
      <c r="L36" s="928"/>
      <c r="M36" s="929"/>
      <c r="N36" s="929"/>
      <c r="O36" s="929"/>
      <c r="P36" s="930"/>
      <c r="Q36" s="203"/>
    </row>
    <row r="37" spans="2:17" ht="19.5" customHeight="1">
      <c r="C37" s="94" t="str">
        <f>IF((D37="Sí"),"1",(IF(D37="No","2","")))</f>
        <v/>
      </c>
      <c r="D37" s="97"/>
      <c r="E37" s="697" t="str">
        <f>IF(D37="Sí","Indique lo que se le solicita en el punto 6",IF(D37="No","Seleccione el o los motivos por los que no se ha habilitado:",""))</f>
        <v/>
      </c>
      <c r="K37" s="37"/>
      <c r="M37" s="37"/>
      <c r="N37" s="37"/>
      <c r="O37" s="37"/>
      <c r="P37" s="37"/>
      <c r="Q37" s="37"/>
    </row>
    <row r="38" spans="2:17" ht="19.5" customHeight="1">
      <c r="D38" s="698" t="str">
        <f>IF((E38="X"),"1","")</f>
        <v/>
      </c>
      <c r="E38" s="699"/>
      <c r="F38" s="700" t="str">
        <f>IF($D$37="No","Falta de presupuesto.","")</f>
        <v/>
      </c>
      <c r="M38" s="37"/>
      <c r="N38" s="37"/>
      <c r="O38" s="37"/>
      <c r="P38" s="37"/>
      <c r="Q38" s="37"/>
    </row>
    <row r="39" spans="2:17" ht="19.5" customHeight="1">
      <c r="B39" s="37"/>
      <c r="C39" s="37"/>
      <c r="D39" s="698" t="str">
        <f>IF((E39="X"),"2","")</f>
        <v/>
      </c>
      <c r="E39" s="699"/>
      <c r="F39" s="700" t="str">
        <f>IF($D$37="No","No es necesario por la cantidad de mujeres que asisten a las instalaciones físicas.","")</f>
        <v/>
      </c>
      <c r="M39" s="37"/>
      <c r="N39" s="37"/>
      <c r="O39" s="204"/>
      <c r="P39" s="205"/>
      <c r="Q39" s="37"/>
    </row>
    <row r="40" spans="2:17">
      <c r="B40" s="37"/>
      <c r="C40" s="37"/>
      <c r="D40" s="698" t="str">
        <f>IF((E40="X"),"3","")</f>
        <v/>
      </c>
      <c r="E40" s="699"/>
      <c r="F40" s="700" t="str">
        <f>IF($D$37="No","Desconocimiento de la normativa jurídica *.","")</f>
        <v/>
      </c>
      <c r="M40" s="37"/>
      <c r="N40" s="37"/>
      <c r="O40" s="130"/>
      <c r="P40" s="206"/>
      <c r="Q40" s="37"/>
    </row>
    <row r="41" spans="2:17">
      <c r="B41" s="37"/>
      <c r="C41" s="37"/>
      <c r="D41" s="94"/>
      <c r="F41" s="967" t="str">
        <f>IF($D$37="No","* Artículo 100 del Código de Trabajo, Ley de Fomento a la Lactancia Materna, Reglamento a la Ley de Fomento a la Lactancia Materna, Ley N°7430, Decreto Ejecutivo 24576.","")</f>
        <v/>
      </c>
      <c r="G41" s="967"/>
      <c r="H41" s="967"/>
      <c r="I41" s="967"/>
      <c r="J41" s="967"/>
      <c r="K41" s="967"/>
      <c r="M41" s="37"/>
      <c r="N41" s="37"/>
      <c r="O41" s="130"/>
      <c r="P41" s="206"/>
      <c r="Q41" s="37"/>
    </row>
    <row r="42" spans="2:17">
      <c r="B42" s="37"/>
      <c r="C42" s="37"/>
      <c r="F42" s="967"/>
      <c r="G42" s="967"/>
      <c r="H42" s="967"/>
      <c r="I42" s="967"/>
      <c r="J42" s="967"/>
      <c r="K42" s="967"/>
      <c r="M42" s="37"/>
      <c r="N42" s="37"/>
      <c r="O42" s="130"/>
      <c r="P42" s="206"/>
      <c r="Q42" s="37"/>
    </row>
    <row r="43" spans="2:17">
      <c r="B43" s="37"/>
      <c r="C43" s="37"/>
      <c r="D43" s="37"/>
      <c r="E43" s="701"/>
      <c r="F43" s="967"/>
      <c r="G43" s="967"/>
      <c r="H43" s="967"/>
      <c r="I43" s="967"/>
      <c r="J43" s="967"/>
      <c r="K43" s="967"/>
      <c r="M43" s="37"/>
      <c r="N43" s="37"/>
      <c r="O43" s="130"/>
      <c r="P43" s="206"/>
      <c r="Q43" s="37"/>
    </row>
    <row r="44" spans="2:17">
      <c r="B44" s="37"/>
      <c r="C44" s="37"/>
      <c r="D44" s="37"/>
      <c r="E44" s="37"/>
      <c r="F44" s="37"/>
      <c r="G44" s="37"/>
      <c r="M44" s="37"/>
      <c r="N44" s="37"/>
      <c r="O44" s="204"/>
      <c r="P44" s="205"/>
      <c r="Q44" s="37"/>
    </row>
    <row r="45" spans="2:17">
      <c r="B45" s="37"/>
      <c r="C45" s="37"/>
      <c r="D45" s="37"/>
      <c r="E45" s="37"/>
      <c r="F45" s="37"/>
      <c r="G45" s="37"/>
      <c r="M45" s="37"/>
      <c r="N45" s="37"/>
      <c r="O45" s="107"/>
      <c r="P45" s="37"/>
      <c r="Q45" s="37"/>
    </row>
    <row r="46" spans="2:17">
      <c r="B46" s="37"/>
      <c r="C46" s="37"/>
      <c r="D46" s="37"/>
      <c r="E46" s="37"/>
      <c r="F46" s="37"/>
      <c r="G46" s="37"/>
      <c r="H46" s="193"/>
      <c r="I46" s="207"/>
      <c r="J46" s="207"/>
      <c r="K46" s="207"/>
      <c r="M46" s="37"/>
      <c r="N46" s="37"/>
      <c r="O46" s="107"/>
      <c r="P46" s="37"/>
      <c r="Q46" s="37"/>
    </row>
    <row r="47" spans="2:17">
      <c r="B47" s="37"/>
      <c r="C47" s="37"/>
      <c r="D47" s="37"/>
      <c r="E47" s="37"/>
      <c r="F47" s="37"/>
      <c r="G47" s="37"/>
      <c r="H47" s="193"/>
      <c r="I47" s="207"/>
      <c r="J47" s="207"/>
      <c r="K47" s="207"/>
      <c r="M47" s="37"/>
      <c r="N47" s="37"/>
      <c r="O47" s="107"/>
      <c r="P47" s="37"/>
      <c r="Q47" s="37"/>
    </row>
    <row r="48" spans="2:17">
      <c r="B48" s="37"/>
      <c r="C48" s="37"/>
      <c r="D48" s="37"/>
      <c r="E48" s="37"/>
      <c r="F48" s="37"/>
      <c r="G48" s="37"/>
      <c r="H48" s="193"/>
      <c r="I48" s="207"/>
      <c r="J48" s="207"/>
      <c r="K48" s="207"/>
      <c r="M48" s="37"/>
      <c r="N48" s="37"/>
      <c r="O48" s="107"/>
      <c r="P48" s="37"/>
      <c r="Q48" s="37"/>
    </row>
    <row r="49" spans="2:17">
      <c r="B49" s="37"/>
      <c r="C49" s="37"/>
      <c r="D49" s="37"/>
      <c r="E49" s="37"/>
      <c r="F49" s="37"/>
      <c r="G49" s="37"/>
      <c r="H49" s="102"/>
      <c r="I49" s="102"/>
      <c r="J49" s="102"/>
      <c r="K49" s="37"/>
      <c r="M49" s="37"/>
      <c r="N49" s="37"/>
      <c r="O49" s="107"/>
      <c r="P49" s="37"/>
      <c r="Q49" s="37"/>
    </row>
    <row r="50" spans="2:17">
      <c r="B50" s="37"/>
      <c r="C50" s="37"/>
      <c r="D50" s="37"/>
      <c r="E50" s="37"/>
      <c r="F50" s="37"/>
      <c r="G50" s="37"/>
    </row>
    <row r="51" spans="2:17">
      <c r="B51" s="37"/>
      <c r="C51" s="37"/>
      <c r="D51" s="37"/>
      <c r="E51" s="37"/>
      <c r="F51" s="37"/>
      <c r="G51" s="37"/>
    </row>
    <row r="52" spans="2:17">
      <c r="B52" s="37"/>
      <c r="C52" s="37"/>
      <c r="D52" s="37"/>
      <c r="E52" s="37"/>
      <c r="F52" s="37"/>
      <c r="G52" s="37"/>
    </row>
    <row r="53" spans="2:17">
      <c r="B53" s="37"/>
      <c r="C53" s="37"/>
      <c r="D53" s="37"/>
      <c r="E53" s="37"/>
      <c r="F53" s="37"/>
      <c r="G53" s="37"/>
    </row>
    <row r="54" spans="2:17">
      <c r="B54" s="37"/>
      <c r="C54" s="37"/>
      <c r="D54" s="37"/>
      <c r="E54" s="37"/>
      <c r="F54" s="37"/>
      <c r="G54" s="37"/>
    </row>
  </sheetData>
  <sheetProtection algorithmName="SHA-512" hashValue="ZtNR9iiRWpdLaUuEV15+HL9BbAiaXOjqTtSQr2D9kPL0k2JHF/q1xzJC/IZYbVVbi2ZrIbYo1haTMB7Zswaiug==" saltValue="9F+kM1qZSBINuzbFGtCdPw==" spinCount="100000" sheet="1" objects="1" scenarios="1"/>
  <mergeCells count="23">
    <mergeCell ref="O1:P1"/>
    <mergeCell ref="B2:P2"/>
    <mergeCell ref="M5:M6"/>
    <mergeCell ref="O5:O6"/>
    <mergeCell ref="P5:P6"/>
    <mergeCell ref="C5:J8"/>
    <mergeCell ref="L32:P36"/>
    <mergeCell ref="D33:I33"/>
    <mergeCell ref="D34:I34"/>
    <mergeCell ref="D32:I32"/>
    <mergeCell ref="C24:F24"/>
    <mergeCell ref="D31:I31"/>
    <mergeCell ref="C27:J28"/>
    <mergeCell ref="F41:K43"/>
    <mergeCell ref="I20:I22"/>
    <mergeCell ref="J20:J22"/>
    <mergeCell ref="C25:F25"/>
    <mergeCell ref="C26:F26"/>
    <mergeCell ref="C18:F22"/>
    <mergeCell ref="G18:H19"/>
    <mergeCell ref="I18:J19"/>
    <mergeCell ref="G20:G22"/>
    <mergeCell ref="H20:H22"/>
  </mergeCells>
  <conditionalFormatting sqref="Q7:Q26 Q28:Q30">
    <cfRule type="cellIs" dxfId="11" priority="11" operator="equal">
      <formula>"Error!"</formula>
    </cfRule>
  </conditionalFormatting>
  <conditionalFormatting sqref="O10:P10">
    <cfRule type="cellIs" dxfId="10" priority="10" operator="equal">
      <formula>0</formula>
    </cfRule>
  </conditionalFormatting>
  <conditionalFormatting sqref="O7:P7">
    <cfRule type="cellIs" dxfId="9" priority="9" operator="equal">
      <formula>0</formula>
    </cfRule>
  </conditionalFormatting>
  <conditionalFormatting sqref="D30">
    <cfRule type="containsBlanks" dxfId="8" priority="7">
      <formula>LEN(TRIM(D30))=0</formula>
    </cfRule>
  </conditionalFormatting>
  <conditionalFormatting sqref="G23:J23">
    <cfRule type="cellIs" dxfId="7" priority="8" operator="equal">
      <formula>0</formula>
    </cfRule>
  </conditionalFormatting>
  <conditionalFormatting sqref="D9">
    <cfRule type="containsBlanks" dxfId="6" priority="6">
      <formula>LEN(TRIM(D9))=0</formula>
    </cfRule>
  </conditionalFormatting>
  <conditionalFormatting sqref="Q27">
    <cfRule type="cellIs" dxfId="5" priority="5" operator="equal">
      <formula>"Error!"</formula>
    </cfRule>
  </conditionalFormatting>
  <conditionalFormatting sqref="E38:E40">
    <cfRule type="expression" dxfId="4" priority="3">
      <formula>$D$37="No"</formula>
    </cfRule>
  </conditionalFormatting>
  <conditionalFormatting sqref="D37">
    <cfRule type="containsBlanks" dxfId="3" priority="1">
      <formula>LEN(TRIM(D37))=0</formula>
    </cfRule>
  </conditionalFormatting>
  <dataValidations count="3">
    <dataValidation type="list" allowBlank="1" showInputMessage="1" showErrorMessage="1" sqref="D30 D9 D12:D15 D37">
      <formula1>SINO</formula1>
    </dataValidation>
    <dataValidation type="whole" operator="greaterThanOrEqual" allowBlank="1" showInputMessage="1" showErrorMessage="1" sqref="G23:J26 O7:P30">
      <formula1>0</formula1>
    </dataValidation>
    <dataValidation type="list" allowBlank="1" showInputMessage="1" showErrorMessage="1" sqref="E38:E40">
      <formula1>MARCA</formula1>
    </dataValidation>
  </dataValidations>
  <printOptions horizontalCentered="1" verticalCentered="1"/>
  <pageMargins left="0" right="0.17" top="0.23622047244094491" bottom="0.19685039370078741" header="0.43307086614173229" footer="0.19685039370078741"/>
  <pageSetup scale="62" orientation="landscape" r:id="rId1"/>
  <headerFooter scaleWithDoc="0">
    <oddFooter>&amp;R&amp;"Goudy,Negrita Cursiva"Técnica Diurna&amp;"Goudy,Cursiva", página 16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B1:Q54"/>
  <sheetViews>
    <sheetView showGridLines="0" showRuler="0" zoomScale="90" zoomScaleNormal="90" zoomScaleSheetLayoutView="90" zoomScalePageLayoutView="86" workbookViewId="0"/>
  </sheetViews>
  <sheetFormatPr baseColWidth="10" defaultRowHeight="14.25"/>
  <cols>
    <col min="1" max="1" width="3.28515625" style="31" customWidth="1"/>
    <col min="2" max="2" width="4.7109375" style="31" customWidth="1"/>
    <col min="3" max="3" width="3.5703125" style="31" customWidth="1"/>
    <col min="4" max="4" width="5.7109375" style="31" customWidth="1"/>
    <col min="5" max="5" width="53.85546875" style="31" customWidth="1"/>
    <col min="6" max="6" width="10.140625" style="31" customWidth="1"/>
    <col min="7" max="7" width="4.7109375" style="31" customWidth="1"/>
    <col min="8" max="8" width="3.5703125" style="31" customWidth="1"/>
    <col min="9" max="9" width="5.7109375" style="31" customWidth="1"/>
    <col min="10" max="10" width="32" style="31" customWidth="1"/>
    <col min="11" max="12" width="13.85546875" style="31" customWidth="1"/>
    <col min="13" max="13" width="23.28515625" style="31" customWidth="1"/>
    <col min="14" max="16384" width="11.42578125" style="31"/>
  </cols>
  <sheetData>
    <row r="1" spans="2:17" s="37" customFormat="1" ht="18">
      <c r="B1" s="91" t="s">
        <v>1738</v>
      </c>
      <c r="C1" s="100"/>
      <c r="D1" s="100"/>
      <c r="E1" s="100"/>
      <c r="K1" s="805" t="str">
        <f>+Portada!$M$2</f>
        <v/>
      </c>
      <c r="L1" s="806"/>
      <c r="M1" s="738"/>
    </row>
    <row r="2" spans="2:17" s="85" customFormat="1" ht="18">
      <c r="B2" s="1003" t="s">
        <v>2532</v>
      </c>
      <c r="C2" s="1003"/>
      <c r="D2" s="1003"/>
      <c r="E2" s="1003"/>
      <c r="F2" s="1003"/>
      <c r="G2" s="1003"/>
      <c r="H2" s="1003"/>
      <c r="I2" s="1003"/>
      <c r="J2" s="1003"/>
      <c r="K2" s="1003"/>
      <c r="L2" s="1003"/>
      <c r="M2" s="1019"/>
    </row>
    <row r="3" spans="2:17" s="102" customFormat="1" ht="32.25" customHeight="1">
      <c r="B3" s="101" t="s">
        <v>1782</v>
      </c>
      <c r="G3" s="37"/>
      <c r="H3" s="37"/>
      <c r="I3" s="37"/>
      <c r="K3" s="103"/>
      <c r="L3" s="104" t="s">
        <v>834</v>
      </c>
      <c r="M3" s="103"/>
      <c r="N3" s="103"/>
    </row>
    <row r="4" spans="2:17" ht="29.25" customHeight="1" thickBot="1">
      <c r="B4" s="95" t="s">
        <v>198</v>
      </c>
      <c r="C4" s="96" t="s">
        <v>1970</v>
      </c>
      <c r="D4" s="37"/>
      <c r="E4" s="37"/>
      <c r="F4" s="144"/>
      <c r="G4" s="37"/>
      <c r="H4" s="37"/>
      <c r="I4" s="37"/>
      <c r="J4" s="102"/>
      <c r="K4" s="103"/>
      <c r="L4" s="104"/>
      <c r="M4" s="103"/>
      <c r="N4" s="103"/>
      <c r="O4" s="102"/>
      <c r="P4" s="102"/>
    </row>
    <row r="5" spans="2:17" ht="18.75" customHeight="1">
      <c r="B5" s="35"/>
      <c r="C5" s="106" t="str">
        <f>IF((D5="X"),"1","")</f>
        <v/>
      </c>
      <c r="D5" s="97"/>
      <c r="E5" s="98" t="s">
        <v>1971</v>
      </c>
      <c r="F5" s="144"/>
      <c r="G5" s="95" t="s">
        <v>202</v>
      </c>
      <c r="H5" s="96"/>
      <c r="I5" s="1020" t="s">
        <v>1788</v>
      </c>
      <c r="J5" s="1021"/>
      <c r="K5" s="1024" t="s">
        <v>318</v>
      </c>
      <c r="L5" s="1026" t="s">
        <v>275</v>
      </c>
      <c r="N5" s="85"/>
    </row>
    <row r="6" spans="2:17" ht="18.75" customHeight="1" thickBot="1">
      <c r="B6" s="35"/>
      <c r="C6" s="106" t="str">
        <f>IF((D6="X"),"2","")</f>
        <v/>
      </c>
      <c r="D6" s="97"/>
      <c r="E6" s="98" t="s">
        <v>1972</v>
      </c>
      <c r="F6" s="144"/>
      <c r="G6" s="35"/>
      <c r="H6" s="37"/>
      <c r="I6" s="1022"/>
      <c r="J6" s="1023"/>
      <c r="K6" s="1025"/>
      <c r="L6" s="1027"/>
    </row>
    <row r="7" spans="2:17" ht="18.75" customHeight="1">
      <c r="B7" s="35"/>
      <c r="C7" s="106" t="str">
        <f>IF((D7="X"),"3","")</f>
        <v/>
      </c>
      <c r="D7" s="97"/>
      <c r="E7" s="98" t="s">
        <v>1973</v>
      </c>
      <c r="F7" s="144"/>
      <c r="G7" s="35"/>
      <c r="H7" s="37"/>
      <c r="I7" s="107" t="s">
        <v>1789</v>
      </c>
      <c r="J7" s="107"/>
      <c r="K7" s="108">
        <f>+K8+K9+K10</f>
        <v>0</v>
      </c>
      <c r="L7" s="109">
        <f>+L8+L9+L10</f>
        <v>0</v>
      </c>
    </row>
    <row r="8" spans="2:17" ht="18.75" customHeight="1">
      <c r="B8" s="35"/>
      <c r="C8" s="106" t="str">
        <f>IF((D8="X"),"4","")</f>
        <v/>
      </c>
      <c r="D8" s="97"/>
      <c r="E8" s="99" t="s">
        <v>1974</v>
      </c>
      <c r="F8" s="144"/>
      <c r="G8" s="35"/>
      <c r="H8" s="37"/>
      <c r="I8" s="110" t="s">
        <v>1790</v>
      </c>
      <c r="J8" s="111"/>
      <c r="K8" s="112"/>
      <c r="L8" s="113"/>
      <c r="M8" s="114" t="str">
        <f>IF(AND(OR(K8&gt;0),AND(L8="")),"¿Nada en buen estado?",IF(AND(OR(K8&gt;=0),AND(L8&gt;K8)),"Verifique la cantidad total",""))</f>
        <v/>
      </c>
      <c r="N8" s="85"/>
    </row>
    <row r="9" spans="2:17" ht="18.75" customHeight="1">
      <c r="B9" s="101"/>
      <c r="C9" s="144"/>
      <c r="D9" s="144"/>
      <c r="E9" s="144"/>
      <c r="F9" s="144"/>
      <c r="G9" s="35"/>
      <c r="H9" s="37"/>
      <c r="I9" s="115" t="s">
        <v>1791</v>
      </c>
      <c r="J9" s="116"/>
      <c r="K9" s="117"/>
      <c r="L9" s="118"/>
      <c r="M9" s="114" t="str">
        <f t="shared" ref="M9:M27" si="0">IF(AND(OR(K9&gt;0),AND(L9="")),"¿Nada en buen estado?",IF(AND(OR(K9&gt;=0),AND(L9&gt;K9)),"Verifique la cantidad total",""))</f>
        <v/>
      </c>
    </row>
    <row r="10" spans="2:17" ht="18.75" customHeight="1">
      <c r="B10" s="95" t="s">
        <v>199</v>
      </c>
      <c r="C10" s="96" t="s">
        <v>1975</v>
      </c>
      <c r="D10" s="37"/>
      <c r="E10" s="37"/>
      <c r="F10" s="105"/>
      <c r="G10" s="35"/>
      <c r="H10" s="37"/>
      <c r="I10" s="115" t="s">
        <v>1792</v>
      </c>
      <c r="J10" s="116"/>
      <c r="K10" s="117"/>
      <c r="L10" s="118"/>
      <c r="M10" s="114" t="str">
        <f t="shared" si="0"/>
        <v/>
      </c>
    </row>
    <row r="11" spans="2:17" ht="18.75" customHeight="1">
      <c r="B11" s="35"/>
      <c r="C11" s="106" t="str">
        <f>IF((D11="X"),"1","")</f>
        <v/>
      </c>
      <c r="D11" s="97"/>
      <c r="E11" s="99" t="s">
        <v>256</v>
      </c>
      <c r="F11" s="105"/>
      <c r="G11" s="35"/>
      <c r="H11" s="37"/>
      <c r="I11" s="119" t="s">
        <v>1906</v>
      </c>
      <c r="J11" s="120"/>
      <c r="K11" s="121"/>
      <c r="L11" s="122"/>
      <c r="M11" s="114" t="str">
        <f t="shared" si="0"/>
        <v/>
      </c>
      <c r="Q11" s="85"/>
    </row>
    <row r="12" spans="2:17" s="85" customFormat="1" ht="18.75" customHeight="1">
      <c r="B12" s="35"/>
      <c r="C12" s="106" t="str">
        <f>IF((D12="X"),"2","")</f>
        <v/>
      </c>
      <c r="D12" s="97"/>
      <c r="E12" s="99" t="s">
        <v>257</v>
      </c>
      <c r="F12" s="105"/>
      <c r="G12" s="35"/>
      <c r="H12" s="37"/>
      <c r="I12" s="123" t="s">
        <v>254</v>
      </c>
      <c r="J12" s="123"/>
      <c r="K12" s="124">
        <f>+K13+K14+K15</f>
        <v>0</v>
      </c>
      <c r="L12" s="125">
        <f>+L13+L14+L15</f>
        <v>0</v>
      </c>
      <c r="M12" s="114"/>
      <c r="N12" s="31"/>
      <c r="O12" s="31"/>
      <c r="P12" s="31"/>
      <c r="Q12" s="31"/>
    </row>
    <row r="13" spans="2:17" ht="18.75" customHeight="1">
      <c r="B13" s="35"/>
      <c r="C13" s="106" t="str">
        <f>IF((D13="X"),"3","")</f>
        <v/>
      </c>
      <c r="D13" s="97"/>
      <c r="E13" s="99" t="s">
        <v>258</v>
      </c>
      <c r="F13" s="105"/>
      <c r="G13" s="35"/>
      <c r="H13" s="37"/>
      <c r="I13" s="110" t="s">
        <v>1790</v>
      </c>
      <c r="J13" s="111"/>
      <c r="K13" s="112"/>
      <c r="L13" s="113"/>
      <c r="M13" s="114" t="str">
        <f t="shared" si="0"/>
        <v/>
      </c>
    </row>
    <row r="14" spans="2:17" ht="18.75" customHeight="1">
      <c r="B14" s="35"/>
      <c r="C14" s="106" t="str">
        <f>IF((D14="X"),"4","")</f>
        <v/>
      </c>
      <c r="D14" s="97"/>
      <c r="E14" s="99" t="s">
        <v>259</v>
      </c>
      <c r="F14" s="105"/>
      <c r="G14" s="35"/>
      <c r="H14" s="37"/>
      <c r="I14" s="115" t="s">
        <v>1791</v>
      </c>
      <c r="J14" s="111"/>
      <c r="K14" s="112"/>
      <c r="L14" s="113"/>
      <c r="M14" s="114" t="str">
        <f t="shared" si="0"/>
        <v/>
      </c>
      <c r="Q14" s="85"/>
    </row>
    <row r="15" spans="2:17" s="85" customFormat="1" ht="18.75" customHeight="1">
      <c r="B15" s="35" t="s">
        <v>1783</v>
      </c>
      <c r="C15" s="106" t="str">
        <f>IF((D15="X"),"5","")</f>
        <v/>
      </c>
      <c r="D15" s="97"/>
      <c r="E15" s="99" t="s">
        <v>1784</v>
      </c>
      <c r="F15" s="105"/>
      <c r="G15" s="35"/>
      <c r="H15" s="37"/>
      <c r="I15" s="126" t="s">
        <v>1792</v>
      </c>
      <c r="J15" s="127"/>
      <c r="K15" s="128"/>
      <c r="L15" s="129"/>
      <c r="M15" s="114" t="str">
        <f t="shared" si="0"/>
        <v/>
      </c>
      <c r="N15" s="31"/>
      <c r="O15" s="31"/>
      <c r="P15" s="31"/>
      <c r="Q15" s="31"/>
    </row>
    <row r="16" spans="2:17" ht="18.75" customHeight="1">
      <c r="B16" s="35"/>
      <c r="C16" s="106" t="str">
        <f>IF((D16="X"),"6","")</f>
        <v/>
      </c>
      <c r="D16" s="97"/>
      <c r="E16" s="99" t="s">
        <v>1785</v>
      </c>
      <c r="F16" s="105"/>
      <c r="G16" s="35"/>
      <c r="H16" s="37"/>
      <c r="I16" s="123" t="s">
        <v>253</v>
      </c>
      <c r="J16" s="123"/>
      <c r="K16" s="124">
        <f>+K17+K18+K19</f>
        <v>0</v>
      </c>
      <c r="L16" s="125">
        <f>+L17+L18+L19</f>
        <v>0</v>
      </c>
      <c r="M16" s="114"/>
    </row>
    <row r="17" spans="2:17" ht="18.75" customHeight="1">
      <c r="B17" s="35"/>
      <c r="C17" s="106" t="str">
        <f>IF((D17="X"),"7","")</f>
        <v/>
      </c>
      <c r="D17" s="97"/>
      <c r="E17" s="99" t="s">
        <v>1786</v>
      </c>
      <c r="F17" s="105"/>
      <c r="G17" s="35"/>
      <c r="H17" s="37"/>
      <c r="I17" s="110" t="s">
        <v>1793</v>
      </c>
      <c r="J17" s="111"/>
      <c r="K17" s="112"/>
      <c r="L17" s="113"/>
      <c r="M17" s="114" t="str">
        <f t="shared" si="0"/>
        <v/>
      </c>
    </row>
    <row r="18" spans="2:17" ht="18.75" customHeight="1">
      <c r="B18" s="35"/>
      <c r="C18" s="106" t="str">
        <f>IF((D18="X"),"8","")</f>
        <v/>
      </c>
      <c r="D18" s="97"/>
      <c r="E18" s="99" t="s">
        <v>1787</v>
      </c>
      <c r="F18" s="105"/>
      <c r="G18" s="35"/>
      <c r="H18" s="37"/>
      <c r="I18" s="115" t="s">
        <v>1941</v>
      </c>
      <c r="J18" s="111"/>
      <c r="K18" s="112"/>
      <c r="L18" s="113"/>
      <c r="M18" s="114" t="str">
        <f t="shared" si="0"/>
        <v/>
      </c>
    </row>
    <row r="19" spans="2:17" ht="18.75" customHeight="1">
      <c r="B19" s="35"/>
      <c r="C19" s="106" t="str">
        <f>IF((D19="X"),"9","")</f>
        <v/>
      </c>
      <c r="D19" s="97"/>
      <c r="E19" s="99" t="s">
        <v>1976</v>
      </c>
      <c r="F19" s="105"/>
      <c r="I19" s="126" t="s">
        <v>1794</v>
      </c>
      <c r="J19" s="127"/>
      <c r="K19" s="128"/>
      <c r="L19" s="129"/>
      <c r="M19" s="114" t="str">
        <f t="shared" si="0"/>
        <v/>
      </c>
      <c r="O19" s="85"/>
      <c r="P19" s="85"/>
    </row>
    <row r="20" spans="2:17" ht="18.75" customHeight="1">
      <c r="B20" s="35"/>
      <c r="C20" s="106" t="str">
        <f>IF((D20="X"),"10","")</f>
        <v/>
      </c>
      <c r="D20" s="97"/>
      <c r="E20" s="99" t="s">
        <v>1977</v>
      </c>
      <c r="F20" s="105"/>
      <c r="I20" s="123" t="s">
        <v>1795</v>
      </c>
      <c r="J20" s="123"/>
      <c r="K20" s="124">
        <f>+K21+K22+K23</f>
        <v>0</v>
      </c>
      <c r="L20" s="125">
        <f>+L21+L22+L23</f>
        <v>0</v>
      </c>
      <c r="M20" s="114" t="str">
        <f t="shared" si="0"/>
        <v/>
      </c>
    </row>
    <row r="21" spans="2:17" ht="18.75" customHeight="1">
      <c r="B21" s="35"/>
      <c r="C21" s="106" t="str">
        <f>IF((D21="X"),"11","")</f>
        <v/>
      </c>
      <c r="D21" s="97"/>
      <c r="E21" s="99" t="s">
        <v>260</v>
      </c>
      <c r="F21" s="105"/>
      <c r="I21" s="110" t="s">
        <v>1793</v>
      </c>
      <c r="J21" s="111"/>
      <c r="K21" s="112"/>
      <c r="L21" s="113"/>
      <c r="M21" s="114" t="str">
        <f t="shared" si="0"/>
        <v/>
      </c>
    </row>
    <row r="22" spans="2:17" ht="18.75" customHeight="1">
      <c r="B22" s="35"/>
      <c r="C22" s="37"/>
      <c r="D22" s="107"/>
      <c r="E22" s="130"/>
      <c r="F22" s="105"/>
      <c r="G22" s="37"/>
      <c r="H22" s="37"/>
      <c r="I22" s="115" t="s">
        <v>1941</v>
      </c>
      <c r="J22" s="111"/>
      <c r="K22" s="112"/>
      <c r="L22" s="113"/>
      <c r="M22" s="114" t="str">
        <f t="shared" si="0"/>
        <v/>
      </c>
      <c r="O22" s="85"/>
      <c r="P22" s="85"/>
    </row>
    <row r="23" spans="2:17" ht="18.75" customHeight="1">
      <c r="B23" s="95" t="s">
        <v>200</v>
      </c>
      <c r="C23" s="96" t="s">
        <v>264</v>
      </c>
      <c r="D23" s="107"/>
      <c r="E23" s="55"/>
      <c r="F23" s="105"/>
      <c r="I23" s="115" t="s">
        <v>1794</v>
      </c>
      <c r="J23" s="116"/>
      <c r="K23" s="117"/>
      <c r="L23" s="118"/>
      <c r="M23" s="114" t="str">
        <f t="shared" si="0"/>
        <v/>
      </c>
    </row>
    <row r="24" spans="2:17" ht="18.75" customHeight="1">
      <c r="B24" s="35"/>
      <c r="C24" s="106" t="str">
        <f>IF((D24="X"),"1","")</f>
        <v/>
      </c>
      <c r="D24" s="97"/>
      <c r="E24" s="99" t="s">
        <v>1978</v>
      </c>
      <c r="F24" s="105"/>
      <c r="H24" s="37"/>
      <c r="I24" s="123" t="s">
        <v>1902</v>
      </c>
      <c r="J24" s="123"/>
      <c r="K24" s="124">
        <f>+K25+K26+K27</f>
        <v>0</v>
      </c>
      <c r="L24" s="125">
        <f>+L25+L26+L27</f>
        <v>0</v>
      </c>
      <c r="M24" s="114"/>
    </row>
    <row r="25" spans="2:17" ht="18.75" customHeight="1">
      <c r="B25" s="35"/>
      <c r="C25" s="106" t="str">
        <f>IF((D25="X"),"2","")</f>
        <v/>
      </c>
      <c r="D25" s="97"/>
      <c r="E25" s="99" t="s">
        <v>261</v>
      </c>
      <c r="F25" s="105"/>
      <c r="H25" s="37"/>
      <c r="I25" s="110" t="s">
        <v>1790</v>
      </c>
      <c r="J25" s="111"/>
      <c r="K25" s="112"/>
      <c r="L25" s="113"/>
      <c r="M25" s="114" t="str">
        <f t="shared" si="0"/>
        <v/>
      </c>
    </row>
    <row r="26" spans="2:17" ht="18.75" customHeight="1">
      <c r="B26" s="35"/>
      <c r="C26" s="106" t="str">
        <f>IF((D26="X"),"3","")</f>
        <v/>
      </c>
      <c r="D26" s="97"/>
      <c r="E26" s="99" t="s">
        <v>1979</v>
      </c>
      <c r="F26" s="105"/>
      <c r="H26" s="37"/>
      <c r="I26" s="115" t="s">
        <v>1791</v>
      </c>
      <c r="J26" s="111"/>
      <c r="K26" s="112"/>
      <c r="L26" s="113"/>
      <c r="M26" s="114" t="str">
        <f t="shared" si="0"/>
        <v/>
      </c>
    </row>
    <row r="27" spans="2:17" ht="18.75" customHeight="1" thickBot="1">
      <c r="B27" s="35"/>
      <c r="C27" s="106" t="str">
        <f>IF((D27="X"),"4","")</f>
        <v/>
      </c>
      <c r="D27" s="97"/>
      <c r="E27" s="99" t="s">
        <v>262</v>
      </c>
      <c r="F27" s="105"/>
      <c r="H27" s="37"/>
      <c r="I27" s="133" t="s">
        <v>1792</v>
      </c>
      <c r="J27" s="134"/>
      <c r="K27" s="135"/>
      <c r="L27" s="136"/>
      <c r="M27" s="114" t="str">
        <f t="shared" si="0"/>
        <v/>
      </c>
    </row>
    <row r="28" spans="2:17" ht="18.75" customHeight="1">
      <c r="B28" s="35"/>
      <c r="C28" s="106" t="str">
        <f>IF((D28="X"),"5","")</f>
        <v/>
      </c>
      <c r="D28" s="97"/>
      <c r="E28" s="99" t="s">
        <v>263</v>
      </c>
      <c r="F28" s="105"/>
      <c r="H28" s="37"/>
    </row>
    <row r="29" spans="2:17" ht="18.75" customHeight="1">
      <c r="B29" s="35"/>
      <c r="C29" s="106" t="str">
        <f>IF((D29="X"),"6","")</f>
        <v/>
      </c>
      <c r="D29" s="97"/>
      <c r="E29" s="99" t="s">
        <v>255</v>
      </c>
      <c r="F29" s="105"/>
      <c r="I29" s="137" t="s">
        <v>290</v>
      </c>
      <c r="K29" s="37"/>
      <c r="M29" s="37"/>
      <c r="N29" s="37"/>
      <c r="O29" s="37"/>
      <c r="P29" s="37"/>
    </row>
    <row r="30" spans="2:17" ht="18.75" customHeight="1">
      <c r="B30" s="35"/>
      <c r="D30" s="131"/>
      <c r="E30" s="690"/>
      <c r="F30" s="105"/>
      <c r="I30" s="1010"/>
      <c r="J30" s="1011"/>
      <c r="K30" s="1011"/>
      <c r="L30" s="1012"/>
      <c r="M30" s="689"/>
      <c r="N30" s="689"/>
      <c r="O30" s="689"/>
      <c r="P30" s="37"/>
    </row>
    <row r="31" spans="2:17" ht="18.75" customHeight="1">
      <c r="B31" s="132" t="s">
        <v>201</v>
      </c>
      <c r="C31" s="96" t="s">
        <v>1980</v>
      </c>
      <c r="D31" s="107"/>
      <c r="E31" s="55"/>
      <c r="F31" s="105"/>
      <c r="I31" s="1013"/>
      <c r="J31" s="1014"/>
      <c r="K31" s="1014"/>
      <c r="L31" s="1015"/>
      <c r="M31" s="689"/>
      <c r="N31" s="689"/>
      <c r="O31" s="689"/>
      <c r="P31" s="37"/>
    </row>
    <row r="32" spans="2:17" ht="18.75" customHeight="1">
      <c r="B32" s="35"/>
      <c r="C32" s="106" t="str">
        <f>IF((D32="X"),"1","")</f>
        <v/>
      </c>
      <c r="D32" s="97"/>
      <c r="E32" s="99" t="s">
        <v>265</v>
      </c>
      <c r="F32" s="105"/>
      <c r="G32" s="37"/>
      <c r="I32" s="1013"/>
      <c r="J32" s="1014"/>
      <c r="K32" s="1014"/>
      <c r="L32" s="1015"/>
      <c r="M32" s="689"/>
      <c r="N32" s="689"/>
      <c r="O32" s="689"/>
      <c r="P32" s="37"/>
      <c r="Q32" s="37"/>
    </row>
    <row r="33" spans="2:17" s="37" customFormat="1" ht="18.75" customHeight="1">
      <c r="B33" s="35"/>
      <c r="C33" s="106" t="str">
        <f>IF((D33="X"),"2","")</f>
        <v/>
      </c>
      <c r="D33" s="97"/>
      <c r="E33" s="99" t="s">
        <v>266</v>
      </c>
      <c r="F33" s="105"/>
      <c r="I33" s="1013"/>
      <c r="J33" s="1014"/>
      <c r="K33" s="1014"/>
      <c r="L33" s="1015"/>
      <c r="M33" s="689"/>
      <c r="N33" s="689"/>
      <c r="O33" s="689"/>
    </row>
    <row r="34" spans="2:17" s="37" customFormat="1" ht="18.75" customHeight="1">
      <c r="B34" s="35"/>
      <c r="C34" s="106" t="str">
        <f>IF((D34="X"),"3","")</f>
        <v/>
      </c>
      <c r="D34" s="97"/>
      <c r="E34" s="99" t="s">
        <v>267</v>
      </c>
      <c r="F34" s="105"/>
      <c r="I34" s="1013"/>
      <c r="J34" s="1014"/>
      <c r="K34" s="1014"/>
      <c r="L34" s="1015"/>
      <c r="M34" s="689"/>
      <c r="N34" s="689"/>
      <c r="O34" s="689"/>
    </row>
    <row r="35" spans="2:17" s="37" customFormat="1" ht="18.75" customHeight="1">
      <c r="B35" s="35"/>
      <c r="C35" s="106" t="str">
        <f>IF((D35="X"),"4","")</f>
        <v/>
      </c>
      <c r="D35" s="97"/>
      <c r="E35" s="99" t="s">
        <v>268</v>
      </c>
      <c r="F35" s="105"/>
      <c r="I35" s="1013"/>
      <c r="J35" s="1014"/>
      <c r="K35" s="1014"/>
      <c r="L35" s="1015"/>
    </row>
    <row r="36" spans="2:17" s="37" customFormat="1" ht="18.75" customHeight="1">
      <c r="B36" s="35"/>
      <c r="C36" s="106" t="str">
        <f>IF((D36="X"),"5","")</f>
        <v/>
      </c>
      <c r="D36" s="97"/>
      <c r="E36" s="99" t="s">
        <v>1981</v>
      </c>
      <c r="I36" s="1016"/>
      <c r="J36" s="1017"/>
      <c r="K36" s="1017"/>
      <c r="L36" s="1018"/>
      <c r="N36" s="31"/>
      <c r="O36" s="31"/>
      <c r="P36" s="31"/>
    </row>
    <row r="37" spans="2:17" s="37" customFormat="1" ht="18.75" customHeight="1">
      <c r="B37" s="31"/>
      <c r="C37" s="106" t="str">
        <f>IF((D37="X"),"6","")</f>
        <v/>
      </c>
      <c r="D37" s="97"/>
      <c r="E37" s="99" t="s">
        <v>1982</v>
      </c>
      <c r="F37" s="31"/>
      <c r="N37" s="31"/>
      <c r="O37" s="31"/>
      <c r="P37" s="31"/>
    </row>
    <row r="38" spans="2:17" s="37" customFormat="1" ht="18.75" customHeight="1"/>
    <row r="39" spans="2:17" s="37" customFormat="1" ht="18.75" customHeight="1"/>
    <row r="40" spans="2:17" s="37" customFormat="1" ht="18.75" customHeight="1"/>
    <row r="41" spans="2:17" s="37" customFormat="1" ht="18.75" customHeight="1"/>
    <row r="42" spans="2:17" s="37" customFormat="1" ht="18.75" customHeight="1">
      <c r="D42" s="139"/>
      <c r="E42" s="105"/>
      <c r="F42" s="105"/>
    </row>
    <row r="43" spans="2:17" s="37" customFormat="1" ht="18.75" customHeight="1">
      <c r="B43" s="94"/>
      <c r="C43" s="94"/>
      <c r="D43" s="31"/>
      <c r="E43" s="31"/>
      <c r="F43" s="105"/>
    </row>
    <row r="44" spans="2:17" s="37" customFormat="1" ht="18.75" customHeight="1">
      <c r="B44" s="31"/>
      <c r="C44" s="31"/>
      <c r="D44" s="31"/>
      <c r="E44" s="31"/>
      <c r="F44" s="105"/>
    </row>
    <row r="45" spans="2:17" s="37" customFormat="1" ht="18.75" customHeight="1">
      <c r="B45" s="31"/>
      <c r="C45" s="31"/>
      <c r="D45" s="31"/>
      <c r="E45" s="31"/>
      <c r="F45" s="105"/>
    </row>
    <row r="46" spans="2:17" s="37" customFormat="1" ht="18.75" customHeight="1">
      <c r="B46" s="31"/>
      <c r="C46" s="31"/>
      <c r="D46" s="31"/>
      <c r="E46" s="31"/>
      <c r="F46" s="140"/>
    </row>
    <row r="47" spans="2:17" s="37" customFormat="1" ht="18.75" customHeight="1">
      <c r="B47" s="31"/>
      <c r="C47" s="31"/>
      <c r="D47" s="31"/>
      <c r="E47" s="31"/>
      <c r="F47" s="140"/>
      <c r="Q47" s="31"/>
    </row>
    <row r="48" spans="2:17" s="37" customFormat="1" ht="18.75" customHeight="1">
      <c r="B48" s="31"/>
      <c r="C48" s="31"/>
      <c r="D48" s="31"/>
      <c r="E48" s="31"/>
      <c r="F48" s="31"/>
      <c r="Q48" s="31"/>
    </row>
    <row r="49" spans="8:16" ht="18.75" customHeight="1">
      <c r="H49" s="37"/>
      <c r="I49" s="37"/>
      <c r="J49" s="37"/>
      <c r="K49" s="37"/>
      <c r="L49" s="37"/>
      <c r="M49" s="37"/>
      <c r="N49" s="37"/>
      <c r="O49" s="37"/>
      <c r="P49" s="37"/>
    </row>
    <row r="50" spans="8:16" ht="18.75" customHeight="1">
      <c r="I50" s="37"/>
      <c r="J50" s="37"/>
      <c r="K50" s="37"/>
      <c r="L50" s="37"/>
      <c r="M50" s="37"/>
      <c r="N50" s="37"/>
      <c r="O50" s="37"/>
      <c r="P50" s="37"/>
    </row>
    <row r="51" spans="8:16" ht="18.75" customHeight="1">
      <c r="I51" s="37"/>
      <c r="J51" s="37"/>
      <c r="K51" s="37"/>
      <c r="L51" s="37"/>
      <c r="M51" s="37"/>
      <c r="N51" s="37"/>
      <c r="O51" s="37"/>
      <c r="P51" s="37"/>
    </row>
    <row r="52" spans="8:16" ht="18.75" customHeight="1">
      <c r="I52" s="37"/>
      <c r="J52" s="37"/>
      <c r="K52" s="37"/>
      <c r="L52" s="37"/>
      <c r="M52" s="37"/>
      <c r="N52" s="37"/>
      <c r="O52" s="37"/>
      <c r="P52" s="37"/>
    </row>
    <row r="53" spans="8:16" ht="18.75" customHeight="1">
      <c r="I53" s="37"/>
      <c r="J53" s="37"/>
      <c r="K53" s="37"/>
      <c r="L53" s="37"/>
      <c r="M53" s="37"/>
      <c r="N53" s="37"/>
      <c r="O53" s="37"/>
      <c r="P53" s="37"/>
    </row>
    <row r="54" spans="8:16" ht="18.75" customHeight="1">
      <c r="I54" s="37"/>
      <c r="J54" s="37"/>
      <c r="K54" s="37"/>
      <c r="L54" s="37"/>
      <c r="M54" s="37"/>
      <c r="N54" s="37"/>
      <c r="O54" s="37"/>
      <c r="P54" s="37"/>
    </row>
  </sheetData>
  <sheetProtection algorithmName="SHA-512" hashValue="e5Lec2071LfXHvX4vDIH8vpmnH/rcR/NeCzZpWnuSm+jfxf5NqdVqCPYDnxWdZmUhhfe/9KhhycWAQ1/or59dQ==" saltValue="Bks11PrHw4J8hIs2xVqhBQ==" spinCount="100000" sheet="1" objects="1" scenarios="1"/>
  <mergeCells count="6">
    <mergeCell ref="K1:L1"/>
    <mergeCell ref="I30:L36"/>
    <mergeCell ref="B2:M2"/>
    <mergeCell ref="I5:J6"/>
    <mergeCell ref="K5:K6"/>
    <mergeCell ref="L5:L6"/>
  </mergeCells>
  <conditionalFormatting sqref="M8:M27">
    <cfRule type="cellIs" dxfId="2" priority="3" operator="equal">
      <formula>"Error!"</formula>
    </cfRule>
  </conditionalFormatting>
  <conditionalFormatting sqref="K7:L7 K12:L12 K16:L16 K24:L24">
    <cfRule type="cellIs" dxfId="1" priority="2" operator="equal">
      <formula>0</formula>
    </cfRule>
  </conditionalFormatting>
  <conditionalFormatting sqref="K20:L20">
    <cfRule type="cellIs" dxfId="0" priority="1" operator="equal">
      <formula>0</formula>
    </cfRule>
  </conditionalFormatting>
  <dataValidations count="2">
    <dataValidation type="list" allowBlank="1" showInputMessage="1" showErrorMessage="1" sqref="D11:D21 D5:D8 D24:D29 D32:D37">
      <formula1>MARCA</formula1>
    </dataValidation>
    <dataValidation type="whole" operator="greaterThanOrEqual" allowBlank="1" showInputMessage="1" showErrorMessage="1" sqref="J21:J23 J25:J27 J17:J19 J8:J10 J13:J15 K7:L27">
      <formula1>0</formula1>
    </dataValidation>
  </dataValidations>
  <printOptions horizontalCentered="1" verticalCentered="1"/>
  <pageMargins left="0" right="0.15748031496062992" top="0.23622047244094491" bottom="0.19685039370078741" header="0.43307086614173229" footer="0.19685039370078741"/>
  <pageSetup scale="78" orientation="landscape" r:id="rId1"/>
  <headerFooter scaleWithDoc="0">
    <oddFooter>&amp;R&amp;"Goudy,Negrita Cursiva"Técnica Diurna&amp;"Goudy,Cursiva", página 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3366FF"/>
  </sheetPr>
  <dimension ref="A1:AA137"/>
  <sheetViews>
    <sheetView zoomScale="80" zoomScaleNormal="80" workbookViewId="0">
      <pane ySplit="2" topLeftCell="A14" activePane="bottomLeft" state="frozen"/>
      <selection pane="bottomLeft" activeCell="F30" sqref="F30"/>
    </sheetView>
  </sheetViews>
  <sheetFormatPr baseColWidth="10" defaultRowHeight="15"/>
  <cols>
    <col min="1" max="1" width="8.140625" style="5" bestFit="1" customWidth="1"/>
    <col min="2" max="2" width="7.85546875" style="5" bestFit="1" customWidth="1"/>
    <col min="3" max="3" width="11.42578125" style="1"/>
    <col min="4" max="4" width="7.85546875" style="5" bestFit="1" customWidth="1"/>
    <col min="5" max="5" width="8.140625" style="5" bestFit="1" customWidth="1"/>
    <col min="6" max="6" width="44.28515625" style="5" bestFit="1" customWidth="1"/>
    <col min="7" max="7" width="19.7109375" style="5" bestFit="1" customWidth="1"/>
    <col min="8" max="8" width="8.140625" style="5" bestFit="1" customWidth="1"/>
    <col min="9" max="9" width="5.5703125" style="5" bestFit="1" customWidth="1"/>
    <col min="10" max="10" width="7.140625" style="5" bestFit="1" customWidth="1"/>
    <col min="11" max="11" width="6.140625" style="5" bestFit="1" customWidth="1"/>
    <col min="12" max="12" width="8.140625" style="5" customWidth="1"/>
    <col min="13" max="13" width="13.28515625" style="5" bestFit="1" customWidth="1"/>
    <col min="14" max="14" width="23.28515625" style="5" bestFit="1" customWidth="1"/>
    <col min="15" max="15" width="22.28515625" style="5" bestFit="1" customWidth="1"/>
    <col min="16" max="16" width="24.140625" style="5" bestFit="1" customWidth="1"/>
    <col min="17" max="17" width="10" style="5" bestFit="1" customWidth="1"/>
    <col min="18" max="18" width="36" style="5" bestFit="1" customWidth="1"/>
    <col min="19" max="20" width="13.85546875" style="5" customWidth="1"/>
    <col min="21" max="21" width="33.7109375" style="5" bestFit="1" customWidth="1"/>
    <col min="22" max="22" width="50.85546875" style="5" bestFit="1" customWidth="1"/>
    <col min="23" max="23" width="12.42578125" style="5" bestFit="1" customWidth="1"/>
    <col min="24" max="25" width="12.42578125" style="5" customWidth="1"/>
    <col min="26" max="16384" width="11.42578125" style="1"/>
  </cols>
  <sheetData>
    <row r="1" spans="1:27">
      <c r="A1" s="2">
        <v>1</v>
      </c>
      <c r="B1" s="2">
        <v>2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2">
        <v>13</v>
      </c>
      <c r="Q1" s="2">
        <v>14</v>
      </c>
      <c r="R1" s="2">
        <v>15</v>
      </c>
      <c r="S1" s="2">
        <v>16</v>
      </c>
      <c r="T1" s="2">
        <v>17</v>
      </c>
      <c r="U1" s="2">
        <v>18</v>
      </c>
      <c r="V1" s="2">
        <v>19</v>
      </c>
      <c r="W1" s="2">
        <v>20</v>
      </c>
      <c r="X1" s="2">
        <v>21</v>
      </c>
      <c r="Y1" s="2">
        <v>22</v>
      </c>
      <c r="Z1" s="2">
        <v>23</v>
      </c>
      <c r="AA1" s="2">
        <v>24</v>
      </c>
    </row>
    <row r="2" spans="1:27" s="4" customFormat="1">
      <c r="A2" s="3" t="s">
        <v>23</v>
      </c>
      <c r="B2" s="3" t="s">
        <v>22</v>
      </c>
      <c r="D2" s="3" t="s">
        <v>22</v>
      </c>
      <c r="E2" s="3" t="s">
        <v>23</v>
      </c>
      <c r="F2" s="3" t="s">
        <v>24</v>
      </c>
      <c r="G2" s="3" t="s">
        <v>25</v>
      </c>
      <c r="H2" s="3" t="s">
        <v>26</v>
      </c>
      <c r="I2" s="3" t="s">
        <v>27</v>
      </c>
      <c r="J2" s="3" t="s">
        <v>28</v>
      </c>
      <c r="K2" s="3" t="s">
        <v>29</v>
      </c>
      <c r="L2" s="3" t="s">
        <v>808</v>
      </c>
      <c r="M2" s="3" t="s">
        <v>30</v>
      </c>
      <c r="N2" s="3" t="s">
        <v>31</v>
      </c>
      <c r="O2" s="3" t="s">
        <v>32</v>
      </c>
      <c r="P2" s="3" t="s">
        <v>33</v>
      </c>
      <c r="Q2" s="3" t="s">
        <v>34</v>
      </c>
      <c r="R2" s="3" t="s">
        <v>35</v>
      </c>
      <c r="S2" s="3" t="s">
        <v>36</v>
      </c>
      <c r="T2" s="3" t="s">
        <v>37</v>
      </c>
      <c r="U2" s="3" t="s">
        <v>38</v>
      </c>
      <c r="V2" s="3" t="s">
        <v>39</v>
      </c>
      <c r="W2" s="3" t="s">
        <v>40</v>
      </c>
      <c r="X2" s="7" t="s">
        <v>865</v>
      </c>
      <c r="Y2" s="11" t="s">
        <v>866</v>
      </c>
      <c r="Z2" s="11" t="s">
        <v>1772</v>
      </c>
      <c r="AA2" s="13" t="s">
        <v>1815</v>
      </c>
    </row>
    <row r="3" spans="1:27" ht="15.75">
      <c r="A3" s="8" t="s">
        <v>1661</v>
      </c>
      <c r="B3" s="733" t="s">
        <v>120</v>
      </c>
      <c r="D3" s="733" t="s">
        <v>920</v>
      </c>
      <c r="E3" s="733" t="s">
        <v>1051</v>
      </c>
      <c r="F3" s="733" t="s">
        <v>1183</v>
      </c>
      <c r="G3" s="733" t="s">
        <v>1747</v>
      </c>
      <c r="H3" s="733" t="s">
        <v>8</v>
      </c>
      <c r="I3" s="733" t="s">
        <v>41</v>
      </c>
      <c r="J3" s="733" t="s">
        <v>13</v>
      </c>
      <c r="K3" s="733" t="s">
        <v>6</v>
      </c>
      <c r="L3" s="10" t="str">
        <f t="shared" ref="L3:L34" si="0">CONCATENATE(I3,"-",J3,"-",K3)</f>
        <v>1-10-04</v>
      </c>
      <c r="M3" s="10"/>
      <c r="N3" s="10"/>
      <c r="O3" s="10"/>
      <c r="P3" s="733" t="s">
        <v>1302</v>
      </c>
      <c r="Q3" s="733" t="s">
        <v>893</v>
      </c>
      <c r="R3" s="733" t="s">
        <v>1753</v>
      </c>
      <c r="S3" s="733">
        <v>22750031</v>
      </c>
      <c r="T3" s="733">
        <v>22756714</v>
      </c>
      <c r="U3" s="733" t="s">
        <v>1351</v>
      </c>
      <c r="V3" s="733" t="s">
        <v>1352</v>
      </c>
      <c r="W3" s="691"/>
      <c r="X3" s="734"/>
      <c r="Y3" s="9"/>
      <c r="Z3" s="734"/>
      <c r="AA3" s="734"/>
    </row>
    <row r="4" spans="1:27" ht="15.75">
      <c r="A4" s="8" t="s">
        <v>1662</v>
      </c>
      <c r="B4" s="733" t="s">
        <v>1048</v>
      </c>
      <c r="D4" s="733" t="s">
        <v>921</v>
      </c>
      <c r="E4" s="733" t="s">
        <v>1052</v>
      </c>
      <c r="F4" s="733" t="s">
        <v>1677</v>
      </c>
      <c r="G4" s="733" t="s">
        <v>1748</v>
      </c>
      <c r="H4" s="733" t="s">
        <v>3</v>
      </c>
      <c r="I4" s="733" t="s">
        <v>41</v>
      </c>
      <c r="J4" s="733" t="s">
        <v>3</v>
      </c>
      <c r="K4" s="733" t="s">
        <v>11</v>
      </c>
      <c r="L4" s="10" t="str">
        <f t="shared" si="0"/>
        <v>1-01-08</v>
      </c>
      <c r="M4" s="10"/>
      <c r="N4" s="10"/>
      <c r="O4" s="10"/>
      <c r="P4" s="733" t="s">
        <v>59</v>
      </c>
      <c r="Q4" s="733" t="s">
        <v>1984</v>
      </c>
      <c r="R4" s="733" t="s">
        <v>1353</v>
      </c>
      <c r="S4" s="733">
        <v>22324780</v>
      </c>
      <c r="T4" s="733">
        <v>22324780</v>
      </c>
      <c r="U4" s="733" t="s">
        <v>1354</v>
      </c>
      <c r="V4" s="733" t="s">
        <v>1355</v>
      </c>
      <c r="W4" s="691"/>
      <c r="X4" s="734"/>
      <c r="Y4" s="9"/>
      <c r="Z4" s="734"/>
      <c r="AA4" s="734"/>
    </row>
    <row r="5" spans="1:27" ht="15.75">
      <c r="A5" s="8" t="s">
        <v>1774</v>
      </c>
      <c r="B5" s="733" t="s">
        <v>904</v>
      </c>
      <c r="D5" s="733" t="s">
        <v>922</v>
      </c>
      <c r="E5" s="733" t="s">
        <v>1053</v>
      </c>
      <c r="F5" s="733" t="s">
        <v>1184</v>
      </c>
      <c r="G5" s="733" t="s">
        <v>1747</v>
      </c>
      <c r="H5" s="733" t="s">
        <v>3</v>
      </c>
      <c r="I5" s="733" t="s">
        <v>41</v>
      </c>
      <c r="J5" s="733" t="s">
        <v>3</v>
      </c>
      <c r="K5" s="733" t="s">
        <v>16</v>
      </c>
      <c r="L5" s="10" t="str">
        <f t="shared" si="0"/>
        <v>1-01-11</v>
      </c>
      <c r="M5" s="10"/>
      <c r="N5" s="10"/>
      <c r="O5" s="10"/>
      <c r="P5" s="733" t="s">
        <v>809</v>
      </c>
      <c r="Q5" s="733" t="s">
        <v>1984</v>
      </c>
      <c r="R5" s="733" t="s">
        <v>2562</v>
      </c>
      <c r="S5" s="733">
        <v>22271827</v>
      </c>
      <c r="T5" s="733">
        <v>22262040</v>
      </c>
      <c r="U5" s="733" t="s">
        <v>2563</v>
      </c>
      <c r="V5" s="733" t="s">
        <v>1356</v>
      </c>
      <c r="W5" s="691"/>
      <c r="X5" s="734"/>
      <c r="Y5" s="9"/>
      <c r="Z5" s="734"/>
      <c r="AA5" s="734" t="s">
        <v>1816</v>
      </c>
    </row>
    <row r="6" spans="1:27" ht="15.75">
      <c r="A6" s="733" t="s">
        <v>1051</v>
      </c>
      <c r="B6" s="733" t="s">
        <v>920</v>
      </c>
      <c r="D6" s="733" t="s">
        <v>923</v>
      </c>
      <c r="E6" s="733" t="s">
        <v>1054</v>
      </c>
      <c r="F6" s="733" t="s">
        <v>1185</v>
      </c>
      <c r="G6" s="733" t="s">
        <v>43</v>
      </c>
      <c r="H6" s="733" t="s">
        <v>9</v>
      </c>
      <c r="I6" s="733" t="s">
        <v>41</v>
      </c>
      <c r="J6" s="733" t="s">
        <v>5</v>
      </c>
      <c r="K6" s="733" t="s">
        <v>3</v>
      </c>
      <c r="L6" s="10" t="str">
        <f t="shared" si="0"/>
        <v>1-03-01</v>
      </c>
      <c r="M6" s="10"/>
      <c r="N6" s="10"/>
      <c r="O6" s="10"/>
      <c r="P6" s="733" t="s">
        <v>43</v>
      </c>
      <c r="Q6" s="733" t="s">
        <v>1984</v>
      </c>
      <c r="R6" s="733" t="s">
        <v>1678</v>
      </c>
      <c r="S6" s="733">
        <v>22592253</v>
      </c>
      <c r="T6" s="733">
        <v>22592253</v>
      </c>
      <c r="U6" s="733" t="s">
        <v>1357</v>
      </c>
      <c r="V6" s="733" t="s">
        <v>1358</v>
      </c>
      <c r="W6" s="691"/>
      <c r="X6" s="734"/>
      <c r="Y6" s="9"/>
      <c r="Z6" s="734"/>
      <c r="AA6" s="734"/>
    </row>
    <row r="7" spans="1:27" ht="15.75">
      <c r="A7" s="733" t="s">
        <v>1058</v>
      </c>
      <c r="B7" s="733" t="s">
        <v>927</v>
      </c>
      <c r="D7" s="733" t="s">
        <v>924</v>
      </c>
      <c r="E7" s="733" t="s">
        <v>1055</v>
      </c>
      <c r="F7" s="733" t="s">
        <v>1186</v>
      </c>
      <c r="G7" s="733" t="s">
        <v>43</v>
      </c>
      <c r="H7" s="733" t="s">
        <v>6</v>
      </c>
      <c r="I7" s="733" t="s">
        <v>41</v>
      </c>
      <c r="J7" s="733" t="s">
        <v>5</v>
      </c>
      <c r="K7" s="733" t="s">
        <v>11</v>
      </c>
      <c r="L7" s="10" t="str">
        <f t="shared" si="0"/>
        <v>1-03-08</v>
      </c>
      <c r="M7" s="10"/>
      <c r="N7" s="10"/>
      <c r="O7" s="10"/>
      <c r="P7" s="733" t="s">
        <v>78</v>
      </c>
      <c r="Q7" s="733" t="s">
        <v>1984</v>
      </c>
      <c r="R7" s="733" t="s">
        <v>1359</v>
      </c>
      <c r="S7" s="733">
        <v>25441394</v>
      </c>
      <c r="T7" s="733">
        <v>25441394</v>
      </c>
      <c r="U7" s="733" t="s">
        <v>1360</v>
      </c>
      <c r="V7" s="733" t="s">
        <v>1361</v>
      </c>
      <c r="W7" s="691"/>
      <c r="X7" s="734"/>
      <c r="Y7" s="9"/>
      <c r="Z7" s="734"/>
      <c r="AA7" s="734" t="s">
        <v>1817</v>
      </c>
    </row>
    <row r="8" spans="1:27" ht="15.75">
      <c r="A8" s="733" t="s">
        <v>1052</v>
      </c>
      <c r="B8" s="733" t="s">
        <v>921</v>
      </c>
      <c r="D8" s="733" t="s">
        <v>925</v>
      </c>
      <c r="E8" s="733" t="s">
        <v>1056</v>
      </c>
      <c r="F8" s="733" t="s">
        <v>1187</v>
      </c>
      <c r="G8" s="733" t="s">
        <v>75</v>
      </c>
      <c r="H8" s="733" t="s">
        <v>3</v>
      </c>
      <c r="I8" s="733" t="s">
        <v>41</v>
      </c>
      <c r="J8" s="733" t="s">
        <v>6</v>
      </c>
      <c r="K8" s="733" t="s">
        <v>3</v>
      </c>
      <c r="L8" s="10" t="str">
        <f t="shared" si="0"/>
        <v>1-04-01</v>
      </c>
      <c r="M8" s="10"/>
      <c r="N8" s="10"/>
      <c r="O8" s="10"/>
      <c r="P8" s="733" t="s">
        <v>1303</v>
      </c>
      <c r="Q8" s="733" t="s">
        <v>1984</v>
      </c>
      <c r="R8" s="733" t="s">
        <v>2497</v>
      </c>
      <c r="S8" s="733">
        <v>21065400</v>
      </c>
      <c r="T8" s="733">
        <v>21065400</v>
      </c>
      <c r="U8" s="733" t="s">
        <v>1754</v>
      </c>
      <c r="V8" s="733" t="s">
        <v>1362</v>
      </c>
      <c r="W8" s="691"/>
      <c r="X8" s="734" t="s">
        <v>982</v>
      </c>
      <c r="Y8" s="9"/>
      <c r="Z8" s="734"/>
      <c r="AA8" s="734" t="s">
        <v>1818</v>
      </c>
    </row>
    <row r="9" spans="1:27" ht="15.75">
      <c r="A9" s="733" t="s">
        <v>1053</v>
      </c>
      <c r="B9" s="733" t="s">
        <v>922</v>
      </c>
      <c r="D9" s="733" t="s">
        <v>926</v>
      </c>
      <c r="E9" s="733" t="s">
        <v>1057</v>
      </c>
      <c r="F9" s="733" t="s">
        <v>1188</v>
      </c>
      <c r="G9" s="733" t="s">
        <v>75</v>
      </c>
      <c r="H9" s="733" t="s">
        <v>5</v>
      </c>
      <c r="I9" s="733" t="s">
        <v>41</v>
      </c>
      <c r="J9" s="733" t="s">
        <v>6</v>
      </c>
      <c r="K9" s="733" t="s">
        <v>12</v>
      </c>
      <c r="L9" s="10" t="str">
        <f t="shared" si="0"/>
        <v>1-04-09</v>
      </c>
      <c r="M9" s="10"/>
      <c r="N9" s="10"/>
      <c r="O9" s="10"/>
      <c r="P9" s="733" t="s">
        <v>46</v>
      </c>
      <c r="Q9" s="733" t="s">
        <v>1984</v>
      </c>
      <c r="R9" s="733" t="s">
        <v>2572</v>
      </c>
      <c r="S9" s="733">
        <v>27781010</v>
      </c>
      <c r="T9" s="733">
        <v>27781010</v>
      </c>
      <c r="U9" s="733" t="s">
        <v>1363</v>
      </c>
      <c r="V9" s="733" t="s">
        <v>2498</v>
      </c>
      <c r="W9" s="691"/>
      <c r="X9" s="734" t="s">
        <v>1364</v>
      </c>
      <c r="Y9" s="9"/>
      <c r="Z9" s="734"/>
      <c r="AA9" s="734"/>
    </row>
    <row r="10" spans="1:27" ht="15.75">
      <c r="A10" s="733" t="s">
        <v>1126</v>
      </c>
      <c r="B10" s="733" t="s">
        <v>993</v>
      </c>
      <c r="D10" s="733" t="s">
        <v>927</v>
      </c>
      <c r="E10" s="733" t="s">
        <v>1058</v>
      </c>
      <c r="F10" s="733" t="s">
        <v>1189</v>
      </c>
      <c r="G10" s="733" t="s">
        <v>1749</v>
      </c>
      <c r="H10" s="733" t="s">
        <v>3</v>
      </c>
      <c r="I10" s="733" t="s">
        <v>41</v>
      </c>
      <c r="J10" s="733" t="s">
        <v>11</v>
      </c>
      <c r="K10" s="733" t="s">
        <v>5</v>
      </c>
      <c r="L10" s="10" t="str">
        <f t="shared" si="0"/>
        <v>1-08-03</v>
      </c>
      <c r="M10" s="10"/>
      <c r="N10" s="10"/>
      <c r="O10" s="10"/>
      <c r="P10" s="733" t="s">
        <v>1304</v>
      </c>
      <c r="Q10" s="733" t="s">
        <v>1984</v>
      </c>
      <c r="R10" s="733" t="s">
        <v>2499</v>
      </c>
      <c r="S10" s="733">
        <v>22451128</v>
      </c>
      <c r="T10" s="733">
        <v>22451203</v>
      </c>
      <c r="U10" s="733" t="s">
        <v>1679</v>
      </c>
      <c r="V10" s="733" t="s">
        <v>1755</v>
      </c>
      <c r="W10" s="691"/>
      <c r="X10" s="734" t="s">
        <v>285</v>
      </c>
      <c r="Y10" s="9"/>
      <c r="Z10" s="734"/>
      <c r="AA10" s="734" t="s">
        <v>1819</v>
      </c>
    </row>
    <row r="11" spans="1:27" ht="15.75">
      <c r="A11" s="733" t="s">
        <v>1054</v>
      </c>
      <c r="B11" s="733" t="s">
        <v>923</v>
      </c>
      <c r="D11" s="733" t="s">
        <v>928</v>
      </c>
      <c r="E11" s="733" t="s">
        <v>1059</v>
      </c>
      <c r="F11" s="733" t="s">
        <v>1190</v>
      </c>
      <c r="G11" s="733" t="s">
        <v>43</v>
      </c>
      <c r="H11" s="733" t="s">
        <v>7</v>
      </c>
      <c r="I11" s="733" t="s">
        <v>41</v>
      </c>
      <c r="J11" s="733" t="s">
        <v>17</v>
      </c>
      <c r="K11" s="733" t="s">
        <v>3</v>
      </c>
      <c r="L11" s="10" t="str">
        <f t="shared" si="0"/>
        <v>1-12-01</v>
      </c>
      <c r="M11" s="10"/>
      <c r="N11" s="10"/>
      <c r="O11" s="10"/>
      <c r="P11" s="733" t="s">
        <v>90</v>
      </c>
      <c r="Q11" s="733" t="s">
        <v>1984</v>
      </c>
      <c r="R11" s="733" t="s">
        <v>1365</v>
      </c>
      <c r="S11" s="733">
        <v>24100840</v>
      </c>
      <c r="T11" s="733"/>
      <c r="U11" s="733" t="s">
        <v>1366</v>
      </c>
      <c r="V11" s="733" t="s">
        <v>1367</v>
      </c>
      <c r="W11" s="691"/>
      <c r="X11" s="734" t="s">
        <v>108</v>
      </c>
      <c r="Y11" s="9"/>
      <c r="Z11" s="734"/>
      <c r="AA11" s="734" t="s">
        <v>1820</v>
      </c>
    </row>
    <row r="12" spans="1:27" ht="15.75">
      <c r="A12" s="733" t="s">
        <v>1055</v>
      </c>
      <c r="B12" s="733" t="s">
        <v>924</v>
      </c>
      <c r="D12" s="733" t="s">
        <v>929</v>
      </c>
      <c r="E12" s="733" t="s">
        <v>1060</v>
      </c>
      <c r="F12" s="733" t="s">
        <v>1191</v>
      </c>
      <c r="G12" s="733" t="s">
        <v>75</v>
      </c>
      <c r="H12" s="733" t="s">
        <v>8</v>
      </c>
      <c r="I12" s="733" t="s">
        <v>41</v>
      </c>
      <c r="J12" s="733" t="s">
        <v>100</v>
      </c>
      <c r="K12" s="733" t="s">
        <v>3</v>
      </c>
      <c r="L12" s="10" t="str">
        <f t="shared" si="0"/>
        <v>1-16-01</v>
      </c>
      <c r="M12" s="10"/>
      <c r="N12" s="10"/>
      <c r="O12" s="10"/>
      <c r="P12" s="733" t="s">
        <v>103</v>
      </c>
      <c r="Q12" s="733" t="s">
        <v>1984</v>
      </c>
      <c r="R12" s="733" t="s">
        <v>1985</v>
      </c>
      <c r="S12" s="733">
        <v>24190256</v>
      </c>
      <c r="T12" s="733">
        <v>24190256</v>
      </c>
      <c r="U12" s="733" t="s">
        <v>1680</v>
      </c>
      <c r="V12" s="733" t="s">
        <v>1756</v>
      </c>
      <c r="W12" s="691"/>
      <c r="X12" s="734" t="s">
        <v>1368</v>
      </c>
      <c r="Y12" s="9"/>
      <c r="Z12" s="734"/>
      <c r="AA12" s="734"/>
    </row>
    <row r="13" spans="1:27" ht="15.75">
      <c r="A13" s="733" t="s">
        <v>1082</v>
      </c>
      <c r="B13" s="733" t="s">
        <v>950</v>
      </c>
      <c r="D13" s="733" t="s">
        <v>930</v>
      </c>
      <c r="E13" s="733" t="s">
        <v>1061</v>
      </c>
      <c r="F13" s="733" t="s">
        <v>1192</v>
      </c>
      <c r="G13" s="733" t="s">
        <v>84</v>
      </c>
      <c r="H13" s="733" t="s">
        <v>4</v>
      </c>
      <c r="I13" s="733" t="s">
        <v>41</v>
      </c>
      <c r="J13" s="733" t="s">
        <v>142</v>
      </c>
      <c r="K13" s="733" t="s">
        <v>3</v>
      </c>
      <c r="L13" s="10" t="str">
        <f t="shared" si="0"/>
        <v>1-17-01</v>
      </c>
      <c r="M13" s="10"/>
      <c r="N13" s="10"/>
      <c r="O13" s="10"/>
      <c r="P13" s="733" t="s">
        <v>135</v>
      </c>
      <c r="Q13" s="733" t="s">
        <v>1984</v>
      </c>
      <c r="R13" s="733" t="s">
        <v>2500</v>
      </c>
      <c r="S13" s="733">
        <v>25411043</v>
      </c>
      <c r="T13" s="733">
        <v>25411134</v>
      </c>
      <c r="U13" s="733" t="s">
        <v>1681</v>
      </c>
      <c r="V13" s="733" t="s">
        <v>1369</v>
      </c>
      <c r="W13" s="691"/>
      <c r="X13" s="734"/>
      <c r="Y13" s="9"/>
      <c r="Z13" s="734"/>
      <c r="AA13" s="734" t="s">
        <v>1821</v>
      </c>
    </row>
    <row r="14" spans="1:27" ht="15.75">
      <c r="A14" s="733" t="s">
        <v>1059</v>
      </c>
      <c r="B14" s="733" t="s">
        <v>928</v>
      </c>
      <c r="D14" s="733" t="s">
        <v>931</v>
      </c>
      <c r="E14" s="733" t="s">
        <v>1062</v>
      </c>
      <c r="F14" s="733" t="s">
        <v>1193</v>
      </c>
      <c r="G14" s="733" t="s">
        <v>104</v>
      </c>
      <c r="H14" s="733" t="s">
        <v>7</v>
      </c>
      <c r="I14" s="733" t="s">
        <v>41</v>
      </c>
      <c r="J14" s="733" t="s">
        <v>105</v>
      </c>
      <c r="K14" s="733" t="s">
        <v>4</v>
      </c>
      <c r="L14" s="10" t="str">
        <f t="shared" si="0"/>
        <v>1-19-02</v>
      </c>
      <c r="M14" s="10"/>
      <c r="N14" s="10"/>
      <c r="O14" s="10"/>
      <c r="P14" s="733" t="s">
        <v>1305</v>
      </c>
      <c r="Q14" s="733" t="s">
        <v>1984</v>
      </c>
      <c r="R14" s="733" t="s">
        <v>1757</v>
      </c>
      <c r="S14" s="733">
        <v>27382457</v>
      </c>
      <c r="T14" s="733">
        <v>27382457</v>
      </c>
      <c r="U14" s="733" t="s">
        <v>2578</v>
      </c>
      <c r="V14" s="733" t="s">
        <v>1370</v>
      </c>
      <c r="W14" s="691"/>
      <c r="X14" s="734"/>
      <c r="Y14" s="9"/>
      <c r="Z14" s="734"/>
      <c r="AA14" s="734" t="s">
        <v>2598</v>
      </c>
    </row>
    <row r="15" spans="1:27" ht="15.75">
      <c r="A15" s="733" t="s">
        <v>1056</v>
      </c>
      <c r="B15" s="733" t="s">
        <v>925</v>
      </c>
      <c r="D15" s="733" t="s">
        <v>932</v>
      </c>
      <c r="E15" s="733" t="s">
        <v>1063</v>
      </c>
      <c r="F15" s="733" t="s">
        <v>1194</v>
      </c>
      <c r="G15" s="733" t="s">
        <v>104</v>
      </c>
      <c r="H15" s="733" t="s">
        <v>5</v>
      </c>
      <c r="I15" s="733" t="s">
        <v>41</v>
      </c>
      <c r="J15" s="733" t="s">
        <v>105</v>
      </c>
      <c r="K15" s="733" t="s">
        <v>5</v>
      </c>
      <c r="L15" s="10" t="str">
        <f t="shared" si="0"/>
        <v>1-19-03</v>
      </c>
      <c r="M15" s="10"/>
      <c r="N15" s="10"/>
      <c r="O15" s="10"/>
      <c r="P15" s="733" t="s">
        <v>1306</v>
      </c>
      <c r="Q15" s="733" t="s">
        <v>1984</v>
      </c>
      <c r="R15" s="733" t="s">
        <v>1468</v>
      </c>
      <c r="S15" s="733">
        <v>27713003</v>
      </c>
      <c r="T15" s="733">
        <v>27710910</v>
      </c>
      <c r="U15" s="733" t="s">
        <v>1371</v>
      </c>
      <c r="V15" s="733" t="s">
        <v>1372</v>
      </c>
      <c r="W15" s="691"/>
      <c r="X15" s="734" t="s">
        <v>934</v>
      </c>
      <c r="Y15" s="9"/>
      <c r="Z15" s="734"/>
      <c r="AA15" s="734" t="s">
        <v>1822</v>
      </c>
    </row>
    <row r="16" spans="1:27" ht="15.75">
      <c r="A16" s="733" t="s">
        <v>1060</v>
      </c>
      <c r="B16" s="733" t="s">
        <v>929</v>
      </c>
      <c r="D16" s="733" t="s">
        <v>933</v>
      </c>
      <c r="E16" s="733" t="s">
        <v>1064</v>
      </c>
      <c r="F16" s="733" t="s">
        <v>1195</v>
      </c>
      <c r="G16" s="733" t="s">
        <v>104</v>
      </c>
      <c r="H16" s="733" t="s">
        <v>9</v>
      </c>
      <c r="I16" s="733" t="s">
        <v>41</v>
      </c>
      <c r="J16" s="733" t="s">
        <v>105</v>
      </c>
      <c r="K16" s="733" t="s">
        <v>8</v>
      </c>
      <c r="L16" s="10" t="str">
        <f t="shared" si="0"/>
        <v>1-19-06</v>
      </c>
      <c r="M16" s="10"/>
      <c r="N16" s="10"/>
      <c r="O16" s="10"/>
      <c r="P16" s="733" t="s">
        <v>58</v>
      </c>
      <c r="Q16" s="733" t="s">
        <v>1984</v>
      </c>
      <c r="R16" s="733" t="s">
        <v>1682</v>
      </c>
      <c r="S16" s="733">
        <v>27370025</v>
      </c>
      <c r="T16" s="733">
        <v>27370168</v>
      </c>
      <c r="U16" s="733" t="s">
        <v>1373</v>
      </c>
      <c r="V16" s="733" t="s">
        <v>1374</v>
      </c>
      <c r="W16" s="691"/>
      <c r="X16" s="734" t="s">
        <v>1375</v>
      </c>
      <c r="Y16" s="9"/>
      <c r="Z16" s="734"/>
      <c r="AA16" s="734" t="s">
        <v>1823</v>
      </c>
    </row>
    <row r="17" spans="1:27" ht="15.75">
      <c r="A17" s="733" t="s">
        <v>1057</v>
      </c>
      <c r="B17" s="733" t="s">
        <v>926</v>
      </c>
      <c r="D17" s="733" t="s">
        <v>286</v>
      </c>
      <c r="E17" s="733" t="s">
        <v>1065</v>
      </c>
      <c r="F17" s="733" t="s">
        <v>1750</v>
      </c>
      <c r="G17" s="733" t="s">
        <v>104</v>
      </c>
      <c r="H17" s="733" t="s">
        <v>11</v>
      </c>
      <c r="I17" s="733" t="s">
        <v>41</v>
      </c>
      <c r="J17" s="733" t="s">
        <v>105</v>
      </c>
      <c r="K17" s="733" t="s">
        <v>9</v>
      </c>
      <c r="L17" s="10" t="str">
        <f t="shared" si="0"/>
        <v>1-19-07</v>
      </c>
      <c r="M17" s="10"/>
      <c r="N17" s="10"/>
      <c r="O17" s="10"/>
      <c r="P17" s="733" t="s">
        <v>1307</v>
      </c>
      <c r="Q17" s="733" t="s">
        <v>1984</v>
      </c>
      <c r="R17" s="733" t="s">
        <v>2587</v>
      </c>
      <c r="S17" s="733">
        <v>27360459</v>
      </c>
      <c r="T17" s="733"/>
      <c r="U17" s="733" t="s">
        <v>2501</v>
      </c>
      <c r="V17" s="733" t="s">
        <v>1376</v>
      </c>
      <c r="W17" s="691"/>
      <c r="X17" s="734"/>
      <c r="Y17" s="9"/>
      <c r="Z17" s="734"/>
      <c r="AA17" s="734" t="s">
        <v>1824</v>
      </c>
    </row>
    <row r="18" spans="1:27" ht="15.75">
      <c r="A18" s="733" t="s">
        <v>1063</v>
      </c>
      <c r="B18" s="733" t="s">
        <v>932</v>
      </c>
      <c r="D18" s="733" t="s">
        <v>934</v>
      </c>
      <c r="E18" s="733" t="s">
        <v>1066</v>
      </c>
      <c r="F18" s="733" t="s">
        <v>1196</v>
      </c>
      <c r="G18" s="733" t="s">
        <v>84</v>
      </c>
      <c r="H18" s="733" t="s">
        <v>5</v>
      </c>
      <c r="I18" s="733" t="s">
        <v>41</v>
      </c>
      <c r="J18" s="733" t="s">
        <v>141</v>
      </c>
      <c r="K18" s="733" t="s">
        <v>3</v>
      </c>
      <c r="L18" s="10" t="str">
        <f t="shared" si="0"/>
        <v>1-20-01</v>
      </c>
      <c r="M18" s="10"/>
      <c r="N18" s="10"/>
      <c r="O18" s="10"/>
      <c r="P18" s="733" t="s">
        <v>103</v>
      </c>
      <c r="Q18" s="733" t="s">
        <v>1984</v>
      </c>
      <c r="R18" s="733" t="s">
        <v>2502</v>
      </c>
      <c r="S18" s="733">
        <v>25466432</v>
      </c>
      <c r="T18" s="733">
        <v>25466432</v>
      </c>
      <c r="U18" s="733" t="s">
        <v>1683</v>
      </c>
      <c r="V18" s="733" t="s">
        <v>1758</v>
      </c>
      <c r="W18" s="691"/>
      <c r="X18" s="734"/>
      <c r="Y18" s="9"/>
      <c r="Z18" s="734"/>
      <c r="AA18" s="734" t="s">
        <v>1825</v>
      </c>
    </row>
    <row r="19" spans="1:27" ht="15.75">
      <c r="A19" s="733" t="s">
        <v>1064</v>
      </c>
      <c r="B19" s="733" t="s">
        <v>933</v>
      </c>
      <c r="D19" s="733" t="s">
        <v>935</v>
      </c>
      <c r="E19" s="733" t="s">
        <v>1067</v>
      </c>
      <c r="F19" s="733" t="s">
        <v>1197</v>
      </c>
      <c r="G19" s="733" t="s">
        <v>49</v>
      </c>
      <c r="H19" s="733" t="s">
        <v>3</v>
      </c>
      <c r="I19" s="733" t="s">
        <v>42</v>
      </c>
      <c r="J19" s="733" t="s">
        <v>3</v>
      </c>
      <c r="K19" s="733" t="s">
        <v>3</v>
      </c>
      <c r="L19" s="10" t="str">
        <f t="shared" si="0"/>
        <v>2-01-01</v>
      </c>
      <c r="M19" s="10"/>
      <c r="N19" s="10"/>
      <c r="O19" s="10"/>
      <c r="P19" s="733" t="s">
        <v>117</v>
      </c>
      <c r="Q19" s="733" t="s">
        <v>1984</v>
      </c>
      <c r="R19" s="733" t="s">
        <v>1986</v>
      </c>
      <c r="S19" s="733">
        <v>24439109</v>
      </c>
      <c r="T19" s="733">
        <v>24439109</v>
      </c>
      <c r="U19" s="733" t="s">
        <v>1377</v>
      </c>
      <c r="V19" s="733" t="s">
        <v>1378</v>
      </c>
      <c r="W19" s="691"/>
      <c r="X19" s="734"/>
      <c r="Y19" s="9"/>
      <c r="Z19" s="734"/>
      <c r="AA19" s="734"/>
    </row>
    <row r="20" spans="1:27" ht="15.75">
      <c r="A20" s="733" t="s">
        <v>1065</v>
      </c>
      <c r="B20" s="733" t="s">
        <v>286</v>
      </c>
      <c r="D20" s="733" t="s">
        <v>936</v>
      </c>
      <c r="E20" s="733" t="s">
        <v>1068</v>
      </c>
      <c r="F20" s="733" t="s">
        <v>1198</v>
      </c>
      <c r="G20" s="733" t="s">
        <v>48</v>
      </c>
      <c r="H20" s="733" t="s">
        <v>5</v>
      </c>
      <c r="I20" s="733" t="s">
        <v>42</v>
      </c>
      <c r="J20" s="733" t="s">
        <v>4</v>
      </c>
      <c r="K20" s="733" t="s">
        <v>7</v>
      </c>
      <c r="L20" s="10" t="str">
        <f t="shared" si="0"/>
        <v>2-02-05</v>
      </c>
      <c r="M20" s="10"/>
      <c r="N20" s="10"/>
      <c r="O20" s="10"/>
      <c r="P20" s="733" t="s">
        <v>129</v>
      </c>
      <c r="Q20" s="733" t="s">
        <v>1984</v>
      </c>
      <c r="R20" s="733" t="s">
        <v>1379</v>
      </c>
      <c r="S20" s="733">
        <v>24478348</v>
      </c>
      <c r="T20" s="733">
        <v>24478195</v>
      </c>
      <c r="U20" s="733" t="s">
        <v>1380</v>
      </c>
      <c r="V20" s="733" t="s">
        <v>1381</v>
      </c>
      <c r="W20" s="691"/>
      <c r="X20" s="734" t="s">
        <v>1382</v>
      </c>
      <c r="Y20" s="9"/>
      <c r="Z20" s="734"/>
      <c r="AA20" s="734"/>
    </row>
    <row r="21" spans="1:27" ht="15.75">
      <c r="A21" s="733" t="s">
        <v>1062</v>
      </c>
      <c r="B21" s="733" t="s">
        <v>931</v>
      </c>
      <c r="D21" s="733" t="s">
        <v>937</v>
      </c>
      <c r="E21" s="733" t="s">
        <v>1069</v>
      </c>
      <c r="F21" s="733" t="s">
        <v>1199</v>
      </c>
      <c r="G21" s="733" t="s">
        <v>49</v>
      </c>
      <c r="H21" s="733" t="s">
        <v>12</v>
      </c>
      <c r="I21" s="733" t="s">
        <v>42</v>
      </c>
      <c r="J21" s="733" t="s">
        <v>6</v>
      </c>
      <c r="K21" s="733" t="s">
        <v>3</v>
      </c>
      <c r="L21" s="10" t="str">
        <f t="shared" si="0"/>
        <v>2-04-01</v>
      </c>
      <c r="M21" s="10"/>
      <c r="N21" s="10"/>
      <c r="O21" s="10"/>
      <c r="P21" s="733" t="s">
        <v>122</v>
      </c>
      <c r="Q21" s="733" t="s">
        <v>1984</v>
      </c>
      <c r="R21" s="733" t="s">
        <v>1383</v>
      </c>
      <c r="S21" s="733">
        <v>24284911</v>
      </c>
      <c r="T21" s="733"/>
      <c r="U21" s="733" t="s">
        <v>1684</v>
      </c>
      <c r="V21" s="733" t="s">
        <v>1384</v>
      </c>
      <c r="W21" s="691"/>
      <c r="X21" s="734"/>
      <c r="Y21" s="9"/>
      <c r="Z21" s="734"/>
      <c r="AA21" s="734" t="s">
        <v>1826</v>
      </c>
    </row>
    <row r="22" spans="1:27" ht="15.75">
      <c r="A22" s="733" t="s">
        <v>1107</v>
      </c>
      <c r="B22" s="733" t="s">
        <v>975</v>
      </c>
      <c r="D22" s="733" t="s">
        <v>938</v>
      </c>
      <c r="E22" s="733" t="s">
        <v>1070</v>
      </c>
      <c r="F22" s="733" t="s">
        <v>1200</v>
      </c>
      <c r="G22" s="733" t="s">
        <v>49</v>
      </c>
      <c r="H22" s="733" t="s">
        <v>12</v>
      </c>
      <c r="I22" s="733" t="s">
        <v>42</v>
      </c>
      <c r="J22" s="733" t="s">
        <v>12</v>
      </c>
      <c r="K22" s="733" t="s">
        <v>3</v>
      </c>
      <c r="L22" s="10" t="str">
        <f t="shared" si="0"/>
        <v>2-09-01</v>
      </c>
      <c r="M22" s="10"/>
      <c r="N22" s="10"/>
      <c r="O22" s="10"/>
      <c r="P22" s="733" t="s">
        <v>812</v>
      </c>
      <c r="Q22" s="733" t="s">
        <v>1984</v>
      </c>
      <c r="R22" s="733" t="s">
        <v>2503</v>
      </c>
      <c r="S22" s="733">
        <v>24288263</v>
      </c>
      <c r="T22" s="733">
        <v>24288263</v>
      </c>
      <c r="U22" s="733" t="s">
        <v>1385</v>
      </c>
      <c r="V22" s="733" t="s">
        <v>1386</v>
      </c>
      <c r="W22" s="691"/>
      <c r="X22" s="734" t="s">
        <v>983</v>
      </c>
      <c r="Y22" s="9"/>
      <c r="Z22" s="734"/>
      <c r="AA22" s="734"/>
    </row>
    <row r="23" spans="1:27" ht="15.75">
      <c r="A23" s="733" t="s">
        <v>1067</v>
      </c>
      <c r="B23" s="733" t="s">
        <v>935</v>
      </c>
      <c r="D23" s="733" t="s">
        <v>939</v>
      </c>
      <c r="E23" s="733" t="s">
        <v>1071</v>
      </c>
      <c r="F23" s="733" t="s">
        <v>1201</v>
      </c>
      <c r="G23" s="733" t="s">
        <v>65</v>
      </c>
      <c r="H23" s="733" t="s">
        <v>5</v>
      </c>
      <c r="I23" s="733" t="s">
        <v>42</v>
      </c>
      <c r="J23" s="733" t="s">
        <v>13</v>
      </c>
      <c r="K23" s="733" t="s">
        <v>3</v>
      </c>
      <c r="L23" s="10" t="str">
        <f t="shared" si="0"/>
        <v>2-10-01</v>
      </c>
      <c r="M23" s="10"/>
      <c r="N23" s="10"/>
      <c r="O23" s="10"/>
      <c r="P23" s="733" t="s">
        <v>76</v>
      </c>
      <c r="Q23" s="733" t="s">
        <v>1984</v>
      </c>
      <c r="R23" s="733" t="s">
        <v>2564</v>
      </c>
      <c r="S23" s="733">
        <v>24600958</v>
      </c>
      <c r="T23" s="733">
        <v>24600958</v>
      </c>
      <c r="U23" s="733" t="s">
        <v>1685</v>
      </c>
      <c r="V23" s="733" t="s">
        <v>1387</v>
      </c>
      <c r="W23" s="691"/>
      <c r="X23" s="734"/>
      <c r="Y23" s="9"/>
      <c r="Z23" s="734"/>
      <c r="AA23" s="734" t="s">
        <v>1827</v>
      </c>
    </row>
    <row r="24" spans="1:27" ht="15.75">
      <c r="A24" s="733" t="s">
        <v>1070</v>
      </c>
      <c r="B24" s="733" t="s">
        <v>938</v>
      </c>
      <c r="D24" s="733" t="s">
        <v>904</v>
      </c>
      <c r="E24" s="8" t="s">
        <v>1774</v>
      </c>
      <c r="F24" s="733" t="s">
        <v>905</v>
      </c>
      <c r="G24" s="733" t="s">
        <v>65</v>
      </c>
      <c r="H24" s="733" t="s">
        <v>4</v>
      </c>
      <c r="I24" s="733" t="s">
        <v>42</v>
      </c>
      <c r="J24" s="733" t="s">
        <v>13</v>
      </c>
      <c r="K24" s="733" t="s">
        <v>4</v>
      </c>
      <c r="L24" s="10" t="str">
        <f t="shared" si="0"/>
        <v>2-10-02</v>
      </c>
      <c r="M24" s="10"/>
      <c r="N24" s="10"/>
      <c r="O24" s="10"/>
      <c r="P24" s="733" t="s">
        <v>130</v>
      </c>
      <c r="Q24" s="733" t="s">
        <v>272</v>
      </c>
      <c r="R24" s="733" t="s">
        <v>2556</v>
      </c>
      <c r="S24" s="733">
        <v>24756622</v>
      </c>
      <c r="T24" s="733"/>
      <c r="U24" s="733" t="s">
        <v>2557</v>
      </c>
      <c r="V24" s="733" t="s">
        <v>1686</v>
      </c>
      <c r="W24" s="691"/>
      <c r="X24" s="734"/>
      <c r="Y24" s="9"/>
      <c r="Z24" s="734"/>
      <c r="AA24" s="734"/>
    </row>
    <row r="25" spans="1:27" ht="15.75">
      <c r="A25" s="733" t="s">
        <v>1069</v>
      </c>
      <c r="B25" s="733" t="s">
        <v>937</v>
      </c>
      <c r="D25" s="733" t="s">
        <v>940</v>
      </c>
      <c r="E25" s="733" t="s">
        <v>1072</v>
      </c>
      <c r="F25" s="733" t="s">
        <v>1202</v>
      </c>
      <c r="G25" s="733" t="s">
        <v>65</v>
      </c>
      <c r="H25" s="733" t="s">
        <v>6</v>
      </c>
      <c r="I25" s="733" t="s">
        <v>42</v>
      </c>
      <c r="J25" s="733" t="s">
        <v>13</v>
      </c>
      <c r="K25" s="733" t="s">
        <v>6</v>
      </c>
      <c r="L25" s="10" t="str">
        <f t="shared" si="0"/>
        <v>2-10-04</v>
      </c>
      <c r="M25" s="10"/>
      <c r="N25" s="10"/>
      <c r="O25" s="10"/>
      <c r="P25" s="733" t="s">
        <v>131</v>
      </c>
      <c r="Q25" s="733" t="s">
        <v>1984</v>
      </c>
      <c r="R25" s="733" t="s">
        <v>2568</v>
      </c>
      <c r="S25" s="733">
        <v>24744189</v>
      </c>
      <c r="T25" s="733">
        <v>24744189</v>
      </c>
      <c r="U25" s="733" t="s">
        <v>1388</v>
      </c>
      <c r="V25" s="733" t="s">
        <v>2569</v>
      </c>
      <c r="W25" s="691"/>
      <c r="X25" s="734" t="s">
        <v>125</v>
      </c>
      <c r="Y25" s="9"/>
      <c r="Z25" s="734"/>
      <c r="AA25" s="734" t="s">
        <v>1828</v>
      </c>
    </row>
    <row r="26" spans="1:27" ht="15.75">
      <c r="A26" s="733" t="s">
        <v>1068</v>
      </c>
      <c r="B26" s="733" t="s">
        <v>936</v>
      </c>
      <c r="D26" s="733" t="s">
        <v>941</v>
      </c>
      <c r="E26" s="733" t="s">
        <v>1073</v>
      </c>
      <c r="F26" s="733" t="s">
        <v>1203</v>
      </c>
      <c r="G26" s="733" t="s">
        <v>65</v>
      </c>
      <c r="H26" s="733" t="s">
        <v>3</v>
      </c>
      <c r="I26" s="733" t="s">
        <v>42</v>
      </c>
      <c r="J26" s="733" t="s">
        <v>13</v>
      </c>
      <c r="K26" s="733" t="s">
        <v>7</v>
      </c>
      <c r="L26" s="10" t="str">
        <f t="shared" si="0"/>
        <v>2-10-05</v>
      </c>
      <c r="M26" s="10"/>
      <c r="N26" s="10"/>
      <c r="O26" s="10"/>
      <c r="P26" s="733" t="s">
        <v>101</v>
      </c>
      <c r="Q26" s="733" t="s">
        <v>1984</v>
      </c>
      <c r="R26" s="733" t="s">
        <v>1389</v>
      </c>
      <c r="S26" s="733">
        <v>24722059</v>
      </c>
      <c r="T26" s="733">
        <v>24722059</v>
      </c>
      <c r="U26" s="733" t="s">
        <v>1390</v>
      </c>
      <c r="V26" s="733" t="s">
        <v>1391</v>
      </c>
      <c r="W26" s="691"/>
      <c r="X26" s="734" t="s">
        <v>1392</v>
      </c>
      <c r="Y26" s="9"/>
      <c r="Z26" s="734"/>
      <c r="AA26" s="734"/>
    </row>
    <row r="27" spans="1:27" ht="15.75">
      <c r="A27" s="733" t="s">
        <v>1077</v>
      </c>
      <c r="B27" s="733" t="s">
        <v>945</v>
      </c>
      <c r="D27" s="733" t="s">
        <v>942</v>
      </c>
      <c r="E27" s="733" t="s">
        <v>1074</v>
      </c>
      <c r="F27" s="733" t="s">
        <v>1204</v>
      </c>
      <c r="G27" s="733" t="s">
        <v>65</v>
      </c>
      <c r="H27" s="733" t="s">
        <v>7</v>
      </c>
      <c r="I27" s="733" t="s">
        <v>42</v>
      </c>
      <c r="J27" s="733" t="s">
        <v>13</v>
      </c>
      <c r="K27" s="733" t="s">
        <v>8</v>
      </c>
      <c r="L27" s="10" t="str">
        <f t="shared" si="0"/>
        <v>2-10-06</v>
      </c>
      <c r="M27" s="10"/>
      <c r="N27" s="10"/>
      <c r="O27" s="10"/>
      <c r="P27" s="733" t="s">
        <v>132</v>
      </c>
      <c r="Q27" s="733" t="s">
        <v>1984</v>
      </c>
      <c r="R27" s="733" t="s">
        <v>2585</v>
      </c>
      <c r="S27" s="733">
        <v>24733037</v>
      </c>
      <c r="T27" s="733"/>
      <c r="U27" s="733" t="s">
        <v>1687</v>
      </c>
      <c r="V27" s="733" t="s">
        <v>2586</v>
      </c>
      <c r="W27" s="691"/>
      <c r="X27" s="734" t="s">
        <v>1733</v>
      </c>
      <c r="Y27" s="9"/>
      <c r="Z27" s="734"/>
      <c r="AA27" s="734" t="s">
        <v>1829</v>
      </c>
    </row>
    <row r="28" spans="1:27" ht="15.75">
      <c r="A28" s="733" t="s">
        <v>1072</v>
      </c>
      <c r="B28" s="733" t="s">
        <v>940</v>
      </c>
      <c r="D28" s="733" t="s">
        <v>943</v>
      </c>
      <c r="E28" s="733" t="s">
        <v>1075</v>
      </c>
      <c r="F28" s="733" t="s">
        <v>1205</v>
      </c>
      <c r="G28" s="733" t="s">
        <v>65</v>
      </c>
      <c r="H28" s="733" t="s">
        <v>8</v>
      </c>
      <c r="I28" s="733" t="s">
        <v>42</v>
      </c>
      <c r="J28" s="733" t="s">
        <v>13</v>
      </c>
      <c r="K28" s="733" t="s">
        <v>9</v>
      </c>
      <c r="L28" s="10" t="str">
        <f t="shared" si="0"/>
        <v>2-10-07</v>
      </c>
      <c r="M28" s="10"/>
      <c r="N28" s="10"/>
      <c r="O28" s="10"/>
      <c r="P28" s="733" t="s">
        <v>1308</v>
      </c>
      <c r="Q28" s="733" t="s">
        <v>1984</v>
      </c>
      <c r="R28" s="733" t="s">
        <v>1759</v>
      </c>
      <c r="S28" s="733">
        <v>24799037</v>
      </c>
      <c r="T28" s="733">
        <v>24799037</v>
      </c>
      <c r="U28" s="733" t="s">
        <v>1393</v>
      </c>
      <c r="V28" s="733" t="s">
        <v>1394</v>
      </c>
      <c r="W28" s="691"/>
      <c r="X28" s="734" t="s">
        <v>1395</v>
      </c>
      <c r="Y28" s="9"/>
      <c r="Z28" s="734"/>
      <c r="AA28" s="734" t="s">
        <v>1830</v>
      </c>
    </row>
    <row r="29" spans="1:27" ht="15.75">
      <c r="A29" s="733" t="s">
        <v>1079</v>
      </c>
      <c r="B29" s="733" t="s">
        <v>947</v>
      </c>
      <c r="D29" s="733" t="s">
        <v>944</v>
      </c>
      <c r="E29" s="733" t="s">
        <v>1076</v>
      </c>
      <c r="F29" s="733" t="s">
        <v>1206</v>
      </c>
      <c r="G29" s="733" t="s">
        <v>65</v>
      </c>
      <c r="H29" s="733" t="s">
        <v>11</v>
      </c>
      <c r="I29" s="733" t="s">
        <v>42</v>
      </c>
      <c r="J29" s="733" t="s">
        <v>13</v>
      </c>
      <c r="K29" s="733" t="s">
        <v>18</v>
      </c>
      <c r="L29" s="10" t="str">
        <f t="shared" si="0"/>
        <v>2-10-13</v>
      </c>
      <c r="M29" s="10"/>
      <c r="N29" s="10"/>
      <c r="O29" s="10"/>
      <c r="P29" s="733" t="s">
        <v>107</v>
      </c>
      <c r="Q29" s="733" t="s">
        <v>1984</v>
      </c>
      <c r="R29" s="733" t="s">
        <v>1396</v>
      </c>
      <c r="S29" s="733">
        <v>24777012</v>
      </c>
      <c r="T29" s="733">
        <v>24777021</v>
      </c>
      <c r="U29" s="733" t="s">
        <v>1397</v>
      </c>
      <c r="V29" s="733" t="s">
        <v>1398</v>
      </c>
      <c r="W29" s="691"/>
      <c r="X29" s="734" t="s">
        <v>1399</v>
      </c>
      <c r="Y29" s="9"/>
      <c r="Z29" s="734"/>
      <c r="AA29" s="734" t="s">
        <v>1831</v>
      </c>
    </row>
    <row r="30" spans="1:27" ht="15.75">
      <c r="A30" s="733" t="s">
        <v>1073</v>
      </c>
      <c r="B30" s="733" t="s">
        <v>941</v>
      </c>
      <c r="D30" s="733" t="s">
        <v>945</v>
      </c>
      <c r="E30" s="733" t="s">
        <v>1077</v>
      </c>
      <c r="F30" s="733" t="s">
        <v>1207</v>
      </c>
      <c r="G30" s="733" t="s">
        <v>48</v>
      </c>
      <c r="H30" s="733" t="s">
        <v>6</v>
      </c>
      <c r="I30" s="733" t="s">
        <v>42</v>
      </c>
      <c r="J30" s="733" t="s">
        <v>17</v>
      </c>
      <c r="K30" s="733" t="s">
        <v>3</v>
      </c>
      <c r="L30" s="10" t="str">
        <f t="shared" si="0"/>
        <v>2-12-01</v>
      </c>
      <c r="M30" s="10"/>
      <c r="N30" s="10"/>
      <c r="O30" s="10"/>
      <c r="P30" s="733" t="s">
        <v>1309</v>
      </c>
      <c r="Q30" s="733" t="s">
        <v>1984</v>
      </c>
      <c r="R30" s="733" t="s">
        <v>2504</v>
      </c>
      <c r="S30" s="733">
        <v>24544012</v>
      </c>
      <c r="T30" s="733">
        <v>24541675</v>
      </c>
      <c r="U30" s="733" t="s">
        <v>1400</v>
      </c>
      <c r="V30" s="733" t="s">
        <v>1688</v>
      </c>
      <c r="W30" s="691"/>
      <c r="X30" s="734" t="s">
        <v>1401</v>
      </c>
      <c r="Y30" s="9"/>
      <c r="Z30" s="734"/>
      <c r="AA30" s="734"/>
    </row>
    <row r="31" spans="1:27" ht="15.75">
      <c r="A31" s="733" t="s">
        <v>1075</v>
      </c>
      <c r="B31" s="733" t="s">
        <v>943</v>
      </c>
      <c r="D31" s="733" t="s">
        <v>946</v>
      </c>
      <c r="E31" s="733" t="s">
        <v>1078</v>
      </c>
      <c r="F31" s="733" t="s">
        <v>1208</v>
      </c>
      <c r="G31" s="733" t="s">
        <v>2555</v>
      </c>
      <c r="H31" s="733" t="s">
        <v>3</v>
      </c>
      <c r="I31" s="733" t="s">
        <v>42</v>
      </c>
      <c r="J31" s="733" t="s">
        <v>18</v>
      </c>
      <c r="K31" s="733" t="s">
        <v>3</v>
      </c>
      <c r="L31" s="10" t="str">
        <f t="shared" si="0"/>
        <v>2-13-01</v>
      </c>
      <c r="M31" s="10"/>
      <c r="N31" s="10"/>
      <c r="O31" s="10"/>
      <c r="P31" s="733" t="s">
        <v>60</v>
      </c>
      <c r="Q31" s="733" t="s">
        <v>1984</v>
      </c>
      <c r="R31" s="733" t="s">
        <v>2505</v>
      </c>
      <c r="S31" s="733">
        <v>24700081</v>
      </c>
      <c r="T31" s="733">
        <v>24700081</v>
      </c>
      <c r="U31" s="733" t="s">
        <v>2558</v>
      </c>
      <c r="V31" s="733" t="s">
        <v>1402</v>
      </c>
      <c r="W31" s="691"/>
      <c r="X31" s="734" t="s">
        <v>1403</v>
      </c>
      <c r="Y31" s="9"/>
      <c r="Z31" s="734"/>
      <c r="AA31" s="734" t="s">
        <v>1832</v>
      </c>
    </row>
    <row r="32" spans="1:27" ht="15.75">
      <c r="A32" s="733" t="s">
        <v>1074</v>
      </c>
      <c r="B32" s="733" t="s">
        <v>942</v>
      </c>
      <c r="D32" s="733" t="s">
        <v>947</v>
      </c>
      <c r="E32" s="733" t="s">
        <v>1079</v>
      </c>
      <c r="F32" s="733" t="s">
        <v>1209</v>
      </c>
      <c r="G32" s="733" t="s">
        <v>65</v>
      </c>
      <c r="H32" s="733" t="s">
        <v>12</v>
      </c>
      <c r="I32" s="733" t="s">
        <v>42</v>
      </c>
      <c r="J32" s="733" t="s">
        <v>66</v>
      </c>
      <c r="K32" s="733" t="s">
        <v>3</v>
      </c>
      <c r="L32" s="10" t="str">
        <f t="shared" si="0"/>
        <v>2-14-01</v>
      </c>
      <c r="M32" s="10"/>
      <c r="N32" s="10"/>
      <c r="O32" s="10"/>
      <c r="P32" s="733" t="s">
        <v>67</v>
      </c>
      <c r="Q32" s="733" t="s">
        <v>1984</v>
      </c>
      <c r="R32" s="733" t="s">
        <v>1932</v>
      </c>
      <c r="S32" s="733">
        <v>24711110</v>
      </c>
      <c r="T32" s="733">
        <v>24711110</v>
      </c>
      <c r="U32" s="733" t="s">
        <v>1911</v>
      </c>
      <c r="V32" s="733" t="s">
        <v>1405</v>
      </c>
      <c r="W32" s="691"/>
      <c r="X32" s="734" t="s">
        <v>1406</v>
      </c>
      <c r="Y32" s="9"/>
      <c r="Z32" s="734"/>
      <c r="AA32" s="734" t="s">
        <v>1833</v>
      </c>
    </row>
    <row r="33" spans="1:27" ht="15.75">
      <c r="A33" s="733" t="s">
        <v>1080</v>
      </c>
      <c r="B33" s="733" t="s">
        <v>948</v>
      </c>
      <c r="D33" s="733" t="s">
        <v>948</v>
      </c>
      <c r="E33" s="733" t="s">
        <v>1080</v>
      </c>
      <c r="F33" s="733" t="s">
        <v>1210</v>
      </c>
      <c r="G33" s="733" t="s">
        <v>2555</v>
      </c>
      <c r="H33" s="733" t="s">
        <v>7</v>
      </c>
      <c r="I33" s="733" t="s">
        <v>42</v>
      </c>
      <c r="J33" s="733" t="s">
        <v>61</v>
      </c>
      <c r="K33" s="733" t="s">
        <v>3</v>
      </c>
      <c r="L33" s="10" t="str">
        <f t="shared" si="0"/>
        <v>2-15-01</v>
      </c>
      <c r="M33" s="10"/>
      <c r="N33" s="10"/>
      <c r="O33" s="10"/>
      <c r="P33" s="733" t="s">
        <v>58</v>
      </c>
      <c r="Q33" s="733" t="s">
        <v>1984</v>
      </c>
      <c r="R33" s="733" t="s">
        <v>1407</v>
      </c>
      <c r="S33" s="733">
        <v>24640181</v>
      </c>
      <c r="T33" s="733">
        <v>24640181</v>
      </c>
      <c r="U33" s="733" t="s">
        <v>1689</v>
      </c>
      <c r="V33" s="733" t="s">
        <v>1408</v>
      </c>
      <c r="W33" s="691"/>
      <c r="X33" s="734" t="s">
        <v>1409</v>
      </c>
      <c r="Y33" s="9"/>
      <c r="Z33" s="734"/>
      <c r="AA33" s="734" t="s">
        <v>1834</v>
      </c>
    </row>
    <row r="34" spans="1:27" ht="15.75">
      <c r="A34" s="733" t="s">
        <v>1076</v>
      </c>
      <c r="B34" s="733" t="s">
        <v>944</v>
      </c>
      <c r="D34" s="733" t="s">
        <v>949</v>
      </c>
      <c r="E34" s="733" t="s">
        <v>1081</v>
      </c>
      <c r="F34" s="733" t="s">
        <v>1211</v>
      </c>
      <c r="G34" s="733" t="s">
        <v>70</v>
      </c>
      <c r="H34" s="733" t="s">
        <v>4</v>
      </c>
      <c r="I34" s="733" t="s">
        <v>45</v>
      </c>
      <c r="J34" s="733" t="s">
        <v>3</v>
      </c>
      <c r="K34" s="733" t="s">
        <v>6</v>
      </c>
      <c r="L34" s="10" t="str">
        <f t="shared" si="0"/>
        <v>3-01-04</v>
      </c>
      <c r="M34" s="10"/>
      <c r="N34" s="10"/>
      <c r="O34" s="10"/>
      <c r="P34" s="733" t="s">
        <v>1310</v>
      </c>
      <c r="Q34" s="733" t="s">
        <v>893</v>
      </c>
      <c r="R34" s="733" t="s">
        <v>1690</v>
      </c>
      <c r="S34" s="733">
        <v>25370505</v>
      </c>
      <c r="T34" s="733">
        <v>25372223</v>
      </c>
      <c r="U34" s="733" t="s">
        <v>1691</v>
      </c>
      <c r="V34" s="733" t="s">
        <v>1410</v>
      </c>
      <c r="W34" s="691"/>
      <c r="X34" s="734"/>
      <c r="Y34" s="9"/>
      <c r="Z34" s="734"/>
      <c r="AA34" s="734"/>
    </row>
    <row r="35" spans="1:27" ht="15.75">
      <c r="A35" s="733" t="s">
        <v>1071</v>
      </c>
      <c r="B35" s="733" t="s">
        <v>939</v>
      </c>
      <c r="D35" s="733" t="s">
        <v>950</v>
      </c>
      <c r="E35" s="733" t="s">
        <v>1082</v>
      </c>
      <c r="F35" s="733" t="s">
        <v>1212</v>
      </c>
      <c r="G35" s="733" t="s">
        <v>43</v>
      </c>
      <c r="H35" s="733" t="s">
        <v>6</v>
      </c>
      <c r="I35" s="733" t="s">
        <v>45</v>
      </c>
      <c r="J35" s="733" t="s">
        <v>3</v>
      </c>
      <c r="K35" s="733" t="s">
        <v>9</v>
      </c>
      <c r="L35" s="10" t="str">
        <f t="shared" ref="L35:L66" si="1">CONCATENATE(I35,"-",J35,"-",K35)</f>
        <v>3-01-07</v>
      </c>
      <c r="M35" s="10"/>
      <c r="N35" s="10"/>
      <c r="O35" s="10"/>
      <c r="P35" s="733" t="s">
        <v>1311</v>
      </c>
      <c r="Q35" s="733" t="s">
        <v>1984</v>
      </c>
      <c r="R35" s="733" t="s">
        <v>1912</v>
      </c>
      <c r="S35" s="733">
        <v>25480733</v>
      </c>
      <c r="T35" s="733">
        <v>25489813</v>
      </c>
      <c r="U35" s="733" t="s">
        <v>1411</v>
      </c>
      <c r="V35" s="733" t="s">
        <v>1987</v>
      </c>
      <c r="W35" s="691"/>
      <c r="X35" s="734"/>
      <c r="Y35" s="9"/>
      <c r="Z35" s="734"/>
      <c r="AA35" s="734" t="s">
        <v>1835</v>
      </c>
    </row>
    <row r="36" spans="1:27" ht="15.75">
      <c r="A36" s="733" t="s">
        <v>1081</v>
      </c>
      <c r="B36" s="733" t="s">
        <v>949</v>
      </c>
      <c r="D36" s="733" t="s">
        <v>951</v>
      </c>
      <c r="E36" s="733" t="s">
        <v>1083</v>
      </c>
      <c r="F36" s="733" t="s">
        <v>1213</v>
      </c>
      <c r="G36" s="733" t="s">
        <v>70</v>
      </c>
      <c r="H36" s="733" t="s">
        <v>8</v>
      </c>
      <c r="I36" s="733" t="s">
        <v>45</v>
      </c>
      <c r="J36" s="733" t="s">
        <v>5</v>
      </c>
      <c r="K36" s="733" t="s">
        <v>4</v>
      </c>
      <c r="L36" s="10" t="str">
        <f t="shared" si="1"/>
        <v>3-03-02</v>
      </c>
      <c r="M36" s="10"/>
      <c r="N36" s="10"/>
      <c r="O36" s="10"/>
      <c r="P36" s="733" t="s">
        <v>134</v>
      </c>
      <c r="Q36" s="733" t="s">
        <v>1984</v>
      </c>
      <c r="R36" s="733" t="s">
        <v>1692</v>
      </c>
      <c r="S36" s="733">
        <v>22795239</v>
      </c>
      <c r="T36" s="733">
        <v>22795206</v>
      </c>
      <c r="U36" s="733" t="s">
        <v>1693</v>
      </c>
      <c r="V36" s="733" t="s">
        <v>1412</v>
      </c>
      <c r="W36" s="691"/>
      <c r="X36" s="734" t="s">
        <v>106</v>
      </c>
      <c r="Y36" s="9"/>
      <c r="Z36" s="734"/>
      <c r="AA36" s="734" t="s">
        <v>1836</v>
      </c>
    </row>
    <row r="37" spans="1:27" ht="15.75">
      <c r="A37" s="733" t="s">
        <v>1085</v>
      </c>
      <c r="B37" s="733" t="s">
        <v>953</v>
      </c>
      <c r="D37" s="733" t="s">
        <v>952</v>
      </c>
      <c r="E37" s="733" t="s">
        <v>1084</v>
      </c>
      <c r="F37" s="733" t="s">
        <v>1214</v>
      </c>
      <c r="G37" s="733" t="s">
        <v>148</v>
      </c>
      <c r="H37" s="733" t="s">
        <v>5</v>
      </c>
      <c r="I37" s="733" t="s">
        <v>45</v>
      </c>
      <c r="J37" s="733" t="s">
        <v>7</v>
      </c>
      <c r="K37" s="733" t="s">
        <v>4</v>
      </c>
      <c r="L37" s="10" t="str">
        <f t="shared" si="1"/>
        <v>3-05-02</v>
      </c>
      <c r="M37" s="10"/>
      <c r="N37" s="10"/>
      <c r="O37" s="10"/>
      <c r="P37" s="733" t="s">
        <v>113</v>
      </c>
      <c r="Q37" s="733" t="s">
        <v>1984</v>
      </c>
      <c r="R37" s="733" t="s">
        <v>1413</v>
      </c>
      <c r="S37" s="733">
        <v>25311001</v>
      </c>
      <c r="T37" s="733">
        <v>25311067</v>
      </c>
      <c r="U37" s="733" t="s">
        <v>1988</v>
      </c>
      <c r="V37" s="733" t="s">
        <v>1414</v>
      </c>
      <c r="W37" s="691"/>
      <c r="X37" s="734" t="s">
        <v>810</v>
      </c>
      <c r="Y37" s="9"/>
      <c r="Z37" s="734"/>
      <c r="AA37" s="734" t="s">
        <v>1837</v>
      </c>
    </row>
    <row r="38" spans="1:27" ht="15.75">
      <c r="A38" s="733" t="s">
        <v>1061</v>
      </c>
      <c r="B38" s="733" t="s">
        <v>930</v>
      </c>
      <c r="D38" s="733" t="s">
        <v>953</v>
      </c>
      <c r="E38" s="733" t="s">
        <v>1085</v>
      </c>
      <c r="F38" s="733" t="s">
        <v>1215</v>
      </c>
      <c r="G38" s="733" t="s">
        <v>70</v>
      </c>
      <c r="H38" s="733" t="s">
        <v>6</v>
      </c>
      <c r="I38" s="733" t="s">
        <v>45</v>
      </c>
      <c r="J38" s="733" t="s">
        <v>8</v>
      </c>
      <c r="K38" s="733" t="s">
        <v>3</v>
      </c>
      <c r="L38" s="10" t="str">
        <f t="shared" si="1"/>
        <v>3-06-01</v>
      </c>
      <c r="M38" s="10"/>
      <c r="N38" s="10"/>
      <c r="O38" s="10"/>
      <c r="P38" s="733" t="s">
        <v>146</v>
      </c>
      <c r="Q38" s="733" t="s">
        <v>1984</v>
      </c>
      <c r="R38" s="733" t="s">
        <v>1694</v>
      </c>
      <c r="S38" s="733">
        <v>25344027</v>
      </c>
      <c r="T38" s="733"/>
      <c r="U38" s="733" t="s">
        <v>2506</v>
      </c>
      <c r="V38" s="733" t="s">
        <v>2507</v>
      </c>
      <c r="W38" s="691"/>
      <c r="X38" s="734" t="s">
        <v>1415</v>
      </c>
      <c r="Y38" s="9"/>
      <c r="Z38" s="734"/>
      <c r="AA38" s="734" t="s">
        <v>1838</v>
      </c>
    </row>
    <row r="39" spans="1:27" ht="15.75">
      <c r="A39" s="733" t="s">
        <v>1066</v>
      </c>
      <c r="B39" s="733" t="s">
        <v>934</v>
      </c>
      <c r="D39" s="733" t="s">
        <v>954</v>
      </c>
      <c r="E39" s="733" t="s">
        <v>1086</v>
      </c>
      <c r="F39" s="733" t="s">
        <v>1216</v>
      </c>
      <c r="G39" s="733" t="s">
        <v>64</v>
      </c>
      <c r="H39" s="733" t="s">
        <v>3</v>
      </c>
      <c r="I39" s="733" t="s">
        <v>63</v>
      </c>
      <c r="J39" s="733" t="s">
        <v>3</v>
      </c>
      <c r="K39" s="733" t="s">
        <v>3</v>
      </c>
      <c r="L39" s="10" t="str">
        <f t="shared" si="1"/>
        <v>4-01-01</v>
      </c>
      <c r="M39" s="10"/>
      <c r="N39" s="10"/>
      <c r="O39" s="10"/>
      <c r="P39" s="733" t="s">
        <v>2543</v>
      </c>
      <c r="Q39" s="733" t="s">
        <v>1984</v>
      </c>
      <c r="R39" s="733" t="s">
        <v>1695</v>
      </c>
      <c r="S39" s="733">
        <v>22615289</v>
      </c>
      <c r="T39" s="733">
        <v>22615290</v>
      </c>
      <c r="U39" s="733" t="s">
        <v>1416</v>
      </c>
      <c r="V39" s="733" t="s">
        <v>1417</v>
      </c>
      <c r="W39" s="691"/>
      <c r="X39" s="734"/>
      <c r="Y39" s="9"/>
      <c r="Z39" s="734"/>
      <c r="AA39" s="734" t="s">
        <v>1839</v>
      </c>
    </row>
    <row r="40" spans="1:27" ht="15.75">
      <c r="A40" s="733" t="s">
        <v>1084</v>
      </c>
      <c r="B40" s="733" t="s">
        <v>952</v>
      </c>
      <c r="D40" s="733" t="s">
        <v>955</v>
      </c>
      <c r="E40" s="733" t="s">
        <v>1087</v>
      </c>
      <c r="F40" s="733" t="s">
        <v>1217</v>
      </c>
      <c r="G40" s="733" t="s">
        <v>64</v>
      </c>
      <c r="H40" s="733" t="s">
        <v>9</v>
      </c>
      <c r="I40" s="733" t="s">
        <v>63</v>
      </c>
      <c r="J40" s="733" t="s">
        <v>3</v>
      </c>
      <c r="K40" s="733" t="s">
        <v>6</v>
      </c>
      <c r="L40" s="10" t="str">
        <f t="shared" si="1"/>
        <v>4-01-04</v>
      </c>
      <c r="M40" s="10"/>
      <c r="N40" s="10"/>
      <c r="O40" s="10"/>
      <c r="P40" s="733" t="s">
        <v>149</v>
      </c>
      <c r="Q40" s="733" t="s">
        <v>1984</v>
      </c>
      <c r="R40" s="733" t="s">
        <v>1418</v>
      </c>
      <c r="S40" s="733">
        <v>22938390</v>
      </c>
      <c r="T40" s="733">
        <v>22938390</v>
      </c>
      <c r="U40" s="733" t="s">
        <v>1419</v>
      </c>
      <c r="V40" s="733" t="s">
        <v>1913</v>
      </c>
      <c r="W40" s="691"/>
      <c r="X40" s="734" t="s">
        <v>79</v>
      </c>
      <c r="Y40" s="9"/>
      <c r="Z40" s="734"/>
      <c r="AA40" s="734"/>
    </row>
    <row r="41" spans="1:27" ht="15.75">
      <c r="A41" s="733" t="s">
        <v>1127</v>
      </c>
      <c r="B41" s="733" t="s">
        <v>994</v>
      </c>
      <c r="D41" s="733" t="s">
        <v>956</v>
      </c>
      <c r="E41" s="733" t="s">
        <v>1088</v>
      </c>
      <c r="F41" s="733" t="s">
        <v>1218</v>
      </c>
      <c r="G41" s="733" t="s">
        <v>62</v>
      </c>
      <c r="H41" s="733" t="s">
        <v>5</v>
      </c>
      <c r="I41" s="733" t="s">
        <v>63</v>
      </c>
      <c r="J41" s="733" t="s">
        <v>13</v>
      </c>
      <c r="K41" s="733" t="s">
        <v>3</v>
      </c>
      <c r="L41" s="10" t="str">
        <f t="shared" si="1"/>
        <v>4-10-01</v>
      </c>
      <c r="M41" s="10"/>
      <c r="N41" s="10"/>
      <c r="O41" s="10"/>
      <c r="P41" s="733" t="s">
        <v>140</v>
      </c>
      <c r="Q41" s="733" t="s">
        <v>1984</v>
      </c>
      <c r="R41" s="733" t="s">
        <v>1420</v>
      </c>
      <c r="S41" s="733">
        <v>27667246</v>
      </c>
      <c r="T41" s="733">
        <v>27666172</v>
      </c>
      <c r="U41" s="733" t="s">
        <v>1421</v>
      </c>
      <c r="V41" s="733" t="s">
        <v>1422</v>
      </c>
      <c r="W41" s="691"/>
      <c r="X41" s="734" t="s">
        <v>1423</v>
      </c>
      <c r="Y41" s="9"/>
      <c r="Z41" s="734"/>
      <c r="AA41" s="734" t="s">
        <v>1840</v>
      </c>
    </row>
    <row r="42" spans="1:27" ht="15.75">
      <c r="A42" s="733" t="s">
        <v>1086</v>
      </c>
      <c r="B42" s="733" t="s">
        <v>954</v>
      </c>
      <c r="D42" s="733" t="s">
        <v>957</v>
      </c>
      <c r="E42" s="733" t="s">
        <v>1089</v>
      </c>
      <c r="F42" s="733" t="s">
        <v>1219</v>
      </c>
      <c r="G42" s="733" t="s">
        <v>99</v>
      </c>
      <c r="H42" s="733" t="s">
        <v>4</v>
      </c>
      <c r="I42" s="733" t="s">
        <v>69</v>
      </c>
      <c r="J42" s="733" t="s">
        <v>3</v>
      </c>
      <c r="K42" s="733" t="s">
        <v>3</v>
      </c>
      <c r="L42" s="10" t="str">
        <f t="shared" si="1"/>
        <v>5-01-01</v>
      </c>
      <c r="M42" s="10"/>
      <c r="N42" s="10"/>
      <c r="O42" s="10"/>
      <c r="P42" s="733" t="s">
        <v>2544</v>
      </c>
      <c r="Q42" s="733" t="s">
        <v>1984</v>
      </c>
      <c r="R42" s="733" t="s">
        <v>1914</v>
      </c>
      <c r="S42" s="733">
        <v>26660506</v>
      </c>
      <c r="T42" s="733">
        <v>26656370</v>
      </c>
      <c r="U42" s="733" t="s">
        <v>1424</v>
      </c>
      <c r="V42" s="733" t="s">
        <v>2570</v>
      </c>
      <c r="W42" s="691"/>
      <c r="X42" s="734" t="s">
        <v>962</v>
      </c>
      <c r="Y42" s="9"/>
      <c r="Z42" s="734"/>
      <c r="AA42" s="734" t="s">
        <v>1841</v>
      </c>
    </row>
    <row r="43" spans="1:27" ht="15.75">
      <c r="A43" s="733" t="s">
        <v>1087</v>
      </c>
      <c r="B43" s="733" t="s">
        <v>955</v>
      </c>
      <c r="D43" s="733" t="s">
        <v>958</v>
      </c>
      <c r="E43" s="733" t="s">
        <v>1090</v>
      </c>
      <c r="F43" s="733" t="s">
        <v>1220</v>
      </c>
      <c r="G43" s="733" t="s">
        <v>150</v>
      </c>
      <c r="H43" s="733" t="s">
        <v>3</v>
      </c>
      <c r="I43" s="733" t="s">
        <v>69</v>
      </c>
      <c r="J43" s="733" t="s">
        <v>4</v>
      </c>
      <c r="K43" s="733" t="s">
        <v>3</v>
      </c>
      <c r="L43" s="10" t="str">
        <f t="shared" si="1"/>
        <v>5-02-01</v>
      </c>
      <c r="M43" s="10"/>
      <c r="N43" s="10"/>
      <c r="O43" s="10"/>
      <c r="P43" s="733" t="s">
        <v>1312</v>
      </c>
      <c r="Q43" s="733" t="s">
        <v>1984</v>
      </c>
      <c r="R43" s="733" t="s">
        <v>1425</v>
      </c>
      <c r="S43" s="733">
        <v>26855292</v>
      </c>
      <c r="T43" s="733">
        <v>26855292</v>
      </c>
      <c r="U43" s="733" t="s">
        <v>1426</v>
      </c>
      <c r="V43" s="733" t="s">
        <v>1427</v>
      </c>
      <c r="W43" s="691"/>
      <c r="X43" s="734" t="s">
        <v>94</v>
      </c>
      <c r="Y43" s="9"/>
      <c r="Z43" s="734"/>
      <c r="AA43" s="734" t="s">
        <v>1842</v>
      </c>
    </row>
    <row r="44" spans="1:27" ht="15.75">
      <c r="A44" s="733" t="s">
        <v>1088</v>
      </c>
      <c r="B44" s="733" t="s">
        <v>956</v>
      </c>
      <c r="D44" s="733" t="s">
        <v>959</v>
      </c>
      <c r="E44" s="733" t="s">
        <v>1091</v>
      </c>
      <c r="F44" s="733" t="s">
        <v>1221</v>
      </c>
      <c r="G44" s="733" t="s">
        <v>150</v>
      </c>
      <c r="H44" s="733" t="s">
        <v>5</v>
      </c>
      <c r="I44" s="733" t="s">
        <v>69</v>
      </c>
      <c r="J44" s="733" t="s">
        <v>4</v>
      </c>
      <c r="K44" s="733" t="s">
        <v>4</v>
      </c>
      <c r="L44" s="10" t="str">
        <f t="shared" si="1"/>
        <v>5-02-02</v>
      </c>
      <c r="M44" s="10"/>
      <c r="N44" s="10"/>
      <c r="O44" s="10"/>
      <c r="P44" s="733" t="s">
        <v>1313</v>
      </c>
      <c r="Q44" s="733" t="s">
        <v>1984</v>
      </c>
      <c r="R44" s="733" t="s">
        <v>1989</v>
      </c>
      <c r="S44" s="733">
        <v>26591472</v>
      </c>
      <c r="T44" s="733">
        <v>83918384</v>
      </c>
      <c r="U44" s="733" t="s">
        <v>1428</v>
      </c>
      <c r="V44" s="733" t="s">
        <v>109</v>
      </c>
      <c r="W44" s="691"/>
      <c r="X44" s="734" t="s">
        <v>1429</v>
      </c>
      <c r="Y44" s="9"/>
      <c r="Z44" s="734"/>
      <c r="AA44" s="734"/>
    </row>
    <row r="45" spans="1:27" ht="15.75">
      <c r="A45" s="733" t="s">
        <v>1089</v>
      </c>
      <c r="B45" s="733" t="s">
        <v>957</v>
      </c>
      <c r="D45" s="733" t="s">
        <v>960</v>
      </c>
      <c r="E45" s="733" t="s">
        <v>1092</v>
      </c>
      <c r="F45" s="733" t="s">
        <v>1222</v>
      </c>
      <c r="G45" s="733" t="s">
        <v>150</v>
      </c>
      <c r="H45" s="733" t="s">
        <v>6</v>
      </c>
      <c r="I45" s="733" t="s">
        <v>69</v>
      </c>
      <c r="J45" s="733" t="s">
        <v>4</v>
      </c>
      <c r="K45" s="733" t="s">
        <v>5</v>
      </c>
      <c r="L45" s="10" t="str">
        <f t="shared" si="1"/>
        <v>5-02-03</v>
      </c>
      <c r="M45" s="10"/>
      <c r="N45" s="10"/>
      <c r="O45" s="10"/>
      <c r="P45" s="733" t="s">
        <v>80</v>
      </c>
      <c r="Q45" s="733" t="s">
        <v>1984</v>
      </c>
      <c r="R45" s="733" t="s">
        <v>2508</v>
      </c>
      <c r="S45" s="733">
        <v>26878014</v>
      </c>
      <c r="T45" s="733">
        <v>26878014</v>
      </c>
      <c r="U45" s="733" t="s">
        <v>1431</v>
      </c>
      <c r="V45" s="733" t="s">
        <v>1432</v>
      </c>
      <c r="W45" s="691"/>
      <c r="X45" s="734" t="s">
        <v>1433</v>
      </c>
      <c r="Y45" s="9"/>
      <c r="Z45" s="734"/>
      <c r="AA45" s="734" t="s">
        <v>1843</v>
      </c>
    </row>
    <row r="46" spans="1:27" ht="15.75">
      <c r="A46" s="733" t="s">
        <v>1097</v>
      </c>
      <c r="B46" s="733" t="s">
        <v>965</v>
      </c>
      <c r="D46" s="733" t="s">
        <v>961</v>
      </c>
      <c r="E46" s="733" t="s">
        <v>1093</v>
      </c>
      <c r="F46" s="733" t="s">
        <v>1223</v>
      </c>
      <c r="G46" s="733" t="s">
        <v>68</v>
      </c>
      <c r="H46" s="733" t="s">
        <v>9</v>
      </c>
      <c r="I46" s="733" t="s">
        <v>69</v>
      </c>
      <c r="J46" s="733" t="s">
        <v>5</v>
      </c>
      <c r="K46" s="733" t="s">
        <v>3</v>
      </c>
      <c r="L46" s="10" t="str">
        <f t="shared" si="1"/>
        <v>5-03-01</v>
      </c>
      <c r="M46" s="10"/>
      <c r="N46" s="10"/>
      <c r="O46" s="10"/>
      <c r="P46" s="733" t="s">
        <v>1314</v>
      </c>
      <c r="Q46" s="733" t="s">
        <v>1984</v>
      </c>
      <c r="R46" s="733" t="s">
        <v>1434</v>
      </c>
      <c r="S46" s="733">
        <v>26800315</v>
      </c>
      <c r="T46" s="733">
        <v>26800315</v>
      </c>
      <c r="U46" s="733" t="s">
        <v>1915</v>
      </c>
      <c r="V46" s="733" t="s">
        <v>1435</v>
      </c>
      <c r="W46" s="691"/>
      <c r="X46" s="734" t="s">
        <v>988</v>
      </c>
      <c r="Y46" s="9"/>
      <c r="Z46" s="734"/>
      <c r="AA46" s="734" t="s">
        <v>1844</v>
      </c>
    </row>
    <row r="47" spans="1:27" ht="15.75">
      <c r="A47" s="733" t="s">
        <v>1100</v>
      </c>
      <c r="B47" s="733" t="s">
        <v>968</v>
      </c>
      <c r="D47" s="733" t="s">
        <v>962</v>
      </c>
      <c r="E47" s="733" t="s">
        <v>1094</v>
      </c>
      <c r="F47" s="733" t="s">
        <v>1224</v>
      </c>
      <c r="G47" s="733" t="s">
        <v>68</v>
      </c>
      <c r="H47" s="733" t="s">
        <v>4</v>
      </c>
      <c r="I47" s="733" t="s">
        <v>69</v>
      </c>
      <c r="J47" s="733" t="s">
        <v>5</v>
      </c>
      <c r="K47" s="733" t="s">
        <v>5</v>
      </c>
      <c r="L47" s="10" t="str">
        <f t="shared" si="1"/>
        <v>5-03-03</v>
      </c>
      <c r="M47" s="10"/>
      <c r="N47" s="10"/>
      <c r="O47" s="10"/>
      <c r="P47" s="733" t="s">
        <v>1315</v>
      </c>
      <c r="Q47" s="733" t="s">
        <v>1984</v>
      </c>
      <c r="R47" s="733" t="s">
        <v>1917</v>
      </c>
      <c r="S47" s="733">
        <v>26580054</v>
      </c>
      <c r="T47" s="733">
        <v>26580054</v>
      </c>
      <c r="U47" s="733" t="s">
        <v>1760</v>
      </c>
      <c r="V47" s="733" t="s">
        <v>1436</v>
      </c>
      <c r="W47" s="691"/>
      <c r="X47" s="734" t="s">
        <v>128</v>
      </c>
      <c r="Y47" s="9"/>
      <c r="Z47" s="734" t="s">
        <v>1773</v>
      </c>
      <c r="AA47" s="734" t="s">
        <v>1845</v>
      </c>
    </row>
    <row r="48" spans="1:27" ht="15.75">
      <c r="A48" s="733" t="s">
        <v>1101</v>
      </c>
      <c r="B48" s="733" t="s">
        <v>969</v>
      </c>
      <c r="D48" s="733" t="s">
        <v>963</v>
      </c>
      <c r="E48" s="733" t="s">
        <v>1095</v>
      </c>
      <c r="F48" s="733" t="s">
        <v>1225</v>
      </c>
      <c r="G48" s="733" t="s">
        <v>68</v>
      </c>
      <c r="H48" s="733" t="s">
        <v>5</v>
      </c>
      <c r="I48" s="733" t="s">
        <v>69</v>
      </c>
      <c r="J48" s="733" t="s">
        <v>5</v>
      </c>
      <c r="K48" s="733" t="s">
        <v>7</v>
      </c>
      <c r="L48" s="10" t="str">
        <f t="shared" si="1"/>
        <v>5-03-05</v>
      </c>
      <c r="M48" s="10"/>
      <c r="N48" s="10"/>
      <c r="O48" s="10"/>
      <c r="P48" s="733" t="s">
        <v>152</v>
      </c>
      <c r="Q48" s="733" t="s">
        <v>1984</v>
      </c>
      <c r="R48" s="733" t="s">
        <v>1437</v>
      </c>
      <c r="S48" s="733">
        <v>26750194</v>
      </c>
      <c r="T48" s="733">
        <v>26750194</v>
      </c>
      <c r="U48" s="733" t="s">
        <v>1438</v>
      </c>
      <c r="V48" s="733" t="s">
        <v>1439</v>
      </c>
      <c r="W48" s="691"/>
      <c r="X48" s="734" t="s">
        <v>1440</v>
      </c>
      <c r="Y48" s="9"/>
      <c r="Z48" s="734"/>
      <c r="AA48" s="734" t="s">
        <v>1846</v>
      </c>
    </row>
    <row r="49" spans="1:27" ht="15.75">
      <c r="A49" s="733" t="s">
        <v>1090</v>
      </c>
      <c r="B49" s="733" t="s">
        <v>958</v>
      </c>
      <c r="D49" s="733" t="s">
        <v>964</v>
      </c>
      <c r="E49" s="733" t="s">
        <v>1096</v>
      </c>
      <c r="F49" s="733" t="s">
        <v>1226</v>
      </c>
      <c r="G49" s="733" t="s">
        <v>68</v>
      </c>
      <c r="H49" s="733" t="s">
        <v>9</v>
      </c>
      <c r="I49" s="733" t="s">
        <v>69</v>
      </c>
      <c r="J49" s="733" t="s">
        <v>5</v>
      </c>
      <c r="K49" s="733" t="s">
        <v>9</v>
      </c>
      <c r="L49" s="10" t="str">
        <f t="shared" si="1"/>
        <v>5-03-07</v>
      </c>
      <c r="M49" s="10"/>
      <c r="N49" s="10"/>
      <c r="O49" s="10"/>
      <c r="P49" s="733" t="s">
        <v>2545</v>
      </c>
      <c r="Q49" s="733" t="s">
        <v>1984</v>
      </c>
      <c r="R49" s="733" t="s">
        <v>2561</v>
      </c>
      <c r="S49" s="733">
        <v>26811882</v>
      </c>
      <c r="T49" s="733"/>
      <c r="U49" s="733" t="s">
        <v>1441</v>
      </c>
      <c r="V49" s="733" t="s">
        <v>1442</v>
      </c>
      <c r="W49" s="691"/>
      <c r="X49" s="734" t="s">
        <v>1443</v>
      </c>
      <c r="Y49" s="9"/>
      <c r="Z49" s="734"/>
      <c r="AA49" s="734" t="s">
        <v>1847</v>
      </c>
    </row>
    <row r="50" spans="1:27" ht="15.75">
      <c r="A50" s="733" t="s">
        <v>1091</v>
      </c>
      <c r="B50" s="733" t="s">
        <v>959</v>
      </c>
      <c r="D50" s="733" t="s">
        <v>965</v>
      </c>
      <c r="E50" s="733" t="s">
        <v>1097</v>
      </c>
      <c r="F50" s="733" t="s">
        <v>1227</v>
      </c>
      <c r="G50" s="733" t="s">
        <v>99</v>
      </c>
      <c r="H50" s="733" t="s">
        <v>5</v>
      </c>
      <c r="I50" s="733" t="s">
        <v>69</v>
      </c>
      <c r="J50" s="733" t="s">
        <v>6</v>
      </c>
      <c r="K50" s="733" t="s">
        <v>4</v>
      </c>
      <c r="L50" s="10" t="str">
        <f t="shared" si="1"/>
        <v>5-04-02</v>
      </c>
      <c r="M50" s="10"/>
      <c r="N50" s="10"/>
      <c r="O50" s="10"/>
      <c r="P50" s="733" t="s">
        <v>133</v>
      </c>
      <c r="Q50" s="733" t="s">
        <v>1984</v>
      </c>
      <c r="R50" s="733" t="s">
        <v>2579</v>
      </c>
      <c r="S50" s="733">
        <v>26730527</v>
      </c>
      <c r="T50" s="733">
        <v>26730027</v>
      </c>
      <c r="U50" s="733" t="s">
        <v>1916</v>
      </c>
      <c r="V50" s="733" t="s">
        <v>1444</v>
      </c>
      <c r="W50" s="691"/>
      <c r="X50" s="734" t="s">
        <v>1445</v>
      </c>
      <c r="Y50" s="9"/>
      <c r="Z50" s="734"/>
      <c r="AA50" s="734"/>
    </row>
    <row r="51" spans="1:27" ht="15.75">
      <c r="A51" s="733" t="s">
        <v>1092</v>
      </c>
      <c r="B51" s="733" t="s">
        <v>960</v>
      </c>
      <c r="D51" s="733" t="s">
        <v>966</v>
      </c>
      <c r="E51" s="733" t="s">
        <v>1098</v>
      </c>
      <c r="F51" s="733" t="s">
        <v>1228</v>
      </c>
      <c r="G51" s="733" t="s">
        <v>68</v>
      </c>
      <c r="H51" s="733" t="s">
        <v>7</v>
      </c>
      <c r="I51" s="733" t="s">
        <v>69</v>
      </c>
      <c r="J51" s="733" t="s">
        <v>7</v>
      </c>
      <c r="K51" s="733" t="s">
        <v>3</v>
      </c>
      <c r="L51" s="10" t="str">
        <f t="shared" si="1"/>
        <v>5-05-01</v>
      </c>
      <c r="M51" s="10"/>
      <c r="N51" s="10"/>
      <c r="O51" s="10"/>
      <c r="P51" s="733" t="s">
        <v>1316</v>
      </c>
      <c r="Q51" s="733" t="s">
        <v>1984</v>
      </c>
      <c r="R51" s="733" t="s">
        <v>1430</v>
      </c>
      <c r="S51" s="733">
        <v>26886103</v>
      </c>
      <c r="T51" s="733">
        <v>26886103</v>
      </c>
      <c r="U51" s="733" t="s">
        <v>1446</v>
      </c>
      <c r="V51" s="733" t="s">
        <v>1447</v>
      </c>
      <c r="W51" s="691"/>
      <c r="X51" s="734" t="s">
        <v>1448</v>
      </c>
      <c r="Y51" s="9"/>
      <c r="Z51" s="734"/>
      <c r="AA51" s="734" t="s">
        <v>1848</v>
      </c>
    </row>
    <row r="52" spans="1:27" ht="15.75">
      <c r="A52" s="733" t="s">
        <v>1098</v>
      </c>
      <c r="B52" s="733" t="s">
        <v>966</v>
      </c>
      <c r="D52" s="733" t="s">
        <v>967</v>
      </c>
      <c r="E52" s="733" t="s">
        <v>1099</v>
      </c>
      <c r="F52" s="733" t="s">
        <v>1229</v>
      </c>
      <c r="G52" s="733" t="s">
        <v>68</v>
      </c>
      <c r="H52" s="733" t="s">
        <v>8</v>
      </c>
      <c r="I52" s="733" t="s">
        <v>69</v>
      </c>
      <c r="J52" s="733" t="s">
        <v>7</v>
      </c>
      <c r="K52" s="733" t="s">
        <v>5</v>
      </c>
      <c r="L52" s="10" t="str">
        <f t="shared" si="1"/>
        <v>5-05-03</v>
      </c>
      <c r="M52" s="10"/>
      <c r="N52" s="10"/>
      <c r="O52" s="10"/>
      <c r="P52" s="733" t="s">
        <v>154</v>
      </c>
      <c r="Q52" s="733" t="s">
        <v>1984</v>
      </c>
      <c r="R52" s="733" t="s">
        <v>1990</v>
      </c>
      <c r="S52" s="733">
        <v>26974095</v>
      </c>
      <c r="T52" s="733">
        <v>26974094</v>
      </c>
      <c r="U52" s="733" t="s">
        <v>1761</v>
      </c>
      <c r="V52" s="733" t="s">
        <v>1449</v>
      </c>
      <c r="W52" s="691"/>
      <c r="X52" s="734" t="s">
        <v>1450</v>
      </c>
      <c r="Y52" s="9"/>
      <c r="Z52" s="734"/>
      <c r="AA52" s="734" t="s">
        <v>1849</v>
      </c>
    </row>
    <row r="53" spans="1:27" ht="15.75">
      <c r="A53" s="733" t="s">
        <v>1094</v>
      </c>
      <c r="B53" s="733" t="s">
        <v>962</v>
      </c>
      <c r="D53" s="733" t="s">
        <v>968</v>
      </c>
      <c r="E53" s="733" t="s">
        <v>1100</v>
      </c>
      <c r="F53" s="733" t="s">
        <v>1230</v>
      </c>
      <c r="G53" s="733" t="s">
        <v>150</v>
      </c>
      <c r="H53" s="733" t="s">
        <v>9</v>
      </c>
      <c r="I53" s="733" t="s">
        <v>69</v>
      </c>
      <c r="J53" s="733" t="s">
        <v>12</v>
      </c>
      <c r="K53" s="733" t="s">
        <v>3</v>
      </c>
      <c r="L53" s="10" t="str">
        <f t="shared" si="1"/>
        <v>5-09-01</v>
      </c>
      <c r="M53" s="10"/>
      <c r="N53" s="10"/>
      <c r="O53" s="10"/>
      <c r="P53" s="733" t="s">
        <v>151</v>
      </c>
      <c r="Q53" s="733" t="s">
        <v>1984</v>
      </c>
      <c r="R53" s="733" t="s">
        <v>1918</v>
      </c>
      <c r="S53" s="733">
        <v>26577010</v>
      </c>
      <c r="T53" s="733">
        <v>26577364</v>
      </c>
      <c r="U53" s="733" t="s">
        <v>1451</v>
      </c>
      <c r="V53" s="733" t="s">
        <v>1452</v>
      </c>
      <c r="W53" s="691"/>
      <c r="X53" s="734" t="s">
        <v>1453</v>
      </c>
      <c r="Y53" s="9"/>
      <c r="Z53" s="734"/>
      <c r="AA53" s="734" t="s">
        <v>1850</v>
      </c>
    </row>
    <row r="54" spans="1:27" ht="15.75">
      <c r="A54" s="733" t="s">
        <v>1093</v>
      </c>
      <c r="B54" s="733" t="s">
        <v>961</v>
      </c>
      <c r="D54" s="733" t="s">
        <v>969</v>
      </c>
      <c r="E54" s="733" t="s">
        <v>1101</v>
      </c>
      <c r="F54" s="733" t="s">
        <v>1231</v>
      </c>
      <c r="G54" s="733" t="s">
        <v>150</v>
      </c>
      <c r="H54" s="733" t="s">
        <v>7</v>
      </c>
      <c r="I54" s="733" t="s">
        <v>69</v>
      </c>
      <c r="J54" s="733" t="s">
        <v>16</v>
      </c>
      <c r="K54" s="733" t="s">
        <v>3</v>
      </c>
      <c r="L54" s="10" t="str">
        <f t="shared" si="1"/>
        <v>5-11-01</v>
      </c>
      <c r="M54" s="10"/>
      <c r="N54" s="10"/>
      <c r="O54" s="10"/>
      <c r="P54" s="733" t="s">
        <v>1317</v>
      </c>
      <c r="Q54" s="733" t="s">
        <v>1984</v>
      </c>
      <c r="R54" s="733" t="s">
        <v>1454</v>
      </c>
      <c r="S54" s="733">
        <v>26599045</v>
      </c>
      <c r="T54" s="733">
        <v>26599045</v>
      </c>
      <c r="U54" s="733" t="s">
        <v>1455</v>
      </c>
      <c r="V54" s="733" t="s">
        <v>2575</v>
      </c>
      <c r="W54" s="691"/>
      <c r="X54" s="734" t="s">
        <v>1456</v>
      </c>
      <c r="Y54" s="9"/>
      <c r="Z54" s="734"/>
      <c r="AA54" s="734" t="s">
        <v>1851</v>
      </c>
    </row>
    <row r="55" spans="1:27" ht="15.75">
      <c r="A55" s="733" t="s">
        <v>1096</v>
      </c>
      <c r="B55" s="733" t="s">
        <v>964</v>
      </c>
      <c r="D55" s="733" t="s">
        <v>970</v>
      </c>
      <c r="E55" s="733" t="s">
        <v>1102</v>
      </c>
      <c r="F55" s="733" t="s">
        <v>1232</v>
      </c>
      <c r="G55" s="733" t="s">
        <v>55</v>
      </c>
      <c r="H55" s="733" t="s">
        <v>3</v>
      </c>
      <c r="I55" s="733" t="s">
        <v>54</v>
      </c>
      <c r="J55" s="733" t="s">
        <v>3</v>
      </c>
      <c r="K55" s="733" t="s">
        <v>11</v>
      </c>
      <c r="L55" s="10" t="str">
        <f t="shared" si="1"/>
        <v>6-01-08</v>
      </c>
      <c r="M55" s="10"/>
      <c r="N55" s="10"/>
      <c r="O55" s="10"/>
      <c r="P55" s="733" t="s">
        <v>1318</v>
      </c>
      <c r="Q55" s="733" t="s">
        <v>1984</v>
      </c>
      <c r="R55" s="733" t="s">
        <v>1457</v>
      </c>
      <c r="S55" s="733">
        <v>26630274</v>
      </c>
      <c r="T55" s="733">
        <v>26630274</v>
      </c>
      <c r="U55" s="733" t="s">
        <v>1919</v>
      </c>
      <c r="V55" s="733" t="s">
        <v>1458</v>
      </c>
      <c r="W55" s="691"/>
      <c r="X55" s="734" t="s">
        <v>82</v>
      </c>
      <c r="Y55" s="9"/>
      <c r="Z55" s="734"/>
      <c r="AA55" s="734" t="s">
        <v>1852</v>
      </c>
    </row>
    <row r="56" spans="1:27" ht="15.75">
      <c r="A56" s="733" t="s">
        <v>1095</v>
      </c>
      <c r="B56" s="733" t="s">
        <v>963</v>
      </c>
      <c r="D56" s="733" t="s">
        <v>971</v>
      </c>
      <c r="E56" s="733" t="s">
        <v>1103</v>
      </c>
      <c r="F56" s="733" t="s">
        <v>1233</v>
      </c>
      <c r="G56" s="733" t="s">
        <v>153</v>
      </c>
      <c r="H56" s="733" t="s">
        <v>6</v>
      </c>
      <c r="I56" s="733" t="s">
        <v>54</v>
      </c>
      <c r="J56" s="733" t="s">
        <v>3</v>
      </c>
      <c r="K56" s="733" t="s">
        <v>6</v>
      </c>
      <c r="L56" s="10" t="str">
        <f t="shared" si="1"/>
        <v>6-01-04</v>
      </c>
      <c r="M56" s="10"/>
      <c r="N56" s="10"/>
      <c r="O56" s="10"/>
      <c r="P56" s="733" t="s">
        <v>1319</v>
      </c>
      <c r="Q56" s="733" t="s">
        <v>1984</v>
      </c>
      <c r="R56" s="733" t="s">
        <v>1696</v>
      </c>
      <c r="S56" s="733">
        <v>26500140</v>
      </c>
      <c r="T56" s="733">
        <v>26500140</v>
      </c>
      <c r="U56" s="733" t="s">
        <v>1920</v>
      </c>
      <c r="V56" s="733" t="s">
        <v>1697</v>
      </c>
      <c r="W56" s="691"/>
      <c r="X56" s="734" t="s">
        <v>114</v>
      </c>
      <c r="Y56" s="9"/>
      <c r="Z56" s="734"/>
      <c r="AA56" s="734" t="s">
        <v>1853</v>
      </c>
    </row>
    <row r="57" spans="1:27" ht="15.75">
      <c r="A57" s="733" t="s">
        <v>1099</v>
      </c>
      <c r="B57" s="733" t="s">
        <v>967</v>
      </c>
      <c r="D57" s="733" t="s">
        <v>972</v>
      </c>
      <c r="E57" s="733" t="s">
        <v>1104</v>
      </c>
      <c r="F57" s="733" t="s">
        <v>1234</v>
      </c>
      <c r="G57" s="733" t="s">
        <v>153</v>
      </c>
      <c r="H57" s="733" t="s">
        <v>3</v>
      </c>
      <c r="I57" s="733" t="s">
        <v>54</v>
      </c>
      <c r="J57" s="733" t="s">
        <v>3</v>
      </c>
      <c r="K57" s="733" t="s">
        <v>7</v>
      </c>
      <c r="L57" s="10" t="str">
        <f t="shared" si="1"/>
        <v>6-01-05</v>
      </c>
      <c r="M57" s="10"/>
      <c r="N57" s="10"/>
      <c r="O57" s="10"/>
      <c r="P57" s="733" t="s">
        <v>156</v>
      </c>
      <c r="Q57" s="733" t="s">
        <v>1984</v>
      </c>
      <c r="R57" s="733" t="s">
        <v>2588</v>
      </c>
      <c r="S57" s="733">
        <v>26410125</v>
      </c>
      <c r="T57" s="733">
        <v>26410125</v>
      </c>
      <c r="U57" s="733" t="s">
        <v>1459</v>
      </c>
      <c r="V57" s="733" t="s">
        <v>1460</v>
      </c>
      <c r="W57" s="691"/>
      <c r="X57" s="734" t="s">
        <v>1461</v>
      </c>
      <c r="Y57" s="9"/>
      <c r="Z57" s="734"/>
      <c r="AA57" s="734" t="s">
        <v>1854</v>
      </c>
    </row>
    <row r="58" spans="1:27" ht="15.75">
      <c r="A58" s="733" t="s">
        <v>1128</v>
      </c>
      <c r="B58" s="733" t="s">
        <v>995</v>
      </c>
      <c r="D58" s="733" t="s">
        <v>973</v>
      </c>
      <c r="E58" s="733" t="s">
        <v>1105</v>
      </c>
      <c r="F58" s="733" t="s">
        <v>1235</v>
      </c>
      <c r="G58" s="733" t="s">
        <v>55</v>
      </c>
      <c r="H58" s="733" t="s">
        <v>8</v>
      </c>
      <c r="I58" s="733" t="s">
        <v>54</v>
      </c>
      <c r="J58" s="733" t="s">
        <v>3</v>
      </c>
      <c r="K58" s="733" t="s">
        <v>12</v>
      </c>
      <c r="L58" s="10" t="str">
        <f t="shared" si="1"/>
        <v>6-01-09</v>
      </c>
      <c r="M58" s="10"/>
      <c r="N58" s="10"/>
      <c r="O58" s="10"/>
      <c r="P58" s="733" t="s">
        <v>81</v>
      </c>
      <c r="Q58" s="733" t="s">
        <v>1984</v>
      </c>
      <c r="R58" s="733" t="s">
        <v>2580</v>
      </c>
      <c r="S58" s="733">
        <v>26455014</v>
      </c>
      <c r="T58" s="733">
        <v>26455804</v>
      </c>
      <c r="U58" s="733" t="s">
        <v>1462</v>
      </c>
      <c r="V58" s="733" t="s">
        <v>1463</v>
      </c>
      <c r="W58" s="691"/>
      <c r="X58" s="734" t="s">
        <v>1464</v>
      </c>
      <c r="Y58" s="9"/>
      <c r="Z58" s="734"/>
      <c r="AA58" s="734"/>
    </row>
    <row r="59" spans="1:27" ht="15.75">
      <c r="A59" s="733" t="s">
        <v>1103</v>
      </c>
      <c r="B59" s="733" t="s">
        <v>971</v>
      </c>
      <c r="D59" s="733" t="s">
        <v>974</v>
      </c>
      <c r="E59" s="733" t="s">
        <v>1106</v>
      </c>
      <c r="F59" s="733" t="s">
        <v>1673</v>
      </c>
      <c r="G59" s="733" t="s">
        <v>153</v>
      </c>
      <c r="H59" s="733" t="s">
        <v>4</v>
      </c>
      <c r="I59" s="733" t="s">
        <v>54</v>
      </c>
      <c r="J59" s="733" t="s">
        <v>3</v>
      </c>
      <c r="K59" s="733" t="s">
        <v>16</v>
      </c>
      <c r="L59" s="10" t="str">
        <f t="shared" si="1"/>
        <v>6-01-11</v>
      </c>
      <c r="M59" s="10"/>
      <c r="N59" s="10"/>
      <c r="O59" s="10"/>
      <c r="P59" s="733" t="s">
        <v>138</v>
      </c>
      <c r="Q59" s="733" t="s">
        <v>1984</v>
      </c>
      <c r="R59" s="733" t="s">
        <v>2591</v>
      </c>
      <c r="S59" s="733">
        <v>26420280</v>
      </c>
      <c r="T59" s="733">
        <v>26420179</v>
      </c>
      <c r="U59" s="733" t="s">
        <v>1465</v>
      </c>
      <c r="V59" s="733" t="s">
        <v>1698</v>
      </c>
      <c r="W59" s="691"/>
      <c r="X59" s="734" t="s">
        <v>1466</v>
      </c>
      <c r="Y59" s="9"/>
      <c r="Z59" s="734"/>
      <c r="AA59" s="734" t="s">
        <v>1855</v>
      </c>
    </row>
    <row r="60" spans="1:27" ht="15.75">
      <c r="A60" s="733" t="s">
        <v>1102</v>
      </c>
      <c r="B60" s="733" t="s">
        <v>970</v>
      </c>
      <c r="D60" s="733" t="s">
        <v>975</v>
      </c>
      <c r="E60" s="733" t="s">
        <v>1107</v>
      </c>
      <c r="F60" s="733" t="s">
        <v>2509</v>
      </c>
      <c r="G60" s="733" t="s">
        <v>1751</v>
      </c>
      <c r="H60" s="733" t="s">
        <v>3</v>
      </c>
      <c r="I60" s="733" t="s">
        <v>54</v>
      </c>
      <c r="J60" s="733" t="s">
        <v>5</v>
      </c>
      <c r="K60" s="733" t="s">
        <v>3</v>
      </c>
      <c r="L60" s="10" t="str">
        <f t="shared" si="1"/>
        <v>6-03-01</v>
      </c>
      <c r="M60" s="10"/>
      <c r="N60" s="10"/>
      <c r="O60" s="10"/>
      <c r="P60" s="733" t="s">
        <v>1320</v>
      </c>
      <c r="Q60" s="733" t="s">
        <v>1984</v>
      </c>
      <c r="R60" s="733" t="s">
        <v>1699</v>
      </c>
      <c r="S60" s="733">
        <v>27300045</v>
      </c>
      <c r="T60" s="733"/>
      <c r="U60" s="733" t="s">
        <v>1762</v>
      </c>
      <c r="V60" s="733" t="s">
        <v>1467</v>
      </c>
      <c r="W60" s="691"/>
      <c r="X60" s="734" t="s">
        <v>123</v>
      </c>
      <c r="Y60" s="9"/>
      <c r="Z60" s="734"/>
      <c r="AA60" s="734" t="s">
        <v>1856</v>
      </c>
    </row>
    <row r="61" spans="1:27" ht="15.75">
      <c r="A61" s="733" t="s">
        <v>1104</v>
      </c>
      <c r="B61" s="733" t="s">
        <v>972</v>
      </c>
      <c r="D61" s="733" t="s">
        <v>976</v>
      </c>
      <c r="E61" s="733" t="s">
        <v>1108</v>
      </c>
      <c r="F61" s="733" t="s">
        <v>1236</v>
      </c>
      <c r="G61" s="733" t="s">
        <v>1751</v>
      </c>
      <c r="H61" s="733" t="s">
        <v>9</v>
      </c>
      <c r="I61" s="733" t="s">
        <v>54</v>
      </c>
      <c r="J61" s="733" t="s">
        <v>7</v>
      </c>
      <c r="K61" s="733" t="s">
        <v>4</v>
      </c>
      <c r="L61" s="10" t="str">
        <f t="shared" si="1"/>
        <v>6-05-02</v>
      </c>
      <c r="M61" s="10"/>
      <c r="N61" s="10"/>
      <c r="O61" s="10"/>
      <c r="P61" s="733" t="s">
        <v>1321</v>
      </c>
      <c r="Q61" s="733" t="s">
        <v>1984</v>
      </c>
      <c r="R61" s="733" t="s">
        <v>1728</v>
      </c>
      <c r="S61" s="733">
        <v>27866156</v>
      </c>
      <c r="T61" s="733">
        <v>27866156</v>
      </c>
      <c r="U61" s="733" t="s">
        <v>1469</v>
      </c>
      <c r="V61" s="733" t="s">
        <v>1470</v>
      </c>
      <c r="W61" s="691"/>
      <c r="X61" s="734" t="s">
        <v>1471</v>
      </c>
      <c r="Y61" s="9"/>
      <c r="Z61" s="734"/>
      <c r="AA61" s="734" t="s">
        <v>1857</v>
      </c>
    </row>
    <row r="62" spans="1:27" ht="15.75">
      <c r="A62" s="733" t="s">
        <v>1106</v>
      </c>
      <c r="B62" s="733" t="s">
        <v>974</v>
      </c>
      <c r="D62" s="733" t="s">
        <v>977</v>
      </c>
      <c r="E62" s="733" t="s">
        <v>1109</v>
      </c>
      <c r="F62" s="733" t="s">
        <v>1237</v>
      </c>
      <c r="G62" s="733" t="s">
        <v>111</v>
      </c>
      <c r="H62" s="733" t="s">
        <v>3</v>
      </c>
      <c r="I62" s="733" t="s">
        <v>54</v>
      </c>
      <c r="J62" s="733" t="s">
        <v>8</v>
      </c>
      <c r="K62" s="733" t="s">
        <v>3</v>
      </c>
      <c r="L62" s="10" t="str">
        <f t="shared" si="1"/>
        <v>6-06-01</v>
      </c>
      <c r="M62" s="10"/>
      <c r="N62" s="10"/>
      <c r="O62" s="10"/>
      <c r="P62" s="733" t="s">
        <v>1322</v>
      </c>
      <c r="Q62" s="733" t="s">
        <v>1984</v>
      </c>
      <c r="R62" s="733" t="s">
        <v>2582</v>
      </c>
      <c r="S62" s="733">
        <v>27771569</v>
      </c>
      <c r="T62" s="733">
        <v>27770322</v>
      </c>
      <c r="U62" s="733" t="s">
        <v>1700</v>
      </c>
      <c r="V62" s="733" t="s">
        <v>1472</v>
      </c>
      <c r="W62" s="691"/>
      <c r="X62" s="734" t="s">
        <v>1473</v>
      </c>
      <c r="Y62" s="9"/>
      <c r="Z62" s="734"/>
      <c r="AA62" s="734" t="s">
        <v>1858</v>
      </c>
    </row>
    <row r="63" spans="1:27" ht="15.75">
      <c r="A63" s="733" t="s">
        <v>1105</v>
      </c>
      <c r="B63" s="733" t="s">
        <v>973</v>
      </c>
      <c r="D63" s="733" t="s">
        <v>978</v>
      </c>
      <c r="E63" s="733" t="s">
        <v>1110</v>
      </c>
      <c r="F63" s="733" t="s">
        <v>1238</v>
      </c>
      <c r="G63" s="733" t="s">
        <v>111</v>
      </c>
      <c r="H63" s="733" t="s">
        <v>4</v>
      </c>
      <c r="I63" s="733" t="s">
        <v>54</v>
      </c>
      <c r="J63" s="733" t="s">
        <v>8</v>
      </c>
      <c r="K63" s="733" t="s">
        <v>4</v>
      </c>
      <c r="L63" s="10" t="str">
        <f t="shared" si="1"/>
        <v>6-06-02</v>
      </c>
      <c r="M63" s="10"/>
      <c r="N63" s="10"/>
      <c r="O63" s="10"/>
      <c r="P63" s="733" t="s">
        <v>1323</v>
      </c>
      <c r="Q63" s="733" t="s">
        <v>1984</v>
      </c>
      <c r="R63" s="733" t="s">
        <v>1474</v>
      </c>
      <c r="S63" s="733">
        <v>27875297</v>
      </c>
      <c r="T63" s="733"/>
      <c r="U63" s="733" t="s">
        <v>1701</v>
      </c>
      <c r="V63" s="733" t="s">
        <v>1475</v>
      </c>
      <c r="W63" s="691"/>
      <c r="X63" s="734" t="s">
        <v>287</v>
      </c>
      <c r="Y63" s="9"/>
      <c r="Z63" s="734"/>
      <c r="AA63" s="734"/>
    </row>
    <row r="64" spans="1:27" ht="15.75">
      <c r="A64" s="733" t="s">
        <v>1108</v>
      </c>
      <c r="B64" s="733" t="s">
        <v>976</v>
      </c>
      <c r="D64" s="733" t="s">
        <v>979</v>
      </c>
      <c r="E64" s="733" t="s">
        <v>1111</v>
      </c>
      <c r="F64" s="733" t="s">
        <v>1239</v>
      </c>
      <c r="G64" s="733" t="s">
        <v>53</v>
      </c>
      <c r="H64" s="733" t="s">
        <v>3</v>
      </c>
      <c r="I64" s="733" t="s">
        <v>54</v>
      </c>
      <c r="J64" s="733" t="s">
        <v>9</v>
      </c>
      <c r="K64" s="733" t="s">
        <v>3</v>
      </c>
      <c r="L64" s="10" t="str">
        <f t="shared" si="1"/>
        <v>6-07-01</v>
      </c>
      <c r="M64" s="10"/>
      <c r="N64" s="10"/>
      <c r="O64" s="10"/>
      <c r="P64" s="733" t="s">
        <v>1702</v>
      </c>
      <c r="Q64" s="733" t="s">
        <v>1984</v>
      </c>
      <c r="R64" s="733" t="s">
        <v>1991</v>
      </c>
      <c r="S64" s="733">
        <v>27750142</v>
      </c>
      <c r="T64" s="733">
        <v>27753132</v>
      </c>
      <c r="U64" s="733" t="s">
        <v>1921</v>
      </c>
      <c r="V64" s="733" t="s">
        <v>2595</v>
      </c>
      <c r="W64" s="691"/>
      <c r="X64" s="734" t="s">
        <v>92</v>
      </c>
      <c r="Y64" s="9"/>
      <c r="Z64" s="734"/>
      <c r="AA64" s="734" t="s">
        <v>1859</v>
      </c>
    </row>
    <row r="65" spans="1:27" ht="15.75">
      <c r="A65" s="733" t="s">
        <v>1111</v>
      </c>
      <c r="B65" s="733" t="s">
        <v>979</v>
      </c>
      <c r="D65" s="733" t="s">
        <v>980</v>
      </c>
      <c r="E65" s="733" t="s">
        <v>1112</v>
      </c>
      <c r="F65" s="733" t="s">
        <v>1674</v>
      </c>
      <c r="G65" s="733" t="s">
        <v>53</v>
      </c>
      <c r="H65" s="733" t="s">
        <v>5</v>
      </c>
      <c r="I65" s="733" t="s">
        <v>54</v>
      </c>
      <c r="J65" s="733" t="s">
        <v>9</v>
      </c>
      <c r="K65" s="733" t="s">
        <v>4</v>
      </c>
      <c r="L65" s="10" t="str">
        <f t="shared" si="1"/>
        <v>6-07-02</v>
      </c>
      <c r="M65" s="10"/>
      <c r="N65" s="10"/>
      <c r="O65" s="10"/>
      <c r="P65" s="733" t="s">
        <v>56</v>
      </c>
      <c r="Q65" s="733" t="s">
        <v>1984</v>
      </c>
      <c r="R65" s="733" t="s">
        <v>2583</v>
      </c>
      <c r="S65" s="733">
        <v>27355201</v>
      </c>
      <c r="T65" s="733">
        <v>27355256</v>
      </c>
      <c r="U65" s="733" t="s">
        <v>1476</v>
      </c>
      <c r="V65" s="733" t="s">
        <v>1704</v>
      </c>
      <c r="W65" s="691"/>
      <c r="X65" s="734" t="s">
        <v>1477</v>
      </c>
      <c r="Y65" s="9"/>
      <c r="Z65" s="734"/>
      <c r="AA65" s="734" t="s">
        <v>1860</v>
      </c>
    </row>
    <row r="66" spans="1:27" ht="15.75">
      <c r="A66" s="733" t="s">
        <v>1114</v>
      </c>
      <c r="B66" s="733" t="s">
        <v>982</v>
      </c>
      <c r="D66" s="733" t="s">
        <v>981</v>
      </c>
      <c r="E66" s="733" t="s">
        <v>1113</v>
      </c>
      <c r="F66" s="733" t="s">
        <v>1240</v>
      </c>
      <c r="G66" s="733" t="s">
        <v>53</v>
      </c>
      <c r="H66" s="733" t="s">
        <v>6</v>
      </c>
      <c r="I66" s="733" t="s">
        <v>54</v>
      </c>
      <c r="J66" s="733" t="s">
        <v>9</v>
      </c>
      <c r="K66" s="733" t="s">
        <v>5</v>
      </c>
      <c r="L66" s="10" t="str">
        <f t="shared" si="1"/>
        <v>6-07-03</v>
      </c>
      <c r="M66" s="10"/>
      <c r="N66" s="10"/>
      <c r="O66" s="10"/>
      <c r="P66" s="733" t="s">
        <v>1705</v>
      </c>
      <c r="Q66" s="733" t="s">
        <v>1984</v>
      </c>
      <c r="R66" s="733" t="s">
        <v>1992</v>
      </c>
      <c r="S66" s="733">
        <v>27899047</v>
      </c>
      <c r="T66" s="733">
        <v>27899047</v>
      </c>
      <c r="U66" s="733" t="s">
        <v>1478</v>
      </c>
      <c r="V66" s="733" t="s">
        <v>1706</v>
      </c>
      <c r="W66" s="691"/>
      <c r="X66" s="734" t="s">
        <v>1479</v>
      </c>
      <c r="Y66" s="9"/>
      <c r="Z66" s="734"/>
      <c r="AA66" s="734" t="s">
        <v>1861</v>
      </c>
    </row>
    <row r="67" spans="1:27" ht="15.75">
      <c r="A67" s="733" t="s">
        <v>1115</v>
      </c>
      <c r="B67" s="733" t="s">
        <v>983</v>
      </c>
      <c r="D67" s="733" t="s">
        <v>982</v>
      </c>
      <c r="E67" s="733" t="s">
        <v>1114</v>
      </c>
      <c r="F67" s="733" t="s">
        <v>1241</v>
      </c>
      <c r="G67" s="733" t="s">
        <v>53</v>
      </c>
      <c r="H67" s="733" t="s">
        <v>7</v>
      </c>
      <c r="I67" s="733" t="s">
        <v>54</v>
      </c>
      <c r="J67" s="733" t="s">
        <v>11</v>
      </c>
      <c r="K67" s="733" t="s">
        <v>3</v>
      </c>
      <c r="L67" s="10" t="str">
        <f t="shared" ref="L67:L98" si="2">CONCATENATE(I67,"-",J67,"-",K67)</f>
        <v>6-08-01</v>
      </c>
      <c r="M67" s="10"/>
      <c r="N67" s="10"/>
      <c r="O67" s="10"/>
      <c r="P67" s="733" t="s">
        <v>136</v>
      </c>
      <c r="Q67" s="733" t="s">
        <v>1984</v>
      </c>
      <c r="R67" s="733" t="s">
        <v>2559</v>
      </c>
      <c r="S67" s="733">
        <v>27733125</v>
      </c>
      <c r="T67" s="733">
        <v>27733125</v>
      </c>
      <c r="U67" s="733" t="s">
        <v>1480</v>
      </c>
      <c r="V67" s="733" t="s">
        <v>1481</v>
      </c>
      <c r="W67" s="691"/>
      <c r="X67" s="734" t="s">
        <v>93</v>
      </c>
      <c r="Y67" s="9"/>
      <c r="Z67" s="734"/>
      <c r="AA67" s="734" t="s">
        <v>1862</v>
      </c>
    </row>
    <row r="68" spans="1:27" ht="15.75">
      <c r="A68" s="733" t="s">
        <v>1113</v>
      </c>
      <c r="B68" s="733" t="s">
        <v>981</v>
      </c>
      <c r="D68" s="733" t="s">
        <v>983</v>
      </c>
      <c r="E68" s="733" t="s">
        <v>1115</v>
      </c>
      <c r="F68" s="733" t="s">
        <v>1242</v>
      </c>
      <c r="G68" s="733" t="s">
        <v>53</v>
      </c>
      <c r="H68" s="733" t="s">
        <v>8</v>
      </c>
      <c r="I68" s="733" t="s">
        <v>54</v>
      </c>
      <c r="J68" s="733" t="s">
        <v>11</v>
      </c>
      <c r="K68" s="733" t="s">
        <v>4</v>
      </c>
      <c r="L68" s="10" t="str">
        <f t="shared" si="2"/>
        <v>6-08-02</v>
      </c>
      <c r="M68" s="10"/>
      <c r="N68" s="10"/>
      <c r="O68" s="10"/>
      <c r="P68" s="733" t="s">
        <v>58</v>
      </c>
      <c r="Q68" s="733" t="s">
        <v>1984</v>
      </c>
      <c r="R68" s="733" t="s">
        <v>1707</v>
      </c>
      <c r="S68" s="733">
        <v>27840616</v>
      </c>
      <c r="T68" s="733">
        <v>27840616</v>
      </c>
      <c r="U68" s="733" t="s">
        <v>1482</v>
      </c>
      <c r="V68" s="733" t="s">
        <v>1708</v>
      </c>
      <c r="W68" s="691"/>
      <c r="X68" s="734" t="s">
        <v>1483</v>
      </c>
      <c r="Y68" s="9"/>
      <c r="Z68" s="734"/>
      <c r="AA68" s="734"/>
    </row>
    <row r="69" spans="1:27" ht="15.75">
      <c r="A69" s="733" t="s">
        <v>1117</v>
      </c>
      <c r="B69" s="733" t="s">
        <v>985</v>
      </c>
      <c r="D69" s="733" t="s">
        <v>984</v>
      </c>
      <c r="E69" s="733" t="s">
        <v>1116</v>
      </c>
      <c r="F69" s="733" t="s">
        <v>1243</v>
      </c>
      <c r="G69" s="733" t="s">
        <v>111</v>
      </c>
      <c r="H69" s="733" t="s">
        <v>6</v>
      </c>
      <c r="I69" s="733" t="s">
        <v>54</v>
      </c>
      <c r="J69" s="733" t="s">
        <v>12</v>
      </c>
      <c r="K69" s="733" t="s">
        <v>3</v>
      </c>
      <c r="L69" s="10" t="str">
        <f t="shared" si="2"/>
        <v>6-09-01</v>
      </c>
      <c r="M69" s="10"/>
      <c r="N69" s="10"/>
      <c r="O69" s="10"/>
      <c r="P69" s="733" t="s">
        <v>1324</v>
      </c>
      <c r="Q69" s="733" t="s">
        <v>1984</v>
      </c>
      <c r="R69" s="733" t="s">
        <v>1993</v>
      </c>
      <c r="S69" s="733">
        <v>27799197</v>
      </c>
      <c r="T69" s="733"/>
      <c r="U69" s="733" t="s">
        <v>1994</v>
      </c>
      <c r="V69" s="733" t="s">
        <v>1484</v>
      </c>
      <c r="W69" s="691"/>
      <c r="X69" s="734" t="s">
        <v>118</v>
      </c>
      <c r="Y69" s="9"/>
      <c r="Z69" s="734"/>
      <c r="AA69" s="734" t="s">
        <v>1863</v>
      </c>
    </row>
    <row r="70" spans="1:27" ht="15.75">
      <c r="A70" s="733" t="s">
        <v>1112</v>
      </c>
      <c r="B70" s="733" t="s">
        <v>980</v>
      </c>
      <c r="D70" s="733" t="s">
        <v>985</v>
      </c>
      <c r="E70" s="733" t="s">
        <v>1117</v>
      </c>
      <c r="F70" s="733" t="s">
        <v>1244</v>
      </c>
      <c r="G70" s="733" t="s">
        <v>53</v>
      </c>
      <c r="H70" s="733" t="s">
        <v>13</v>
      </c>
      <c r="I70" s="733" t="s">
        <v>54</v>
      </c>
      <c r="J70" s="733" t="s">
        <v>13</v>
      </c>
      <c r="K70" s="733" t="s">
        <v>4</v>
      </c>
      <c r="L70" s="10" t="str">
        <f t="shared" si="2"/>
        <v>6-10-02</v>
      </c>
      <c r="M70" s="10"/>
      <c r="N70" s="10"/>
      <c r="O70" s="10"/>
      <c r="P70" s="733" t="s">
        <v>143</v>
      </c>
      <c r="Q70" s="733" t="s">
        <v>1984</v>
      </c>
      <c r="R70" s="733" t="s">
        <v>1703</v>
      </c>
      <c r="S70" s="733">
        <v>27321139</v>
      </c>
      <c r="T70" s="733">
        <v>27321139</v>
      </c>
      <c r="U70" s="733" t="s">
        <v>1485</v>
      </c>
      <c r="V70" s="733" t="s">
        <v>1486</v>
      </c>
      <c r="W70" s="691"/>
      <c r="X70" s="734" t="s">
        <v>174</v>
      </c>
      <c r="Y70" s="9"/>
      <c r="Z70" s="734"/>
      <c r="AA70" s="734" t="s">
        <v>1864</v>
      </c>
    </row>
    <row r="71" spans="1:27" ht="15.75">
      <c r="A71" s="733" t="s">
        <v>1118</v>
      </c>
      <c r="B71" s="733" t="s">
        <v>986</v>
      </c>
      <c r="D71" s="733" t="s">
        <v>986</v>
      </c>
      <c r="E71" s="733" t="s">
        <v>1118</v>
      </c>
      <c r="F71" s="733" t="s">
        <v>1245</v>
      </c>
      <c r="G71" s="733" t="s">
        <v>2554</v>
      </c>
      <c r="H71" s="733" t="s">
        <v>3</v>
      </c>
      <c r="I71" s="733" t="s">
        <v>50</v>
      </c>
      <c r="J71" s="733" t="s">
        <v>3</v>
      </c>
      <c r="K71" s="733" t="s">
        <v>3</v>
      </c>
      <c r="L71" s="10" t="str">
        <f t="shared" si="2"/>
        <v>7-01-01</v>
      </c>
      <c r="M71" s="10"/>
      <c r="N71" s="10"/>
      <c r="O71" s="10"/>
      <c r="P71" s="733" t="s">
        <v>1325</v>
      </c>
      <c r="Q71" s="733" t="s">
        <v>1984</v>
      </c>
      <c r="R71" s="733" t="s">
        <v>1487</v>
      </c>
      <c r="S71" s="733">
        <v>27950052</v>
      </c>
      <c r="T71" s="733">
        <v>27951061</v>
      </c>
      <c r="U71" s="733" t="s">
        <v>1709</v>
      </c>
      <c r="V71" s="733" t="s">
        <v>1488</v>
      </c>
      <c r="W71" s="691"/>
      <c r="X71" s="734"/>
      <c r="Y71" s="9"/>
      <c r="Z71" s="734"/>
      <c r="AA71" s="734" t="s">
        <v>1865</v>
      </c>
    </row>
    <row r="72" spans="1:27" ht="15.75">
      <c r="A72" s="733" t="s">
        <v>1123</v>
      </c>
      <c r="B72" s="733" t="s">
        <v>991</v>
      </c>
      <c r="D72" s="733" t="s">
        <v>987</v>
      </c>
      <c r="E72" s="733" t="s">
        <v>1119</v>
      </c>
      <c r="F72" s="733" t="s">
        <v>2510</v>
      </c>
      <c r="G72" s="733" t="s">
        <v>2554</v>
      </c>
      <c r="H72" s="733" t="s">
        <v>5</v>
      </c>
      <c r="I72" s="733" t="s">
        <v>50</v>
      </c>
      <c r="J72" s="733" t="s">
        <v>3</v>
      </c>
      <c r="K72" s="733" t="s">
        <v>4</v>
      </c>
      <c r="L72" s="10" t="str">
        <f t="shared" si="2"/>
        <v>7-01-02</v>
      </c>
      <c r="M72" s="10"/>
      <c r="N72" s="10"/>
      <c r="O72" s="10"/>
      <c r="P72" s="733" t="s">
        <v>1326</v>
      </c>
      <c r="Q72" s="733" t="s">
        <v>1984</v>
      </c>
      <c r="R72" s="733" t="s">
        <v>2511</v>
      </c>
      <c r="S72" s="733">
        <v>27590192</v>
      </c>
      <c r="T72" s="733"/>
      <c r="U72" s="733" t="s">
        <v>1922</v>
      </c>
      <c r="V72" s="733" t="s">
        <v>1489</v>
      </c>
      <c r="W72" s="691"/>
      <c r="X72" s="734"/>
      <c r="Y72" s="9"/>
      <c r="Z72" s="734"/>
      <c r="AA72" s="734"/>
    </row>
    <row r="73" spans="1:27" ht="15.75">
      <c r="A73" s="733" t="s">
        <v>1122</v>
      </c>
      <c r="B73" s="733" t="s">
        <v>990</v>
      </c>
      <c r="D73" s="733" t="s">
        <v>988</v>
      </c>
      <c r="E73" s="733" t="s">
        <v>1120</v>
      </c>
      <c r="F73" s="733" t="s">
        <v>2512</v>
      </c>
      <c r="G73" s="733" t="s">
        <v>139</v>
      </c>
      <c r="H73" s="733" t="s">
        <v>3</v>
      </c>
      <c r="I73" s="733" t="s">
        <v>50</v>
      </c>
      <c r="J73" s="733" t="s">
        <v>4</v>
      </c>
      <c r="K73" s="733" t="s">
        <v>3</v>
      </c>
      <c r="L73" s="10" t="str">
        <f t="shared" si="2"/>
        <v>7-02-01</v>
      </c>
      <c r="M73" s="10"/>
      <c r="N73" s="10"/>
      <c r="O73" s="10"/>
      <c r="P73" s="733" t="s">
        <v>1327</v>
      </c>
      <c r="Q73" s="733" t="s">
        <v>1984</v>
      </c>
      <c r="R73" s="733" t="s">
        <v>2584</v>
      </c>
      <c r="S73" s="733">
        <v>27100816</v>
      </c>
      <c r="T73" s="733">
        <v>27103963</v>
      </c>
      <c r="U73" s="733" t="s">
        <v>1490</v>
      </c>
      <c r="V73" s="733" t="s">
        <v>1491</v>
      </c>
      <c r="W73" s="691"/>
      <c r="X73" s="734" t="s">
        <v>96</v>
      </c>
      <c r="Y73" s="9"/>
      <c r="Z73" s="734"/>
      <c r="AA73" s="734" t="s">
        <v>1866</v>
      </c>
    </row>
    <row r="74" spans="1:27" ht="15.75">
      <c r="A74" s="733" t="s">
        <v>1119</v>
      </c>
      <c r="B74" s="733" t="s">
        <v>987</v>
      </c>
      <c r="D74" s="733" t="s">
        <v>989</v>
      </c>
      <c r="E74" s="733" t="s">
        <v>1121</v>
      </c>
      <c r="F74" s="733" t="s">
        <v>2513</v>
      </c>
      <c r="G74" s="733" t="s">
        <v>2554</v>
      </c>
      <c r="H74" s="733" t="s">
        <v>6</v>
      </c>
      <c r="I74" s="733" t="s">
        <v>50</v>
      </c>
      <c r="J74" s="733" t="s">
        <v>5</v>
      </c>
      <c r="K74" s="733" t="s">
        <v>3</v>
      </c>
      <c r="L74" s="10" t="str">
        <f t="shared" si="2"/>
        <v>7-03-01</v>
      </c>
      <c r="M74" s="10"/>
      <c r="N74" s="10"/>
      <c r="O74" s="10"/>
      <c r="P74" s="733" t="s">
        <v>116</v>
      </c>
      <c r="Q74" s="733" t="s">
        <v>1984</v>
      </c>
      <c r="R74" s="733" t="s">
        <v>1497</v>
      </c>
      <c r="S74" s="733">
        <v>27688093</v>
      </c>
      <c r="T74" s="733">
        <v>27686070</v>
      </c>
      <c r="U74" s="733" t="s">
        <v>1710</v>
      </c>
      <c r="V74" s="733" t="s">
        <v>1492</v>
      </c>
      <c r="W74" s="691"/>
      <c r="X74" s="734" t="s">
        <v>1493</v>
      </c>
      <c r="Y74" s="9"/>
      <c r="Z74" s="734"/>
      <c r="AA74" s="734" t="s">
        <v>1867</v>
      </c>
    </row>
    <row r="75" spans="1:27" ht="15.75">
      <c r="A75" s="733" t="s">
        <v>1121</v>
      </c>
      <c r="B75" s="733" t="s">
        <v>989</v>
      </c>
      <c r="D75" s="733" t="s">
        <v>990</v>
      </c>
      <c r="E75" s="733" t="s">
        <v>1122</v>
      </c>
      <c r="F75" s="733" t="s">
        <v>1246</v>
      </c>
      <c r="G75" s="733" t="s">
        <v>1752</v>
      </c>
      <c r="H75" s="733" t="s">
        <v>3</v>
      </c>
      <c r="I75" s="733" t="s">
        <v>50</v>
      </c>
      <c r="J75" s="733" t="s">
        <v>6</v>
      </c>
      <c r="K75" s="733" t="s">
        <v>3</v>
      </c>
      <c r="L75" s="10" t="str">
        <f t="shared" si="2"/>
        <v>7-04-01</v>
      </c>
      <c r="M75" s="10"/>
      <c r="N75" s="10"/>
      <c r="O75" s="10"/>
      <c r="P75" s="733" t="s">
        <v>2546</v>
      </c>
      <c r="Q75" s="733" t="s">
        <v>1984</v>
      </c>
      <c r="R75" s="733" t="s">
        <v>1494</v>
      </c>
      <c r="S75" s="733">
        <v>27510060</v>
      </c>
      <c r="T75" s="733">
        <v>27510244</v>
      </c>
      <c r="U75" s="733" t="s">
        <v>1495</v>
      </c>
      <c r="V75" s="733" t="s">
        <v>1496</v>
      </c>
      <c r="W75" s="691"/>
      <c r="X75" s="734" t="s">
        <v>121</v>
      </c>
      <c r="Y75" s="9"/>
      <c r="Z75" s="734"/>
      <c r="AA75" s="734"/>
    </row>
    <row r="76" spans="1:27" ht="15.75">
      <c r="A76" s="733" t="s">
        <v>1120</v>
      </c>
      <c r="B76" s="733" t="s">
        <v>988</v>
      </c>
      <c r="D76" s="733" t="s">
        <v>991</v>
      </c>
      <c r="E76" s="733" t="s">
        <v>1123</v>
      </c>
      <c r="F76" s="733" t="s">
        <v>1247</v>
      </c>
      <c r="G76" s="733" t="s">
        <v>2554</v>
      </c>
      <c r="H76" s="733" t="s">
        <v>12</v>
      </c>
      <c r="I76" s="733" t="s">
        <v>50</v>
      </c>
      <c r="J76" s="733" t="s">
        <v>7</v>
      </c>
      <c r="K76" s="733" t="s">
        <v>4</v>
      </c>
      <c r="L76" s="10" t="str">
        <f t="shared" si="2"/>
        <v>7-05-02</v>
      </c>
      <c r="M76" s="10"/>
      <c r="N76" s="10"/>
      <c r="O76" s="10"/>
      <c r="P76" s="733" t="s">
        <v>157</v>
      </c>
      <c r="Q76" s="733" t="s">
        <v>1984</v>
      </c>
      <c r="R76" s="733" t="s">
        <v>1923</v>
      </c>
      <c r="S76" s="733">
        <v>27186105</v>
      </c>
      <c r="T76" s="733">
        <v>27184011</v>
      </c>
      <c r="U76" s="733" t="s">
        <v>1924</v>
      </c>
      <c r="V76" s="733" t="s">
        <v>1763</v>
      </c>
      <c r="W76" s="691"/>
      <c r="X76" s="734" t="s">
        <v>91</v>
      </c>
      <c r="Y76" s="9"/>
      <c r="Z76" s="734"/>
      <c r="AA76" s="734" t="s">
        <v>1868</v>
      </c>
    </row>
    <row r="77" spans="1:27" ht="15.75">
      <c r="A77" s="733" t="s">
        <v>1124</v>
      </c>
      <c r="B77" s="733" t="s">
        <v>86</v>
      </c>
      <c r="D77" s="733" t="s">
        <v>86</v>
      </c>
      <c r="E77" s="733" t="s">
        <v>1124</v>
      </c>
      <c r="F77" s="733" t="s">
        <v>2514</v>
      </c>
      <c r="G77" s="733" t="s">
        <v>139</v>
      </c>
      <c r="H77" s="733" t="s">
        <v>6</v>
      </c>
      <c r="I77" s="733" t="s">
        <v>50</v>
      </c>
      <c r="J77" s="733" t="s">
        <v>8</v>
      </c>
      <c r="K77" s="733" t="s">
        <v>3</v>
      </c>
      <c r="L77" s="10" t="str">
        <f t="shared" si="2"/>
        <v>7-06-01</v>
      </c>
      <c r="M77" s="10"/>
      <c r="N77" s="10"/>
      <c r="O77" s="10"/>
      <c r="P77" s="733" t="s">
        <v>811</v>
      </c>
      <c r="Q77" s="733" t="s">
        <v>1984</v>
      </c>
      <c r="R77" s="733" t="s">
        <v>2577</v>
      </c>
      <c r="S77" s="733">
        <v>27167291</v>
      </c>
      <c r="T77" s="733">
        <v>27166802</v>
      </c>
      <c r="U77" s="733" t="s">
        <v>1498</v>
      </c>
      <c r="V77" s="733" t="s">
        <v>1499</v>
      </c>
      <c r="W77" s="691"/>
      <c r="X77" s="734" t="s">
        <v>284</v>
      </c>
      <c r="Y77" s="9"/>
      <c r="Z77" s="734"/>
      <c r="AA77" s="734"/>
    </row>
    <row r="78" spans="1:27" ht="15.75">
      <c r="A78" s="733" t="s">
        <v>1125</v>
      </c>
      <c r="B78" s="733" t="s">
        <v>992</v>
      </c>
      <c r="D78" s="733" t="s">
        <v>992</v>
      </c>
      <c r="E78" s="733" t="s">
        <v>1125</v>
      </c>
      <c r="F78" s="733" t="s">
        <v>1248</v>
      </c>
      <c r="G78" s="733" t="s">
        <v>111</v>
      </c>
      <c r="H78" s="733" t="s">
        <v>7</v>
      </c>
      <c r="I78" s="733" t="s">
        <v>54</v>
      </c>
      <c r="J78" s="733" t="s">
        <v>16</v>
      </c>
      <c r="K78" s="733" t="s">
        <v>3</v>
      </c>
      <c r="L78" s="10" t="str">
        <f t="shared" si="2"/>
        <v>6-11-01</v>
      </c>
      <c r="M78" s="10"/>
      <c r="N78" s="10"/>
      <c r="O78" s="10"/>
      <c r="P78" s="733" t="s">
        <v>124</v>
      </c>
      <c r="Q78" s="733" t="s">
        <v>1984</v>
      </c>
      <c r="R78" s="733" t="s">
        <v>1500</v>
      </c>
      <c r="S78" s="733">
        <v>26433694</v>
      </c>
      <c r="T78" s="733">
        <v>26433991</v>
      </c>
      <c r="U78" s="733" t="s">
        <v>1501</v>
      </c>
      <c r="V78" s="733" t="s">
        <v>1502</v>
      </c>
      <c r="W78" s="691"/>
      <c r="X78" s="734" t="s">
        <v>119</v>
      </c>
      <c r="Y78" s="9"/>
      <c r="Z78" s="734"/>
      <c r="AA78" s="734" t="s">
        <v>1869</v>
      </c>
    </row>
    <row r="79" spans="1:27" ht="15.75">
      <c r="A79" s="733" t="s">
        <v>1116</v>
      </c>
      <c r="B79" s="733" t="s">
        <v>984</v>
      </c>
      <c r="D79" s="733" t="s">
        <v>993</v>
      </c>
      <c r="E79" s="733" t="s">
        <v>1126</v>
      </c>
      <c r="F79" s="733" t="s">
        <v>1249</v>
      </c>
      <c r="G79" s="733" t="s">
        <v>43</v>
      </c>
      <c r="H79" s="733" t="s">
        <v>3</v>
      </c>
      <c r="I79" s="733" t="s">
        <v>41</v>
      </c>
      <c r="J79" s="733" t="s">
        <v>5</v>
      </c>
      <c r="K79" s="733" t="s">
        <v>13</v>
      </c>
      <c r="L79" s="10" t="str">
        <f t="shared" si="2"/>
        <v>1-03-10</v>
      </c>
      <c r="M79" s="10"/>
      <c r="N79" s="10"/>
      <c r="O79" s="10"/>
      <c r="P79" s="733" t="s">
        <v>112</v>
      </c>
      <c r="Q79" s="733" t="s">
        <v>1984</v>
      </c>
      <c r="R79" s="733" t="s">
        <v>1503</v>
      </c>
      <c r="S79" s="733">
        <v>22505502</v>
      </c>
      <c r="T79" s="733">
        <v>22505502</v>
      </c>
      <c r="U79" s="733" t="s">
        <v>1995</v>
      </c>
      <c r="V79" s="733" t="s">
        <v>1504</v>
      </c>
      <c r="W79" s="691"/>
      <c r="X79" s="734"/>
      <c r="Y79" s="9"/>
      <c r="Z79" s="734"/>
      <c r="AA79" s="734" t="s">
        <v>1870</v>
      </c>
    </row>
    <row r="80" spans="1:27" ht="15.75">
      <c r="A80" s="733" t="s">
        <v>1110</v>
      </c>
      <c r="B80" s="733" t="s">
        <v>978</v>
      </c>
      <c r="D80" s="733" t="s">
        <v>994</v>
      </c>
      <c r="E80" s="733" t="s">
        <v>1127</v>
      </c>
      <c r="F80" s="733" t="s">
        <v>1250</v>
      </c>
      <c r="G80" s="733" t="s">
        <v>64</v>
      </c>
      <c r="H80" s="733" t="s">
        <v>9</v>
      </c>
      <c r="I80" s="733" t="s">
        <v>63</v>
      </c>
      <c r="J80" s="733" t="s">
        <v>11</v>
      </c>
      <c r="K80" s="733" t="s">
        <v>3</v>
      </c>
      <c r="L80" s="10" t="str">
        <f t="shared" si="2"/>
        <v>4-08-01</v>
      </c>
      <c r="M80" s="10"/>
      <c r="N80" s="10"/>
      <c r="O80" s="10"/>
      <c r="P80" s="733" t="s">
        <v>1328</v>
      </c>
      <c r="Q80" s="733" t="s">
        <v>1984</v>
      </c>
      <c r="R80" s="733" t="s">
        <v>1505</v>
      </c>
      <c r="S80" s="733">
        <v>22654811</v>
      </c>
      <c r="T80" s="733">
        <v>22654811</v>
      </c>
      <c r="U80" s="733" t="s">
        <v>1711</v>
      </c>
      <c r="V80" s="733" t="s">
        <v>2515</v>
      </c>
      <c r="W80" s="691"/>
      <c r="X80" s="734" t="s">
        <v>1506</v>
      </c>
      <c r="Y80" s="9"/>
      <c r="Z80" s="734"/>
      <c r="AA80" s="734"/>
    </row>
    <row r="81" spans="1:27" ht="15.75">
      <c r="A81" s="733" t="s">
        <v>1078</v>
      </c>
      <c r="B81" s="733" t="s">
        <v>946</v>
      </c>
      <c r="D81" s="733" t="s">
        <v>995</v>
      </c>
      <c r="E81" s="733" t="s">
        <v>1128</v>
      </c>
      <c r="F81" s="733" t="s">
        <v>1251</v>
      </c>
      <c r="G81" s="733" t="s">
        <v>115</v>
      </c>
      <c r="H81" s="733" t="s">
        <v>4</v>
      </c>
      <c r="I81" s="733" t="s">
        <v>69</v>
      </c>
      <c r="J81" s="733" t="s">
        <v>9</v>
      </c>
      <c r="K81" s="733" t="s">
        <v>3</v>
      </c>
      <c r="L81" s="10" t="str">
        <f t="shared" si="2"/>
        <v>5-07-01</v>
      </c>
      <c r="M81" s="10"/>
      <c r="N81" s="10"/>
      <c r="O81" s="10"/>
      <c r="P81" s="733" t="s">
        <v>1329</v>
      </c>
      <c r="Q81" s="733" t="s">
        <v>1984</v>
      </c>
      <c r="R81" s="733" t="s">
        <v>2594</v>
      </c>
      <c r="S81" s="733">
        <v>26620246</v>
      </c>
      <c r="T81" s="733">
        <v>26621798</v>
      </c>
      <c r="U81" s="733" t="s">
        <v>1925</v>
      </c>
      <c r="V81" s="733" t="s">
        <v>1507</v>
      </c>
      <c r="W81" s="691"/>
      <c r="X81" s="734" t="s">
        <v>1508</v>
      </c>
      <c r="Y81" s="9"/>
      <c r="Z81" s="734"/>
      <c r="AA81" s="734" t="s">
        <v>1871</v>
      </c>
    </row>
    <row r="82" spans="1:27" ht="15.75">
      <c r="A82" s="733" t="s">
        <v>1083</v>
      </c>
      <c r="B82" s="733" t="s">
        <v>951</v>
      </c>
      <c r="D82" s="733" t="s">
        <v>996</v>
      </c>
      <c r="E82" s="733" t="s">
        <v>1129</v>
      </c>
      <c r="F82" s="733" t="s">
        <v>2516</v>
      </c>
      <c r="G82" s="733" t="s">
        <v>1748</v>
      </c>
      <c r="H82" s="733" t="s">
        <v>6</v>
      </c>
      <c r="I82" s="733" t="s">
        <v>41</v>
      </c>
      <c r="J82" s="733" t="s">
        <v>12</v>
      </c>
      <c r="K82" s="733" t="s">
        <v>5</v>
      </c>
      <c r="L82" s="10" t="str">
        <f t="shared" si="2"/>
        <v>1-09-03</v>
      </c>
      <c r="M82" s="10"/>
      <c r="N82" s="10"/>
      <c r="O82" s="10"/>
      <c r="P82" s="733" t="s">
        <v>1330</v>
      </c>
      <c r="Q82" s="733" t="s">
        <v>1984</v>
      </c>
      <c r="R82" s="733" t="s">
        <v>1712</v>
      </c>
      <c r="S82" s="733">
        <v>22036843</v>
      </c>
      <c r="T82" s="733">
        <v>22036843</v>
      </c>
      <c r="U82" s="733" t="s">
        <v>1926</v>
      </c>
      <c r="V82" s="733" t="s">
        <v>1509</v>
      </c>
      <c r="W82" s="691"/>
      <c r="X82" s="734"/>
      <c r="Y82" s="9"/>
      <c r="Z82" s="734"/>
      <c r="AA82" s="734" t="s">
        <v>1872</v>
      </c>
    </row>
    <row r="83" spans="1:27" ht="15.75">
      <c r="A83" s="733" t="s">
        <v>1129</v>
      </c>
      <c r="B83" s="733" t="s">
        <v>996</v>
      </c>
      <c r="D83" s="733" t="s">
        <v>997</v>
      </c>
      <c r="E83" s="733" t="s">
        <v>1130</v>
      </c>
      <c r="F83" s="733" t="s">
        <v>1675</v>
      </c>
      <c r="G83" s="733" t="s">
        <v>1748</v>
      </c>
      <c r="H83" s="733" t="s">
        <v>5</v>
      </c>
      <c r="I83" s="733" t="s">
        <v>41</v>
      </c>
      <c r="J83" s="733" t="s">
        <v>4</v>
      </c>
      <c r="K83" s="733" t="s">
        <v>3</v>
      </c>
      <c r="L83" s="10" t="str">
        <f t="shared" si="2"/>
        <v>1-02-01</v>
      </c>
      <c r="M83" s="10"/>
      <c r="N83" s="10"/>
      <c r="O83" s="10"/>
      <c r="P83" s="733" t="s">
        <v>147</v>
      </c>
      <c r="Q83" s="733" t="s">
        <v>1984</v>
      </c>
      <c r="R83" s="733" t="s">
        <v>2589</v>
      </c>
      <c r="S83" s="733">
        <v>40805054</v>
      </c>
      <c r="T83" s="733"/>
      <c r="U83" s="733" t="s">
        <v>1510</v>
      </c>
      <c r="V83" s="733" t="s">
        <v>1927</v>
      </c>
      <c r="W83" s="691"/>
      <c r="X83" s="734"/>
      <c r="Y83" s="9"/>
      <c r="Z83" s="734"/>
      <c r="AA83" s="734" t="s">
        <v>1873</v>
      </c>
    </row>
    <row r="84" spans="1:27" ht="15.75">
      <c r="A84" s="733" t="s">
        <v>1109</v>
      </c>
      <c r="B84" s="733" t="s">
        <v>977</v>
      </c>
      <c r="D84" s="733" t="s">
        <v>998</v>
      </c>
      <c r="E84" s="733" t="s">
        <v>1131</v>
      </c>
      <c r="F84" s="733" t="s">
        <v>1252</v>
      </c>
      <c r="G84" s="733" t="s">
        <v>70</v>
      </c>
      <c r="H84" s="733" t="s">
        <v>9</v>
      </c>
      <c r="I84" s="733" t="s">
        <v>45</v>
      </c>
      <c r="J84" s="733" t="s">
        <v>3</v>
      </c>
      <c r="K84" s="733" t="s">
        <v>16</v>
      </c>
      <c r="L84" s="10" t="str">
        <f t="shared" si="2"/>
        <v>3-01-11</v>
      </c>
      <c r="M84" s="10"/>
      <c r="N84" s="10"/>
      <c r="O84" s="10"/>
      <c r="P84" s="733" t="s">
        <v>144</v>
      </c>
      <c r="Q84" s="733" t="s">
        <v>1984</v>
      </c>
      <c r="R84" s="733" t="s">
        <v>2517</v>
      </c>
      <c r="S84" s="733">
        <v>25736828</v>
      </c>
      <c r="T84" s="733">
        <v>25739313</v>
      </c>
      <c r="U84" s="733" t="s">
        <v>1511</v>
      </c>
      <c r="V84" s="733" t="s">
        <v>2518</v>
      </c>
      <c r="W84" s="691"/>
      <c r="X84" s="734"/>
      <c r="Y84" s="9"/>
      <c r="Z84" s="734"/>
      <c r="AA84" s="734"/>
    </row>
    <row r="85" spans="1:27" ht="15.75">
      <c r="A85" s="733" t="s">
        <v>1130</v>
      </c>
      <c r="B85" s="733" t="s">
        <v>997</v>
      </c>
      <c r="D85" s="733" t="s">
        <v>999</v>
      </c>
      <c r="E85" s="733" t="s">
        <v>1132</v>
      </c>
      <c r="F85" s="733" t="s">
        <v>1253</v>
      </c>
      <c r="G85" s="733" t="s">
        <v>115</v>
      </c>
      <c r="H85" s="733" t="s">
        <v>5</v>
      </c>
      <c r="I85" s="733" t="s">
        <v>69</v>
      </c>
      <c r="J85" s="733" t="s">
        <v>11</v>
      </c>
      <c r="K85" s="733" t="s">
        <v>5</v>
      </c>
      <c r="L85" s="10" t="str">
        <f t="shared" si="2"/>
        <v>5-08-03</v>
      </c>
      <c r="M85" s="10"/>
      <c r="N85" s="10"/>
      <c r="O85" s="10"/>
      <c r="P85" s="733" t="s">
        <v>155</v>
      </c>
      <c r="Q85" s="733" t="s">
        <v>1984</v>
      </c>
      <c r="R85" s="733" t="s">
        <v>1404</v>
      </c>
      <c r="S85" s="733">
        <v>26931066</v>
      </c>
      <c r="T85" s="733">
        <v>26931066</v>
      </c>
      <c r="U85" s="733" t="s">
        <v>1512</v>
      </c>
      <c r="V85" s="733" t="s">
        <v>1513</v>
      </c>
      <c r="W85" s="691"/>
      <c r="X85" s="734"/>
      <c r="Y85" s="9"/>
      <c r="Z85" s="734"/>
      <c r="AA85" s="734" t="s">
        <v>1874</v>
      </c>
    </row>
    <row r="86" spans="1:27" ht="15.75">
      <c r="A86" s="733" t="s">
        <v>1134</v>
      </c>
      <c r="B86" s="733" t="s">
        <v>1001</v>
      </c>
      <c r="D86" s="733" t="s">
        <v>1000</v>
      </c>
      <c r="E86" s="733" t="s">
        <v>1133</v>
      </c>
      <c r="F86" s="733" t="s">
        <v>1254</v>
      </c>
      <c r="G86" s="733" t="s">
        <v>49</v>
      </c>
      <c r="H86" s="733" t="s">
        <v>4</v>
      </c>
      <c r="I86" s="733" t="s">
        <v>42</v>
      </c>
      <c r="J86" s="733" t="s">
        <v>3</v>
      </c>
      <c r="K86" s="733" t="s">
        <v>13</v>
      </c>
      <c r="L86" s="10" t="str">
        <f t="shared" si="2"/>
        <v>2-01-10</v>
      </c>
      <c r="M86" s="10"/>
      <c r="N86" s="10"/>
      <c r="O86" s="10"/>
      <c r="P86" s="733" t="s">
        <v>1331</v>
      </c>
      <c r="Q86" s="733" t="s">
        <v>1984</v>
      </c>
      <c r="R86" s="733" t="s">
        <v>2574</v>
      </c>
      <c r="S86" s="733">
        <v>24406240</v>
      </c>
      <c r="T86" s="733">
        <v>24406240</v>
      </c>
      <c r="U86" s="733" t="s">
        <v>1514</v>
      </c>
      <c r="V86" s="733" t="s">
        <v>1515</v>
      </c>
      <c r="W86" s="691"/>
      <c r="X86" s="734"/>
      <c r="Y86" s="9"/>
      <c r="Z86" s="734"/>
      <c r="AA86" s="734" t="s">
        <v>1875</v>
      </c>
    </row>
    <row r="87" spans="1:27" ht="15.75">
      <c r="A87" s="733" t="s">
        <v>1131</v>
      </c>
      <c r="B87" s="733" t="s">
        <v>998</v>
      </c>
      <c r="D87" s="733" t="s">
        <v>1001</v>
      </c>
      <c r="E87" s="733" t="s">
        <v>1134</v>
      </c>
      <c r="F87" s="733" t="s">
        <v>1255</v>
      </c>
      <c r="G87" s="733" t="s">
        <v>1747</v>
      </c>
      <c r="H87" s="733" t="s">
        <v>6</v>
      </c>
      <c r="I87" s="733" t="s">
        <v>41</v>
      </c>
      <c r="J87" s="733" t="s">
        <v>51</v>
      </c>
      <c r="K87" s="733" t="s">
        <v>6</v>
      </c>
      <c r="L87" s="10" t="str">
        <f t="shared" si="2"/>
        <v>1-18-04</v>
      </c>
      <c r="M87" s="10"/>
      <c r="N87" s="10"/>
      <c r="O87" s="10"/>
      <c r="P87" s="733" t="s">
        <v>1713</v>
      </c>
      <c r="Q87" s="733" t="s">
        <v>1984</v>
      </c>
      <c r="R87" s="733" t="s">
        <v>1928</v>
      </c>
      <c r="S87" s="733">
        <v>22765536</v>
      </c>
      <c r="T87" s="733">
        <v>22765536</v>
      </c>
      <c r="U87" s="733" t="s">
        <v>1714</v>
      </c>
      <c r="V87" s="733" t="s">
        <v>1516</v>
      </c>
      <c r="W87" s="691"/>
      <c r="X87" s="734" t="s">
        <v>1517</v>
      </c>
      <c r="Y87" s="9"/>
      <c r="Z87" s="734"/>
      <c r="AA87" s="734" t="s">
        <v>1876</v>
      </c>
    </row>
    <row r="88" spans="1:27" ht="15.75">
      <c r="A88" s="733" t="s">
        <v>1133</v>
      </c>
      <c r="B88" s="733" t="s">
        <v>1000</v>
      </c>
      <c r="D88" s="733" t="s">
        <v>1002</v>
      </c>
      <c r="E88" s="733" t="s">
        <v>1135</v>
      </c>
      <c r="F88" s="733" t="s">
        <v>1256</v>
      </c>
      <c r="G88" s="733" t="s">
        <v>49</v>
      </c>
      <c r="H88" s="733" t="s">
        <v>3</v>
      </c>
      <c r="I88" s="733" t="s">
        <v>42</v>
      </c>
      <c r="J88" s="733" t="s">
        <v>3</v>
      </c>
      <c r="K88" s="733" t="s">
        <v>5</v>
      </c>
      <c r="L88" s="10" t="str">
        <f t="shared" si="2"/>
        <v>2-01-03</v>
      </c>
      <c r="M88" s="10"/>
      <c r="N88" s="10"/>
      <c r="O88" s="10"/>
      <c r="P88" s="733" t="s">
        <v>1332</v>
      </c>
      <c r="Q88" s="733" t="s">
        <v>1984</v>
      </c>
      <c r="R88" s="733" t="s">
        <v>1518</v>
      </c>
      <c r="S88" s="733">
        <v>24830391</v>
      </c>
      <c r="T88" s="733">
        <v>24830055</v>
      </c>
      <c r="U88" s="733" t="s">
        <v>1929</v>
      </c>
      <c r="V88" s="733" t="s">
        <v>1519</v>
      </c>
      <c r="W88" s="691"/>
      <c r="X88" s="734"/>
      <c r="Y88" s="9"/>
      <c r="Z88" s="734" t="s">
        <v>1773</v>
      </c>
      <c r="AA88" s="734" t="s">
        <v>1877</v>
      </c>
    </row>
    <row r="89" spans="1:27" ht="15.75">
      <c r="A89" s="733" t="s">
        <v>1132</v>
      </c>
      <c r="B89" s="733" t="s">
        <v>999</v>
      </c>
      <c r="D89" s="733" t="s">
        <v>1003</v>
      </c>
      <c r="E89" s="733" t="s">
        <v>1136</v>
      </c>
      <c r="F89" s="733" t="s">
        <v>1257</v>
      </c>
      <c r="G89" s="733" t="s">
        <v>1747</v>
      </c>
      <c r="H89" s="733" t="s">
        <v>6</v>
      </c>
      <c r="I89" s="733" t="s">
        <v>41</v>
      </c>
      <c r="J89" s="733" t="s">
        <v>51</v>
      </c>
      <c r="K89" s="733" t="s">
        <v>4</v>
      </c>
      <c r="L89" s="10" t="str">
        <f t="shared" si="2"/>
        <v>1-18-02</v>
      </c>
      <c r="M89" s="10"/>
      <c r="N89" s="10"/>
      <c r="O89" s="10"/>
      <c r="P89" s="733" t="s">
        <v>906</v>
      </c>
      <c r="Q89" s="733" t="s">
        <v>1984</v>
      </c>
      <c r="R89" s="733" t="s">
        <v>1764</v>
      </c>
      <c r="S89" s="733">
        <v>27738916</v>
      </c>
      <c r="T89" s="733">
        <v>22738916</v>
      </c>
      <c r="U89" s="733" t="s">
        <v>1715</v>
      </c>
      <c r="V89" s="733" t="s">
        <v>1520</v>
      </c>
      <c r="W89" s="691"/>
      <c r="X89" s="734"/>
      <c r="Y89" s="9"/>
      <c r="Z89" s="734"/>
      <c r="AA89" s="734" t="s">
        <v>1878</v>
      </c>
    </row>
    <row r="90" spans="1:27" ht="15.75">
      <c r="A90" s="733" t="s">
        <v>1137</v>
      </c>
      <c r="B90" s="733" t="s">
        <v>1004</v>
      </c>
      <c r="D90" s="733" t="s">
        <v>1004</v>
      </c>
      <c r="E90" s="733" t="s">
        <v>1137</v>
      </c>
      <c r="F90" s="733" t="s">
        <v>1258</v>
      </c>
      <c r="G90" s="733" t="s">
        <v>43</v>
      </c>
      <c r="H90" s="733" t="s">
        <v>4</v>
      </c>
      <c r="I90" s="733" t="s">
        <v>41</v>
      </c>
      <c r="J90" s="733" t="s">
        <v>5</v>
      </c>
      <c r="K90" s="733" t="s">
        <v>18</v>
      </c>
      <c r="L90" s="10" t="str">
        <f t="shared" si="2"/>
        <v>1-03-13</v>
      </c>
      <c r="M90" s="10"/>
      <c r="N90" s="10"/>
      <c r="O90" s="10"/>
      <c r="P90" s="733" t="s">
        <v>1333</v>
      </c>
      <c r="Q90" s="733" t="s">
        <v>1984</v>
      </c>
      <c r="R90" s="733" t="s">
        <v>1521</v>
      </c>
      <c r="S90" s="733">
        <v>22702273</v>
      </c>
      <c r="T90" s="733">
        <v>22701419</v>
      </c>
      <c r="U90" s="733" t="s">
        <v>1522</v>
      </c>
      <c r="V90" s="733" t="s">
        <v>1523</v>
      </c>
      <c r="W90" s="691"/>
      <c r="X90" s="734"/>
      <c r="Y90" s="9"/>
      <c r="Z90" s="734"/>
      <c r="AA90" s="734" t="s">
        <v>1879</v>
      </c>
    </row>
    <row r="91" spans="1:27" ht="15.75">
      <c r="A91" s="733" t="s">
        <v>1135</v>
      </c>
      <c r="B91" s="733" t="s">
        <v>1002</v>
      </c>
      <c r="D91" s="733" t="s">
        <v>120</v>
      </c>
      <c r="E91" s="8" t="s">
        <v>1661</v>
      </c>
      <c r="F91" s="733" t="s">
        <v>2548</v>
      </c>
      <c r="G91" s="733" t="s">
        <v>70</v>
      </c>
      <c r="H91" s="733" t="s">
        <v>9</v>
      </c>
      <c r="I91" s="733" t="s">
        <v>45</v>
      </c>
      <c r="J91" s="733" t="s">
        <v>3</v>
      </c>
      <c r="K91" s="733" t="s">
        <v>7</v>
      </c>
      <c r="L91" s="10" t="str">
        <f t="shared" si="2"/>
        <v>3-01-05</v>
      </c>
      <c r="M91" s="10"/>
      <c r="N91" s="10"/>
      <c r="O91" s="10"/>
      <c r="P91" s="733" t="s">
        <v>145</v>
      </c>
      <c r="Q91" s="733" t="s">
        <v>893</v>
      </c>
      <c r="R91" s="733" t="s">
        <v>1524</v>
      </c>
      <c r="S91" s="733">
        <v>25529600</v>
      </c>
      <c r="T91" s="733">
        <v>83841467</v>
      </c>
      <c r="U91" s="733" t="s">
        <v>1525</v>
      </c>
      <c r="V91" s="733" t="s">
        <v>1526</v>
      </c>
      <c r="W91" s="691"/>
      <c r="X91" s="734"/>
      <c r="Y91" s="9"/>
      <c r="Z91" s="734"/>
      <c r="AA91" s="734"/>
    </row>
    <row r="92" spans="1:27" ht="15.75">
      <c r="A92" s="733" t="s">
        <v>1136</v>
      </c>
      <c r="B92" s="733" t="s">
        <v>1003</v>
      </c>
      <c r="D92" s="733" t="s">
        <v>1005</v>
      </c>
      <c r="E92" s="733" t="s">
        <v>1138</v>
      </c>
      <c r="F92" s="733" t="s">
        <v>1259</v>
      </c>
      <c r="G92" s="733" t="s">
        <v>1749</v>
      </c>
      <c r="H92" s="733" t="s">
        <v>8</v>
      </c>
      <c r="I92" s="733" t="s">
        <v>41</v>
      </c>
      <c r="J92" s="733" t="s">
        <v>16</v>
      </c>
      <c r="K92" s="733" t="s">
        <v>6</v>
      </c>
      <c r="L92" s="10" t="str">
        <f t="shared" si="2"/>
        <v>1-11-04</v>
      </c>
      <c r="M92" s="10"/>
      <c r="N92" s="10"/>
      <c r="O92" s="10"/>
      <c r="P92" s="733" t="s">
        <v>1334</v>
      </c>
      <c r="Q92" s="733" t="s">
        <v>1984</v>
      </c>
      <c r="R92" s="733" t="s">
        <v>1527</v>
      </c>
      <c r="S92" s="733">
        <v>22293801</v>
      </c>
      <c r="T92" s="733">
        <v>22293801</v>
      </c>
      <c r="U92" s="733" t="s">
        <v>1528</v>
      </c>
      <c r="V92" s="733" t="s">
        <v>1529</v>
      </c>
      <c r="W92" s="691"/>
      <c r="X92" s="734"/>
      <c r="Y92" s="9"/>
      <c r="Z92" s="734"/>
      <c r="AA92" s="734" t="s">
        <v>1880</v>
      </c>
    </row>
    <row r="93" spans="1:27" ht="15.75">
      <c r="A93" s="733" t="s">
        <v>1138</v>
      </c>
      <c r="B93" s="733" t="s">
        <v>1005</v>
      </c>
      <c r="D93" s="733" t="s">
        <v>1006</v>
      </c>
      <c r="E93" s="733" t="s">
        <v>1139</v>
      </c>
      <c r="F93" s="733" t="s">
        <v>1260</v>
      </c>
      <c r="G93" s="733" t="s">
        <v>64</v>
      </c>
      <c r="H93" s="733" t="s">
        <v>6</v>
      </c>
      <c r="I93" s="733" t="s">
        <v>63</v>
      </c>
      <c r="J93" s="733" t="s">
        <v>4</v>
      </c>
      <c r="K93" s="733" t="s">
        <v>4</v>
      </c>
      <c r="L93" s="10" t="str">
        <f t="shared" si="2"/>
        <v>4-02-02</v>
      </c>
      <c r="M93" s="10"/>
      <c r="N93" s="10"/>
      <c r="O93" s="10"/>
      <c r="P93" s="733" t="s">
        <v>88</v>
      </c>
      <c r="Q93" s="733" t="s">
        <v>1984</v>
      </c>
      <c r="R93" s="733" t="s">
        <v>1530</v>
      </c>
      <c r="S93" s="733">
        <v>22382053</v>
      </c>
      <c r="T93" s="733">
        <v>22385053</v>
      </c>
      <c r="U93" s="733" t="s">
        <v>1930</v>
      </c>
      <c r="V93" s="733" t="s">
        <v>1531</v>
      </c>
      <c r="W93" s="691"/>
      <c r="X93" s="734"/>
      <c r="Y93" s="9"/>
      <c r="Z93" s="734"/>
      <c r="AA93" s="734" t="s">
        <v>1881</v>
      </c>
    </row>
    <row r="94" spans="1:27" ht="15.75">
      <c r="A94" s="733" t="s">
        <v>1141</v>
      </c>
      <c r="B94" s="733" t="s">
        <v>1008</v>
      </c>
      <c r="D94" s="733" t="s">
        <v>1007</v>
      </c>
      <c r="E94" s="733" t="s">
        <v>1140</v>
      </c>
      <c r="F94" s="733" t="s">
        <v>1261</v>
      </c>
      <c r="G94" s="733" t="s">
        <v>75</v>
      </c>
      <c r="H94" s="733" t="s">
        <v>7</v>
      </c>
      <c r="I94" s="733" t="s">
        <v>41</v>
      </c>
      <c r="J94" s="733" t="s">
        <v>17</v>
      </c>
      <c r="K94" s="733" t="s">
        <v>5</v>
      </c>
      <c r="L94" s="10" t="str">
        <f t="shared" si="2"/>
        <v>1-12-03</v>
      </c>
      <c r="M94" s="10"/>
      <c r="N94" s="10"/>
      <c r="O94" s="10"/>
      <c r="P94" s="733" t="s">
        <v>89</v>
      </c>
      <c r="Q94" s="733" t="s">
        <v>1984</v>
      </c>
      <c r="R94" s="733" t="s">
        <v>1532</v>
      </c>
      <c r="S94" s="733">
        <v>24184409</v>
      </c>
      <c r="T94" s="733">
        <v>24184409</v>
      </c>
      <c r="U94" s="733" t="s">
        <v>1716</v>
      </c>
      <c r="V94" s="733" t="s">
        <v>1533</v>
      </c>
      <c r="W94" s="691"/>
      <c r="X94" s="734"/>
      <c r="Y94" s="9"/>
      <c r="Z94" s="734"/>
      <c r="AA94" s="734" t="s">
        <v>1882</v>
      </c>
    </row>
    <row r="95" spans="1:27" ht="15.75">
      <c r="A95" s="733" t="s">
        <v>1145</v>
      </c>
      <c r="B95" s="733" t="s">
        <v>1012</v>
      </c>
      <c r="D95" s="733" t="s">
        <v>1008</v>
      </c>
      <c r="E95" s="733" t="s">
        <v>1141</v>
      </c>
      <c r="F95" s="733" t="s">
        <v>1262</v>
      </c>
      <c r="G95" s="733" t="s">
        <v>48</v>
      </c>
      <c r="H95" s="733" t="s">
        <v>8</v>
      </c>
      <c r="I95" s="733" t="s">
        <v>42</v>
      </c>
      <c r="J95" s="733" t="s">
        <v>9</v>
      </c>
      <c r="K95" s="733" t="s">
        <v>8</v>
      </c>
      <c r="L95" s="10" t="str">
        <f t="shared" si="2"/>
        <v>2-07-06</v>
      </c>
      <c r="M95" s="10"/>
      <c r="N95" s="10"/>
      <c r="O95" s="10"/>
      <c r="P95" s="733" t="s">
        <v>1335</v>
      </c>
      <c r="Q95" s="733" t="s">
        <v>1984</v>
      </c>
      <c r="R95" s="733" t="s">
        <v>1534</v>
      </c>
      <c r="S95" s="733">
        <v>24533107</v>
      </c>
      <c r="T95" s="733">
        <v>24533148</v>
      </c>
      <c r="U95" s="733" t="s">
        <v>1535</v>
      </c>
      <c r="V95" s="733" t="s">
        <v>1536</v>
      </c>
      <c r="W95" s="691"/>
      <c r="X95" s="734"/>
      <c r="Y95" s="9"/>
      <c r="Z95" s="734"/>
      <c r="AA95" s="734" t="s">
        <v>1883</v>
      </c>
    </row>
    <row r="96" spans="1:27" ht="15.75">
      <c r="A96" s="733" t="s">
        <v>1139</v>
      </c>
      <c r="B96" s="733" t="s">
        <v>1006</v>
      </c>
      <c r="D96" s="733" t="s">
        <v>1009</v>
      </c>
      <c r="E96" s="733" t="s">
        <v>1142</v>
      </c>
      <c r="F96" s="733" t="s">
        <v>1263</v>
      </c>
      <c r="G96" s="733" t="s">
        <v>49</v>
      </c>
      <c r="H96" s="733" t="s">
        <v>5</v>
      </c>
      <c r="I96" s="733" t="s">
        <v>42</v>
      </c>
      <c r="J96" s="733" t="s">
        <v>3</v>
      </c>
      <c r="K96" s="733" t="s">
        <v>9</v>
      </c>
      <c r="L96" s="10" t="str">
        <f t="shared" si="2"/>
        <v>2-01-07</v>
      </c>
      <c r="M96" s="10"/>
      <c r="N96" s="10"/>
      <c r="O96" s="10"/>
      <c r="P96" s="733" t="s">
        <v>95</v>
      </c>
      <c r="Q96" s="733" t="s">
        <v>1984</v>
      </c>
      <c r="R96" s="733" t="s">
        <v>2565</v>
      </c>
      <c r="S96" s="733">
        <v>24495598</v>
      </c>
      <c r="T96" s="733">
        <v>24495598</v>
      </c>
      <c r="U96" s="733" t="s">
        <v>1537</v>
      </c>
      <c r="V96" s="733" t="s">
        <v>1996</v>
      </c>
      <c r="W96" s="691"/>
      <c r="X96" s="734" t="s">
        <v>1538</v>
      </c>
      <c r="Y96" s="9"/>
      <c r="Z96" s="734"/>
      <c r="AA96" s="734"/>
    </row>
    <row r="97" spans="1:27" ht="15.75">
      <c r="A97" s="733" t="s">
        <v>1140</v>
      </c>
      <c r="B97" s="733" t="s">
        <v>1007</v>
      </c>
      <c r="D97" s="733" t="s">
        <v>1010</v>
      </c>
      <c r="E97" s="733" t="s">
        <v>1143</v>
      </c>
      <c r="F97" s="733" t="s">
        <v>1264</v>
      </c>
      <c r="G97" s="733" t="s">
        <v>49</v>
      </c>
      <c r="H97" s="733" t="s">
        <v>9</v>
      </c>
      <c r="I97" s="733" t="s">
        <v>42</v>
      </c>
      <c r="J97" s="733" t="s">
        <v>11</v>
      </c>
      <c r="K97" s="733" t="s">
        <v>5</v>
      </c>
      <c r="L97" s="10" t="str">
        <f t="shared" si="2"/>
        <v>2-08-03</v>
      </c>
      <c r="M97" s="10"/>
      <c r="N97" s="10"/>
      <c r="O97" s="10"/>
      <c r="P97" s="733" t="s">
        <v>58</v>
      </c>
      <c r="Q97" s="733" t="s">
        <v>1984</v>
      </c>
      <c r="R97" s="733" t="s">
        <v>1539</v>
      </c>
      <c r="S97" s="733">
        <v>21006431</v>
      </c>
      <c r="T97" s="733">
        <v>24383132</v>
      </c>
      <c r="U97" s="733" t="s">
        <v>1717</v>
      </c>
      <c r="V97" s="733" t="s">
        <v>1540</v>
      </c>
      <c r="W97" s="691"/>
      <c r="X97" s="734"/>
      <c r="Y97" s="9"/>
      <c r="Z97" s="734"/>
      <c r="AA97" s="734"/>
    </row>
    <row r="98" spans="1:27" ht="15.75">
      <c r="A98" s="733" t="s">
        <v>1144</v>
      </c>
      <c r="B98" s="733" t="s">
        <v>1011</v>
      </c>
      <c r="D98" s="733" t="s">
        <v>1011</v>
      </c>
      <c r="E98" s="733" t="s">
        <v>1144</v>
      </c>
      <c r="F98" s="733" t="s">
        <v>1265</v>
      </c>
      <c r="G98" s="733" t="s">
        <v>49</v>
      </c>
      <c r="H98" s="733" t="s">
        <v>8</v>
      </c>
      <c r="I98" s="733" t="s">
        <v>42</v>
      </c>
      <c r="J98" s="733" t="s">
        <v>5</v>
      </c>
      <c r="K98" s="733" t="s">
        <v>11</v>
      </c>
      <c r="L98" s="10" t="str">
        <f t="shared" si="2"/>
        <v>2-03-08</v>
      </c>
      <c r="M98" s="10"/>
      <c r="N98" s="10"/>
      <c r="O98" s="10"/>
      <c r="P98" s="733" t="s">
        <v>47</v>
      </c>
      <c r="Q98" s="733" t="s">
        <v>1984</v>
      </c>
      <c r="R98" s="733" t="s">
        <v>1541</v>
      </c>
      <c r="S98" s="733">
        <v>24941493</v>
      </c>
      <c r="T98" s="733">
        <v>24941493</v>
      </c>
      <c r="U98" s="733" t="s">
        <v>1542</v>
      </c>
      <c r="V98" s="733" t="s">
        <v>1543</v>
      </c>
      <c r="W98" s="691"/>
      <c r="X98" s="734"/>
      <c r="Y98" s="9"/>
      <c r="Z98" s="734"/>
      <c r="AA98" s="734"/>
    </row>
    <row r="99" spans="1:27" ht="15.75">
      <c r="A99" s="733" t="s">
        <v>1142</v>
      </c>
      <c r="B99" s="733" t="s">
        <v>1009</v>
      </c>
      <c r="D99" s="733" t="s">
        <v>1012</v>
      </c>
      <c r="E99" s="733" t="s">
        <v>1145</v>
      </c>
      <c r="F99" s="733" t="s">
        <v>1266</v>
      </c>
      <c r="G99" s="733" t="s">
        <v>70</v>
      </c>
      <c r="H99" s="733" t="s">
        <v>4</v>
      </c>
      <c r="I99" s="733" t="s">
        <v>45</v>
      </c>
      <c r="J99" s="733" t="s">
        <v>3</v>
      </c>
      <c r="K99" s="733" t="s">
        <v>12</v>
      </c>
      <c r="L99" s="10" t="str">
        <f t="shared" ref="L99:L130" si="3">CONCATENATE(I99,"-",J99,"-",K99)</f>
        <v>3-01-09</v>
      </c>
      <c r="M99" s="10"/>
      <c r="N99" s="10"/>
      <c r="O99" s="10"/>
      <c r="P99" s="733" t="s">
        <v>87</v>
      </c>
      <c r="Q99" s="733" t="s">
        <v>1984</v>
      </c>
      <c r="R99" s="733" t="s">
        <v>1544</v>
      </c>
      <c r="S99" s="733">
        <v>25536190</v>
      </c>
      <c r="T99" s="733">
        <v>25536190</v>
      </c>
      <c r="U99" s="733" t="s">
        <v>1545</v>
      </c>
      <c r="V99" s="733" t="s">
        <v>2519</v>
      </c>
      <c r="W99" s="691"/>
      <c r="X99" s="734"/>
      <c r="Y99" s="9"/>
      <c r="Z99" s="734"/>
      <c r="AA99" s="734" t="s">
        <v>1884</v>
      </c>
    </row>
    <row r="100" spans="1:27" ht="15.75">
      <c r="A100" s="733" t="s">
        <v>1143</v>
      </c>
      <c r="B100" s="733" t="s">
        <v>1010</v>
      </c>
      <c r="D100" s="733" t="s">
        <v>1013</v>
      </c>
      <c r="E100" s="733" t="s">
        <v>1146</v>
      </c>
      <c r="F100" s="733" t="s">
        <v>1267</v>
      </c>
      <c r="G100" s="733" t="s">
        <v>49</v>
      </c>
      <c r="H100" s="733" t="s">
        <v>11</v>
      </c>
      <c r="I100" s="733" t="s">
        <v>42</v>
      </c>
      <c r="J100" s="733" t="s">
        <v>7</v>
      </c>
      <c r="K100" s="733" t="s">
        <v>9</v>
      </c>
      <c r="L100" s="10" t="str">
        <f t="shared" si="3"/>
        <v>2-05-07</v>
      </c>
      <c r="M100" s="10"/>
      <c r="N100" s="10"/>
      <c r="O100" s="10"/>
      <c r="P100" s="733" t="s">
        <v>127</v>
      </c>
      <c r="Q100" s="733" t="s">
        <v>1984</v>
      </c>
      <c r="R100" s="733" t="s">
        <v>2560</v>
      </c>
      <c r="S100" s="733">
        <v>24460703</v>
      </c>
      <c r="T100" s="733">
        <v>24460703</v>
      </c>
      <c r="U100" s="733" t="s">
        <v>1931</v>
      </c>
      <c r="V100" s="733" t="s">
        <v>1546</v>
      </c>
      <c r="W100" s="691"/>
      <c r="X100" s="734"/>
      <c r="Y100" s="9"/>
      <c r="Z100" s="734"/>
      <c r="AA100" s="734"/>
    </row>
    <row r="101" spans="1:27" ht="15.75">
      <c r="A101" s="733" t="s">
        <v>1154</v>
      </c>
      <c r="B101" s="733" t="s">
        <v>1021</v>
      </c>
      <c r="D101" s="733" t="s">
        <v>1014</v>
      </c>
      <c r="E101" s="733" t="s">
        <v>1147</v>
      </c>
      <c r="F101" s="733" t="s">
        <v>1268</v>
      </c>
      <c r="G101" s="733" t="s">
        <v>104</v>
      </c>
      <c r="H101" s="733" t="s">
        <v>4</v>
      </c>
      <c r="I101" s="733" t="s">
        <v>41</v>
      </c>
      <c r="J101" s="733" t="s">
        <v>105</v>
      </c>
      <c r="K101" s="733" t="s">
        <v>3</v>
      </c>
      <c r="L101" s="10" t="str">
        <f t="shared" si="3"/>
        <v>1-19-01</v>
      </c>
      <c r="M101" s="10"/>
      <c r="N101" s="10"/>
      <c r="O101" s="10"/>
      <c r="P101" s="733" t="s">
        <v>1336</v>
      </c>
      <c r="Q101" s="733" t="s">
        <v>1984</v>
      </c>
      <c r="R101" s="733" t="s">
        <v>2520</v>
      </c>
      <c r="S101" s="733">
        <v>27714243</v>
      </c>
      <c r="T101" s="733">
        <v>27714243</v>
      </c>
      <c r="U101" s="733" t="s">
        <v>1765</v>
      </c>
      <c r="V101" s="733" t="s">
        <v>1547</v>
      </c>
      <c r="W101" s="691"/>
      <c r="X101" s="734" t="s">
        <v>1548</v>
      </c>
      <c r="Y101" s="9"/>
      <c r="Z101" s="734"/>
      <c r="AA101" s="734" t="s">
        <v>2599</v>
      </c>
    </row>
    <row r="102" spans="1:27" ht="15.75">
      <c r="A102" s="733" t="s">
        <v>1155</v>
      </c>
      <c r="B102" s="733" t="s">
        <v>1022</v>
      </c>
      <c r="D102" s="733" t="s">
        <v>1015</v>
      </c>
      <c r="E102" s="733" t="s">
        <v>1148</v>
      </c>
      <c r="F102" s="733" t="s">
        <v>1269</v>
      </c>
      <c r="G102" s="733" t="s">
        <v>70</v>
      </c>
      <c r="H102" s="733" t="s">
        <v>7</v>
      </c>
      <c r="I102" s="733" t="s">
        <v>45</v>
      </c>
      <c r="J102" s="733" t="s">
        <v>4</v>
      </c>
      <c r="K102" s="733" t="s">
        <v>7</v>
      </c>
      <c r="L102" s="10" t="str">
        <f t="shared" si="3"/>
        <v>3-02-05</v>
      </c>
      <c r="M102" s="10"/>
      <c r="N102" s="10"/>
      <c r="O102" s="10"/>
      <c r="P102" s="733" t="s">
        <v>137</v>
      </c>
      <c r="Q102" s="733" t="s">
        <v>1984</v>
      </c>
      <c r="R102" s="733" t="s">
        <v>1549</v>
      </c>
      <c r="S102" s="733">
        <v>25745990</v>
      </c>
      <c r="T102" s="733">
        <v>25745990</v>
      </c>
      <c r="U102" s="733" t="s">
        <v>1550</v>
      </c>
      <c r="V102" s="733" t="s">
        <v>1551</v>
      </c>
      <c r="W102" s="691"/>
      <c r="X102" s="734"/>
      <c r="Y102" s="9"/>
      <c r="Z102" s="734"/>
      <c r="AA102" s="734" t="s">
        <v>1885</v>
      </c>
    </row>
    <row r="103" spans="1:27" ht="15.75">
      <c r="A103" s="733" t="s">
        <v>1156</v>
      </c>
      <c r="B103" s="733" t="s">
        <v>1023</v>
      </c>
      <c r="D103" s="733" t="s">
        <v>1016</v>
      </c>
      <c r="E103" s="733" t="s">
        <v>1149</v>
      </c>
      <c r="F103" s="733" t="s">
        <v>1270</v>
      </c>
      <c r="G103" s="733" t="s">
        <v>1749</v>
      </c>
      <c r="H103" s="733" t="s">
        <v>7</v>
      </c>
      <c r="I103" s="733" t="s">
        <v>41</v>
      </c>
      <c r="J103" s="733" t="s">
        <v>66</v>
      </c>
      <c r="K103" s="733" t="s">
        <v>4</v>
      </c>
      <c r="L103" s="10" t="str">
        <f t="shared" si="3"/>
        <v>1-14-02</v>
      </c>
      <c r="M103" s="10"/>
      <c r="N103" s="10"/>
      <c r="O103" s="10"/>
      <c r="P103" s="733" t="s">
        <v>77</v>
      </c>
      <c r="Q103" s="733" t="s">
        <v>1984</v>
      </c>
      <c r="R103" s="733" t="s">
        <v>2597</v>
      </c>
      <c r="S103" s="733">
        <v>22947119</v>
      </c>
      <c r="T103" s="733"/>
      <c r="U103" s="733" t="s">
        <v>1552</v>
      </c>
      <c r="V103" s="733" t="s">
        <v>1553</v>
      </c>
      <c r="W103" s="691"/>
      <c r="X103" s="734"/>
      <c r="Y103" s="9"/>
      <c r="Z103" s="734"/>
      <c r="AA103" s="734" t="s">
        <v>1886</v>
      </c>
    </row>
    <row r="104" spans="1:27" ht="15.75">
      <c r="A104" s="733" t="s">
        <v>1150</v>
      </c>
      <c r="B104" s="733" t="s">
        <v>1017</v>
      </c>
      <c r="D104" s="733" t="s">
        <v>1017</v>
      </c>
      <c r="E104" s="733" t="s">
        <v>1150</v>
      </c>
      <c r="F104" s="733" t="s">
        <v>2522</v>
      </c>
      <c r="G104" s="733" t="s">
        <v>43</v>
      </c>
      <c r="H104" s="733" t="s">
        <v>3</v>
      </c>
      <c r="I104" s="733" t="s">
        <v>41</v>
      </c>
      <c r="J104" s="733" t="s">
        <v>5</v>
      </c>
      <c r="K104" s="733" t="s">
        <v>9</v>
      </c>
      <c r="L104" s="10" t="str">
        <f t="shared" si="3"/>
        <v>1-03-07</v>
      </c>
      <c r="M104" s="10"/>
      <c r="N104" s="10"/>
      <c r="O104" s="10"/>
      <c r="P104" s="733" t="s">
        <v>83</v>
      </c>
      <c r="Q104" s="733" t="s">
        <v>1984</v>
      </c>
      <c r="R104" s="733" t="s">
        <v>1718</v>
      </c>
      <c r="S104" s="733">
        <v>22743185</v>
      </c>
      <c r="T104" s="733">
        <v>22743185</v>
      </c>
      <c r="U104" s="733" t="s">
        <v>1997</v>
      </c>
      <c r="V104" s="733" t="s">
        <v>1719</v>
      </c>
      <c r="W104" s="691"/>
      <c r="X104" s="734" t="s">
        <v>1554</v>
      </c>
      <c r="Y104" s="9"/>
      <c r="Z104" s="734"/>
      <c r="AA104" s="734"/>
    </row>
    <row r="105" spans="1:27" ht="15.75">
      <c r="A105" s="733" t="s">
        <v>1151</v>
      </c>
      <c r="B105" s="733" t="s">
        <v>1018</v>
      </c>
      <c r="D105" s="733" t="s">
        <v>1018</v>
      </c>
      <c r="E105" s="733" t="s">
        <v>1151</v>
      </c>
      <c r="F105" s="733" t="s">
        <v>1271</v>
      </c>
      <c r="G105" s="733" t="s">
        <v>1749</v>
      </c>
      <c r="H105" s="733" t="s">
        <v>4</v>
      </c>
      <c r="I105" s="733" t="s">
        <v>41</v>
      </c>
      <c r="J105" s="733" t="s">
        <v>11</v>
      </c>
      <c r="K105" s="733" t="s">
        <v>9</v>
      </c>
      <c r="L105" s="10" t="str">
        <f t="shared" si="3"/>
        <v>1-08-07</v>
      </c>
      <c r="M105" s="10"/>
      <c r="N105" s="10"/>
      <c r="O105" s="10"/>
      <c r="P105" s="733" t="s">
        <v>97</v>
      </c>
      <c r="Q105" s="733" t="s">
        <v>1984</v>
      </c>
      <c r="R105" s="733" t="s">
        <v>1998</v>
      </c>
      <c r="S105" s="733">
        <v>22451046</v>
      </c>
      <c r="T105" s="733"/>
      <c r="U105" s="733" t="s">
        <v>1555</v>
      </c>
      <c r="V105" s="733" t="s">
        <v>1766</v>
      </c>
      <c r="W105" s="691"/>
      <c r="X105" s="734" t="s">
        <v>1556</v>
      </c>
      <c r="Y105" s="9"/>
      <c r="Z105" s="734" t="s">
        <v>1773</v>
      </c>
      <c r="AA105" s="734" t="s">
        <v>1887</v>
      </c>
    </row>
    <row r="106" spans="1:27" ht="15.75">
      <c r="A106" s="733" t="s">
        <v>1149</v>
      </c>
      <c r="B106" s="733" t="s">
        <v>1016</v>
      </c>
      <c r="D106" s="733" t="s">
        <v>1019</v>
      </c>
      <c r="E106" s="733" t="s">
        <v>1152</v>
      </c>
      <c r="F106" s="733" t="s">
        <v>1272</v>
      </c>
      <c r="G106" s="733" t="s">
        <v>70</v>
      </c>
      <c r="H106" s="733" t="s">
        <v>6</v>
      </c>
      <c r="I106" s="733" t="s">
        <v>45</v>
      </c>
      <c r="J106" s="733" t="s">
        <v>9</v>
      </c>
      <c r="K106" s="733" t="s">
        <v>3</v>
      </c>
      <c r="L106" s="10" t="str">
        <f t="shared" si="3"/>
        <v>3-07-01</v>
      </c>
      <c r="M106" s="10"/>
      <c r="N106" s="10"/>
      <c r="O106" s="10"/>
      <c r="P106" s="733" t="s">
        <v>57</v>
      </c>
      <c r="Q106" s="733" t="s">
        <v>1984</v>
      </c>
      <c r="R106" s="733" t="s">
        <v>1720</v>
      </c>
      <c r="S106" s="733">
        <v>25912973</v>
      </c>
      <c r="T106" s="733">
        <v>83698615</v>
      </c>
      <c r="U106" s="733" t="s">
        <v>1557</v>
      </c>
      <c r="V106" s="733" t="s">
        <v>1558</v>
      </c>
      <c r="W106" s="691"/>
      <c r="X106" s="734"/>
      <c r="Y106" s="9"/>
      <c r="Z106" s="734"/>
      <c r="AA106" s="734"/>
    </row>
    <row r="107" spans="1:27" ht="15.75">
      <c r="A107" s="733" t="s">
        <v>1157</v>
      </c>
      <c r="B107" s="733" t="s">
        <v>1024</v>
      </c>
      <c r="D107" s="733" t="s">
        <v>1020</v>
      </c>
      <c r="E107" s="733" t="s">
        <v>1153</v>
      </c>
      <c r="F107" s="733" t="s">
        <v>1273</v>
      </c>
      <c r="G107" s="733" t="s">
        <v>48</v>
      </c>
      <c r="H107" s="733" t="s">
        <v>7</v>
      </c>
      <c r="I107" s="733" t="s">
        <v>42</v>
      </c>
      <c r="J107" s="733" t="s">
        <v>8</v>
      </c>
      <c r="K107" s="733" t="s">
        <v>9</v>
      </c>
      <c r="L107" s="10" t="str">
        <f t="shared" si="3"/>
        <v>2-06-07</v>
      </c>
      <c r="M107" s="10"/>
      <c r="N107" s="10"/>
      <c r="O107" s="10"/>
      <c r="P107" s="733" t="s">
        <v>1337</v>
      </c>
      <c r="Q107" s="733" t="s">
        <v>1984</v>
      </c>
      <c r="R107" s="733" t="s">
        <v>1767</v>
      </c>
      <c r="S107" s="733">
        <v>24510404</v>
      </c>
      <c r="T107" s="733">
        <v>24511819</v>
      </c>
      <c r="U107" s="733" t="s">
        <v>1721</v>
      </c>
      <c r="V107" s="733" t="s">
        <v>1768</v>
      </c>
      <c r="W107" s="691"/>
      <c r="X107" s="734"/>
      <c r="Y107" s="9"/>
      <c r="Z107" s="734"/>
      <c r="AA107" s="734" t="s">
        <v>1888</v>
      </c>
    </row>
    <row r="108" spans="1:27" ht="15.75">
      <c r="A108" s="733" t="s">
        <v>1160</v>
      </c>
      <c r="B108" s="733" t="s">
        <v>1027</v>
      </c>
      <c r="D108" s="733" t="s">
        <v>1021</v>
      </c>
      <c r="E108" s="733" t="s">
        <v>1154</v>
      </c>
      <c r="F108" s="733" t="s">
        <v>1983</v>
      </c>
      <c r="G108" s="733" t="s">
        <v>64</v>
      </c>
      <c r="H108" s="733" t="s">
        <v>8</v>
      </c>
      <c r="I108" s="733" t="s">
        <v>63</v>
      </c>
      <c r="J108" s="733" t="s">
        <v>8</v>
      </c>
      <c r="K108" s="733" t="s">
        <v>4</v>
      </c>
      <c r="L108" s="10" t="str">
        <f t="shared" si="3"/>
        <v>4-06-02</v>
      </c>
      <c r="M108" s="10"/>
      <c r="N108" s="10"/>
      <c r="O108" s="10"/>
      <c r="P108" s="733" t="s">
        <v>52</v>
      </c>
      <c r="Q108" s="733" t="s">
        <v>1984</v>
      </c>
      <c r="R108" s="733" t="s">
        <v>1769</v>
      </c>
      <c r="S108" s="733">
        <v>22685475</v>
      </c>
      <c r="T108" s="733">
        <v>22685475</v>
      </c>
      <c r="U108" s="733" t="s">
        <v>1770</v>
      </c>
      <c r="V108" s="733" t="s">
        <v>1559</v>
      </c>
      <c r="W108" s="691"/>
      <c r="X108" s="734"/>
      <c r="Y108" s="9"/>
      <c r="Z108" s="734"/>
      <c r="AA108" s="734" t="s">
        <v>1889</v>
      </c>
    </row>
    <row r="109" spans="1:27" ht="15.75">
      <c r="A109" s="733" t="s">
        <v>1147</v>
      </c>
      <c r="B109" s="733" t="s">
        <v>1014</v>
      </c>
      <c r="D109" s="733" t="s">
        <v>1022</v>
      </c>
      <c r="E109" s="733" t="s">
        <v>1155</v>
      </c>
      <c r="F109" s="733" t="s">
        <v>1274</v>
      </c>
      <c r="G109" s="733" t="s">
        <v>64</v>
      </c>
      <c r="H109" s="733" t="s">
        <v>7</v>
      </c>
      <c r="I109" s="733" t="s">
        <v>63</v>
      </c>
      <c r="J109" s="733" t="s">
        <v>5</v>
      </c>
      <c r="K109" s="733" t="s">
        <v>8</v>
      </c>
      <c r="L109" s="10" t="str">
        <f t="shared" si="3"/>
        <v>4-03-06</v>
      </c>
      <c r="M109" s="10"/>
      <c r="N109" s="10"/>
      <c r="O109" s="10"/>
      <c r="P109" s="733" t="s">
        <v>107</v>
      </c>
      <c r="Q109" s="733" t="s">
        <v>1984</v>
      </c>
      <c r="R109" s="733" t="s">
        <v>2523</v>
      </c>
      <c r="S109" s="733">
        <v>22443190</v>
      </c>
      <c r="T109" s="733">
        <v>22443190</v>
      </c>
      <c r="U109" s="733" t="s">
        <v>1560</v>
      </c>
      <c r="V109" s="733" t="s">
        <v>2524</v>
      </c>
      <c r="W109" s="691"/>
      <c r="X109" s="734"/>
      <c r="Y109" s="9"/>
      <c r="Z109" s="734"/>
      <c r="AA109" s="734" t="s">
        <v>1890</v>
      </c>
    </row>
    <row r="110" spans="1:27" ht="15.75">
      <c r="A110" s="733" t="s">
        <v>1152</v>
      </c>
      <c r="B110" s="733" t="s">
        <v>1019</v>
      </c>
      <c r="D110" s="733" t="s">
        <v>1023</v>
      </c>
      <c r="E110" s="733" t="s">
        <v>1156</v>
      </c>
      <c r="F110" s="733" t="s">
        <v>1275</v>
      </c>
      <c r="G110" s="733" t="s">
        <v>64</v>
      </c>
      <c r="H110" s="733" t="s">
        <v>4</v>
      </c>
      <c r="I110" s="733" t="s">
        <v>63</v>
      </c>
      <c r="J110" s="733" t="s">
        <v>3</v>
      </c>
      <c r="K110" s="733" t="s">
        <v>4</v>
      </c>
      <c r="L110" s="10" t="str">
        <f t="shared" si="3"/>
        <v>4-01-02</v>
      </c>
      <c r="M110" s="10"/>
      <c r="N110" s="10"/>
      <c r="O110" s="10"/>
      <c r="P110" s="733" t="s">
        <v>98</v>
      </c>
      <c r="Q110" s="733" t="s">
        <v>1984</v>
      </c>
      <c r="R110" s="733" t="s">
        <v>1561</v>
      </c>
      <c r="S110" s="733">
        <v>22605090</v>
      </c>
      <c r="T110" s="733">
        <v>22617445</v>
      </c>
      <c r="U110" s="733" t="s">
        <v>1562</v>
      </c>
      <c r="V110" s="733" t="s">
        <v>2525</v>
      </c>
      <c r="W110" s="691"/>
      <c r="X110" s="734"/>
      <c r="Y110" s="9"/>
      <c r="Z110" s="734"/>
      <c r="AA110" s="734"/>
    </row>
    <row r="111" spans="1:27" ht="15.75">
      <c r="A111" s="733" t="s">
        <v>1148</v>
      </c>
      <c r="B111" s="733" t="s">
        <v>1015</v>
      </c>
      <c r="D111" s="733" t="s">
        <v>1024</v>
      </c>
      <c r="E111" s="733" t="s">
        <v>1157</v>
      </c>
      <c r="F111" s="733" t="s">
        <v>1276</v>
      </c>
      <c r="G111" s="733" t="s">
        <v>1748</v>
      </c>
      <c r="H111" s="733" t="s">
        <v>4</v>
      </c>
      <c r="I111" s="733" t="s">
        <v>41</v>
      </c>
      <c r="J111" s="733" t="s">
        <v>3</v>
      </c>
      <c r="K111" s="733" t="s">
        <v>12</v>
      </c>
      <c r="L111" s="10" t="str">
        <f t="shared" si="3"/>
        <v>1-01-09</v>
      </c>
      <c r="M111" s="10"/>
      <c r="N111" s="10"/>
      <c r="O111" s="10"/>
      <c r="P111" s="733" t="s">
        <v>1338</v>
      </c>
      <c r="Q111" s="733" t="s">
        <v>1984</v>
      </c>
      <c r="R111" s="733" t="s">
        <v>2526</v>
      </c>
      <c r="S111" s="733">
        <v>22962805</v>
      </c>
      <c r="T111" s="733">
        <v>22962807</v>
      </c>
      <c r="U111" s="733" t="s">
        <v>1563</v>
      </c>
      <c r="V111" s="733" t="s">
        <v>1722</v>
      </c>
      <c r="W111" s="691"/>
      <c r="X111" s="734"/>
      <c r="Y111" s="9"/>
      <c r="Z111" s="734"/>
      <c r="AA111" s="734" t="s">
        <v>1891</v>
      </c>
    </row>
    <row r="112" spans="1:27" ht="15.75">
      <c r="A112" s="733" t="s">
        <v>1158</v>
      </c>
      <c r="B112" s="733" t="s">
        <v>1025</v>
      </c>
      <c r="D112" s="733" t="s">
        <v>1025</v>
      </c>
      <c r="E112" s="733" t="s">
        <v>1158</v>
      </c>
      <c r="F112" s="733" t="s">
        <v>1277</v>
      </c>
      <c r="G112" s="733" t="s">
        <v>48</v>
      </c>
      <c r="H112" s="733" t="s">
        <v>3</v>
      </c>
      <c r="I112" s="733" t="s">
        <v>42</v>
      </c>
      <c r="J112" s="733" t="s">
        <v>4</v>
      </c>
      <c r="K112" s="733" t="s">
        <v>8</v>
      </c>
      <c r="L112" s="10" t="str">
        <f t="shared" si="3"/>
        <v>2-02-06</v>
      </c>
      <c r="M112" s="10"/>
      <c r="N112" s="10"/>
      <c r="O112" s="10"/>
      <c r="P112" s="733" t="s">
        <v>1339</v>
      </c>
      <c r="Q112" s="733" t="s">
        <v>1984</v>
      </c>
      <c r="R112" s="733" t="s">
        <v>1564</v>
      </c>
      <c r="S112" s="733">
        <v>24450793</v>
      </c>
      <c r="T112" s="733">
        <v>24450793</v>
      </c>
      <c r="U112" s="733" t="s">
        <v>1723</v>
      </c>
      <c r="V112" s="733" t="s">
        <v>1565</v>
      </c>
      <c r="W112" s="691"/>
      <c r="X112" s="734"/>
      <c r="Y112" s="9"/>
      <c r="Z112" s="734"/>
      <c r="AA112" s="734" t="s">
        <v>1892</v>
      </c>
    </row>
    <row r="113" spans="1:27" ht="15.75">
      <c r="A113" s="733" t="s">
        <v>1153</v>
      </c>
      <c r="B113" s="733" t="s">
        <v>1020</v>
      </c>
      <c r="D113" s="733" t="s">
        <v>1026</v>
      </c>
      <c r="E113" s="733" t="s">
        <v>1159</v>
      </c>
      <c r="F113" s="733" t="s">
        <v>1278</v>
      </c>
      <c r="G113" s="733" t="s">
        <v>115</v>
      </c>
      <c r="H113" s="733" t="s">
        <v>3</v>
      </c>
      <c r="I113" s="733" t="s">
        <v>69</v>
      </c>
      <c r="J113" s="733" t="s">
        <v>8</v>
      </c>
      <c r="K113" s="733" t="s">
        <v>3</v>
      </c>
      <c r="L113" s="10" t="str">
        <f t="shared" si="3"/>
        <v>5-06-01</v>
      </c>
      <c r="M113" s="10"/>
      <c r="N113" s="10"/>
      <c r="O113" s="10"/>
      <c r="P113" s="733" t="s">
        <v>115</v>
      </c>
      <c r="Q113" s="733" t="s">
        <v>1984</v>
      </c>
      <c r="R113" s="733" t="s">
        <v>1566</v>
      </c>
      <c r="S113" s="733">
        <v>26689015</v>
      </c>
      <c r="T113" s="733">
        <v>26687232</v>
      </c>
      <c r="U113" s="733" t="s">
        <v>1567</v>
      </c>
      <c r="V113" s="733" t="s">
        <v>2592</v>
      </c>
      <c r="W113" s="691"/>
      <c r="X113" s="734"/>
      <c r="Y113" s="9"/>
      <c r="Z113" s="734"/>
      <c r="AA113" s="734" t="s">
        <v>1893</v>
      </c>
    </row>
    <row r="114" spans="1:27" ht="15.75">
      <c r="A114" s="733" t="s">
        <v>1146</v>
      </c>
      <c r="B114" s="733" t="s">
        <v>1013</v>
      </c>
      <c r="D114" s="733" t="s">
        <v>1027</v>
      </c>
      <c r="E114" s="733" t="s">
        <v>1160</v>
      </c>
      <c r="F114" s="733" t="s">
        <v>1279</v>
      </c>
      <c r="G114" s="733" t="s">
        <v>43</v>
      </c>
      <c r="H114" s="733" t="s">
        <v>5</v>
      </c>
      <c r="I114" s="733" t="s">
        <v>41</v>
      </c>
      <c r="J114" s="733" t="s">
        <v>8</v>
      </c>
      <c r="K114" s="733" t="s">
        <v>9</v>
      </c>
      <c r="L114" s="10" t="str">
        <f t="shared" si="3"/>
        <v>1-06-07</v>
      </c>
      <c r="M114" s="10"/>
      <c r="N114" s="10"/>
      <c r="O114" s="10"/>
      <c r="P114" s="733" t="s">
        <v>83</v>
      </c>
      <c r="Q114" s="733" t="s">
        <v>1984</v>
      </c>
      <c r="R114" s="733" t="s">
        <v>2593</v>
      </c>
      <c r="S114" s="733">
        <v>22305222</v>
      </c>
      <c r="T114" s="733">
        <v>22305222</v>
      </c>
      <c r="U114" s="733" t="s">
        <v>1999</v>
      </c>
      <c r="V114" s="733" t="s">
        <v>1568</v>
      </c>
      <c r="W114" s="691"/>
      <c r="X114" s="734"/>
      <c r="Y114" s="9"/>
      <c r="Z114" s="734"/>
      <c r="AA114" s="734" t="s">
        <v>1894</v>
      </c>
    </row>
    <row r="115" spans="1:27" ht="15.75">
      <c r="A115" s="733" t="s">
        <v>1159</v>
      </c>
      <c r="B115" s="733" t="s">
        <v>1026</v>
      </c>
      <c r="D115" s="733" t="s">
        <v>1028</v>
      </c>
      <c r="E115" s="733" t="s">
        <v>1161</v>
      </c>
      <c r="F115" s="733" t="s">
        <v>1280</v>
      </c>
      <c r="G115" s="733" t="s">
        <v>75</v>
      </c>
      <c r="H115" s="733" t="s">
        <v>7</v>
      </c>
      <c r="I115" s="733" t="s">
        <v>41</v>
      </c>
      <c r="J115" s="733" t="s">
        <v>9</v>
      </c>
      <c r="K115" s="733" t="s">
        <v>3</v>
      </c>
      <c r="L115" s="10" t="str">
        <f t="shared" si="3"/>
        <v>1-07-01</v>
      </c>
      <c r="M115" s="10"/>
      <c r="N115" s="10"/>
      <c r="O115" s="10"/>
      <c r="P115" s="733" t="s">
        <v>102</v>
      </c>
      <c r="Q115" s="733" t="s">
        <v>1984</v>
      </c>
      <c r="R115" s="733" t="s">
        <v>1569</v>
      </c>
      <c r="S115" s="733">
        <v>22490215</v>
      </c>
      <c r="T115" s="733"/>
      <c r="U115" s="733" t="s">
        <v>1570</v>
      </c>
      <c r="V115" s="733" t="s">
        <v>1933</v>
      </c>
      <c r="W115" s="691"/>
      <c r="X115" s="734"/>
      <c r="Y115" s="9"/>
      <c r="Z115" s="734"/>
      <c r="AA115" s="734"/>
    </row>
    <row r="116" spans="1:27" ht="15.75">
      <c r="A116" s="733" t="s">
        <v>1164</v>
      </c>
      <c r="B116" s="733" t="s">
        <v>1031</v>
      </c>
      <c r="D116" s="733" t="s">
        <v>1029</v>
      </c>
      <c r="E116" s="733" t="s">
        <v>1162</v>
      </c>
      <c r="F116" s="733" t="s">
        <v>1281</v>
      </c>
      <c r="G116" s="733" t="s">
        <v>55</v>
      </c>
      <c r="H116" s="733" t="s">
        <v>9</v>
      </c>
      <c r="I116" s="733" t="s">
        <v>54</v>
      </c>
      <c r="J116" s="733" t="s">
        <v>4</v>
      </c>
      <c r="K116" s="733" t="s">
        <v>6</v>
      </c>
      <c r="L116" s="10" t="str">
        <f t="shared" si="3"/>
        <v>6-02-04</v>
      </c>
      <c r="M116" s="10"/>
      <c r="N116" s="10"/>
      <c r="O116" s="10"/>
      <c r="P116" s="733" t="s">
        <v>1340</v>
      </c>
      <c r="Q116" s="733" t="s">
        <v>1984</v>
      </c>
      <c r="R116" s="733" t="s">
        <v>1571</v>
      </c>
      <c r="S116" s="733">
        <v>26355524</v>
      </c>
      <c r="T116" s="733">
        <v>26355524</v>
      </c>
      <c r="U116" s="733" t="s">
        <v>1724</v>
      </c>
      <c r="V116" s="733" t="s">
        <v>1572</v>
      </c>
      <c r="W116" s="691"/>
      <c r="X116" s="734"/>
      <c r="Y116" s="9"/>
      <c r="Z116" s="734"/>
      <c r="AA116" s="734"/>
    </row>
    <row r="117" spans="1:27" ht="15.75">
      <c r="A117" s="733" t="s">
        <v>1161</v>
      </c>
      <c r="B117" s="733" t="s">
        <v>1028</v>
      </c>
      <c r="D117" s="733" t="s">
        <v>1030</v>
      </c>
      <c r="E117" s="733" t="s">
        <v>1163</v>
      </c>
      <c r="F117" s="733" t="s">
        <v>1282</v>
      </c>
      <c r="G117" s="733" t="s">
        <v>48</v>
      </c>
      <c r="H117" s="733" t="s">
        <v>9</v>
      </c>
      <c r="I117" s="733" t="s">
        <v>42</v>
      </c>
      <c r="J117" s="733" t="s">
        <v>16</v>
      </c>
      <c r="K117" s="733" t="s">
        <v>3</v>
      </c>
      <c r="L117" s="10" t="str">
        <f t="shared" si="3"/>
        <v>2-11-01</v>
      </c>
      <c r="M117" s="10"/>
      <c r="N117" s="10"/>
      <c r="O117" s="10"/>
      <c r="P117" s="733" t="s">
        <v>85</v>
      </c>
      <c r="Q117" s="733" t="s">
        <v>1984</v>
      </c>
      <c r="R117" s="733" t="s">
        <v>1573</v>
      </c>
      <c r="S117" s="733">
        <v>24631213</v>
      </c>
      <c r="T117" s="733">
        <v>24631213</v>
      </c>
      <c r="U117" s="733" t="s">
        <v>1574</v>
      </c>
      <c r="V117" s="733" t="s">
        <v>1575</v>
      </c>
      <c r="W117" s="691"/>
      <c r="X117" s="734"/>
      <c r="Y117" s="9"/>
      <c r="Z117" s="734"/>
      <c r="AA117" s="734"/>
    </row>
    <row r="118" spans="1:27" ht="15.75">
      <c r="A118" s="733" t="s">
        <v>1163</v>
      </c>
      <c r="B118" s="733" t="s">
        <v>1030</v>
      </c>
      <c r="D118" s="733" t="s">
        <v>1031</v>
      </c>
      <c r="E118" s="733" t="s">
        <v>1164</v>
      </c>
      <c r="F118" s="733" t="s">
        <v>1283</v>
      </c>
      <c r="G118" s="733" t="s">
        <v>49</v>
      </c>
      <c r="H118" s="733" t="s">
        <v>11</v>
      </c>
      <c r="I118" s="733" t="s">
        <v>42</v>
      </c>
      <c r="J118" s="733" t="s">
        <v>7</v>
      </c>
      <c r="K118" s="733" t="s">
        <v>3</v>
      </c>
      <c r="L118" s="10" t="str">
        <f t="shared" si="3"/>
        <v>2-05-01</v>
      </c>
      <c r="M118" s="10"/>
      <c r="N118" s="10"/>
      <c r="O118" s="10"/>
      <c r="P118" s="733" t="s">
        <v>126</v>
      </c>
      <c r="Q118" s="733" t="s">
        <v>1984</v>
      </c>
      <c r="R118" s="733" t="s">
        <v>1576</v>
      </c>
      <c r="S118" s="733">
        <v>24461271</v>
      </c>
      <c r="T118" s="733">
        <v>24461255</v>
      </c>
      <c r="U118" s="733" t="s">
        <v>1577</v>
      </c>
      <c r="V118" s="733" t="s">
        <v>1578</v>
      </c>
      <c r="W118" s="691"/>
      <c r="X118" s="734"/>
      <c r="Y118" s="9"/>
      <c r="Z118" s="734"/>
      <c r="AA118" s="734" t="s">
        <v>1895</v>
      </c>
    </row>
    <row r="119" spans="1:27" ht="15.75">
      <c r="A119" s="733" t="s">
        <v>1162</v>
      </c>
      <c r="B119" s="733" t="s">
        <v>1029</v>
      </c>
      <c r="D119" s="733" t="s">
        <v>1032</v>
      </c>
      <c r="E119" s="733" t="s">
        <v>1165</v>
      </c>
      <c r="F119" s="733" t="s">
        <v>1284</v>
      </c>
      <c r="G119" s="733" t="s">
        <v>99</v>
      </c>
      <c r="H119" s="733" t="s">
        <v>3</v>
      </c>
      <c r="I119" s="733" t="s">
        <v>69</v>
      </c>
      <c r="J119" s="733" t="s">
        <v>13</v>
      </c>
      <c r="K119" s="733" t="s">
        <v>3</v>
      </c>
      <c r="L119" s="10" t="str">
        <f t="shared" si="3"/>
        <v>5-10-01</v>
      </c>
      <c r="M119" s="10"/>
      <c r="N119" s="10"/>
      <c r="O119" s="10"/>
      <c r="P119" s="733" t="s">
        <v>1341</v>
      </c>
      <c r="Q119" s="733" t="s">
        <v>1984</v>
      </c>
      <c r="R119" s="733" t="s">
        <v>2596</v>
      </c>
      <c r="S119" s="733">
        <v>88672014</v>
      </c>
      <c r="T119" s="733">
        <v>26799174</v>
      </c>
      <c r="U119" s="733" t="s">
        <v>1579</v>
      </c>
      <c r="V119" s="733" t="s">
        <v>1580</v>
      </c>
      <c r="W119" s="691"/>
      <c r="X119" s="734" t="s">
        <v>1581</v>
      </c>
      <c r="Y119" s="9"/>
      <c r="Z119" s="734"/>
      <c r="AA119" s="734"/>
    </row>
    <row r="120" spans="1:27" ht="15.75">
      <c r="A120" s="733" t="s">
        <v>1171</v>
      </c>
      <c r="B120" s="733" t="s">
        <v>1038</v>
      </c>
      <c r="D120" s="733" t="s">
        <v>1033</v>
      </c>
      <c r="E120" s="733" t="s">
        <v>1166</v>
      </c>
      <c r="F120" s="733" t="s">
        <v>1285</v>
      </c>
      <c r="G120" s="733" t="s">
        <v>2554</v>
      </c>
      <c r="H120" s="733" t="s">
        <v>9</v>
      </c>
      <c r="I120" s="733" t="s">
        <v>50</v>
      </c>
      <c r="J120" s="733" t="s">
        <v>3</v>
      </c>
      <c r="K120" s="733" t="s">
        <v>5</v>
      </c>
      <c r="L120" s="10" t="str">
        <f t="shared" si="3"/>
        <v>7-01-03</v>
      </c>
      <c r="M120" s="10"/>
      <c r="N120" s="10"/>
      <c r="O120" s="10"/>
      <c r="P120" s="733" t="s">
        <v>1342</v>
      </c>
      <c r="Q120" s="733" t="s">
        <v>1984</v>
      </c>
      <c r="R120" s="733" t="s">
        <v>1725</v>
      </c>
      <c r="S120" s="733">
        <v>27971909</v>
      </c>
      <c r="T120" s="733">
        <v>27971909</v>
      </c>
      <c r="U120" s="733" t="s">
        <v>1726</v>
      </c>
      <c r="V120" s="733" t="s">
        <v>1727</v>
      </c>
      <c r="W120" s="691"/>
      <c r="X120" s="734"/>
      <c r="Y120" s="9"/>
      <c r="Z120" s="734"/>
      <c r="AA120" s="734" t="s">
        <v>1896</v>
      </c>
    </row>
    <row r="121" spans="1:27" ht="15.75">
      <c r="A121" s="733" t="s">
        <v>1168</v>
      </c>
      <c r="B121" s="733" t="s">
        <v>1035</v>
      </c>
      <c r="D121" s="733" t="s">
        <v>1034</v>
      </c>
      <c r="E121" s="733" t="s">
        <v>1167</v>
      </c>
      <c r="F121" s="733" t="s">
        <v>1286</v>
      </c>
      <c r="G121" s="733" t="s">
        <v>70</v>
      </c>
      <c r="H121" s="733" t="s">
        <v>11</v>
      </c>
      <c r="I121" s="733" t="s">
        <v>45</v>
      </c>
      <c r="J121" s="733" t="s">
        <v>4</v>
      </c>
      <c r="K121" s="733" t="s">
        <v>5</v>
      </c>
      <c r="L121" s="10" t="str">
        <f t="shared" si="3"/>
        <v>3-02-03</v>
      </c>
      <c r="M121" s="10"/>
      <c r="N121" s="10"/>
      <c r="O121" s="10"/>
      <c r="P121" s="733" t="s">
        <v>1343</v>
      </c>
      <c r="Q121" s="733" t="s">
        <v>1984</v>
      </c>
      <c r="R121" s="733" t="s">
        <v>2567</v>
      </c>
      <c r="S121" s="733">
        <v>25332504</v>
      </c>
      <c r="T121" s="733">
        <v>84054901</v>
      </c>
      <c r="U121" s="733" t="s">
        <v>1582</v>
      </c>
      <c r="V121" s="733" t="s">
        <v>1583</v>
      </c>
      <c r="W121" s="691"/>
      <c r="X121" s="734"/>
      <c r="Y121" s="9"/>
      <c r="Z121" s="734"/>
      <c r="AA121" s="734"/>
    </row>
    <row r="122" spans="1:27" ht="15.75">
      <c r="A122" s="733" t="s">
        <v>1174</v>
      </c>
      <c r="B122" s="733" t="s">
        <v>1041</v>
      </c>
      <c r="D122" s="733" t="s">
        <v>1035</v>
      </c>
      <c r="E122" s="733" t="s">
        <v>1168</v>
      </c>
      <c r="F122" s="733" t="s">
        <v>1676</v>
      </c>
      <c r="G122" s="733" t="s">
        <v>53</v>
      </c>
      <c r="H122" s="733" t="s">
        <v>17</v>
      </c>
      <c r="I122" s="733" t="s">
        <v>54</v>
      </c>
      <c r="J122" s="733" t="s">
        <v>11</v>
      </c>
      <c r="K122" s="733" t="s">
        <v>7</v>
      </c>
      <c r="L122" s="10" t="str">
        <f t="shared" si="3"/>
        <v>6-08-05</v>
      </c>
      <c r="M122" s="10"/>
      <c r="N122" s="10"/>
      <c r="O122" s="10"/>
      <c r="P122" s="733" t="s">
        <v>81</v>
      </c>
      <c r="Q122" s="733" t="s">
        <v>1984</v>
      </c>
      <c r="R122" s="733" t="s">
        <v>2000</v>
      </c>
      <c r="S122" s="733">
        <v>27848114</v>
      </c>
      <c r="T122" s="733">
        <v>27848114</v>
      </c>
      <c r="U122" s="733" t="s">
        <v>1934</v>
      </c>
      <c r="V122" s="733" t="s">
        <v>1584</v>
      </c>
      <c r="W122" s="691"/>
      <c r="X122" s="734" t="s">
        <v>1734</v>
      </c>
      <c r="Y122" s="9"/>
      <c r="Z122" s="734"/>
      <c r="AA122" s="734"/>
    </row>
    <row r="123" spans="1:27" ht="15.75">
      <c r="A123" s="733" t="s">
        <v>1165</v>
      </c>
      <c r="B123" s="733" t="s">
        <v>1032</v>
      </c>
      <c r="D123" s="733" t="s">
        <v>1036</v>
      </c>
      <c r="E123" s="733" t="s">
        <v>1169</v>
      </c>
      <c r="F123" s="733" t="s">
        <v>1287</v>
      </c>
      <c r="G123" s="733" t="s">
        <v>43</v>
      </c>
      <c r="H123" s="733" t="s">
        <v>9</v>
      </c>
      <c r="I123" s="733" t="s">
        <v>41</v>
      </c>
      <c r="J123" s="733" t="s">
        <v>5</v>
      </c>
      <c r="K123" s="733" t="s">
        <v>16</v>
      </c>
      <c r="L123" s="10" t="str">
        <f t="shared" si="3"/>
        <v>1-03-11</v>
      </c>
      <c r="M123" s="10"/>
      <c r="N123" s="10"/>
      <c r="O123" s="10"/>
      <c r="P123" s="733" t="s">
        <v>73</v>
      </c>
      <c r="Q123" s="733" t="s">
        <v>1984</v>
      </c>
      <c r="R123" s="733" t="s">
        <v>1729</v>
      </c>
      <c r="S123" s="733">
        <v>22752317</v>
      </c>
      <c r="T123" s="733">
        <v>22752317</v>
      </c>
      <c r="U123" s="733" t="s">
        <v>1935</v>
      </c>
      <c r="V123" s="733" t="s">
        <v>2566</v>
      </c>
      <c r="W123" s="691"/>
      <c r="X123" s="734"/>
      <c r="Y123" s="9"/>
      <c r="Z123" s="734"/>
      <c r="AA123" s="734"/>
    </row>
    <row r="124" spans="1:27" ht="15.75">
      <c r="A124" s="733" t="s">
        <v>1166</v>
      </c>
      <c r="B124" s="733" t="s">
        <v>1033</v>
      </c>
      <c r="D124" s="733" t="s">
        <v>1037</v>
      </c>
      <c r="E124" s="733" t="s">
        <v>1170</v>
      </c>
      <c r="F124" s="733" t="s">
        <v>1288</v>
      </c>
      <c r="G124" s="733" t="s">
        <v>43</v>
      </c>
      <c r="H124" s="733" t="s">
        <v>5</v>
      </c>
      <c r="I124" s="733" t="s">
        <v>41</v>
      </c>
      <c r="J124" s="733" t="s">
        <v>8</v>
      </c>
      <c r="K124" s="733" t="s">
        <v>8</v>
      </c>
      <c r="L124" s="10" t="str">
        <f t="shared" si="3"/>
        <v>1-06-06</v>
      </c>
      <c r="M124" s="10"/>
      <c r="N124" s="10"/>
      <c r="O124" s="10"/>
      <c r="P124" s="733" t="s">
        <v>74</v>
      </c>
      <c r="Q124" s="733" t="s">
        <v>1984</v>
      </c>
      <c r="R124" s="733" t="s">
        <v>2001</v>
      </c>
      <c r="S124" s="733">
        <v>25401629</v>
      </c>
      <c r="T124" s="733">
        <v>25402450</v>
      </c>
      <c r="U124" s="733" t="s">
        <v>1730</v>
      </c>
      <c r="V124" s="733" t="s">
        <v>1731</v>
      </c>
      <c r="W124" s="691"/>
      <c r="X124" s="734"/>
      <c r="Y124" s="9"/>
      <c r="Z124" s="734"/>
      <c r="AA124" s="734" t="s">
        <v>1897</v>
      </c>
    </row>
    <row r="125" spans="1:27" ht="15.75">
      <c r="A125" s="733" t="s">
        <v>1172</v>
      </c>
      <c r="B125" s="733" t="s">
        <v>1039</v>
      </c>
      <c r="D125" s="733" t="s">
        <v>1038</v>
      </c>
      <c r="E125" s="733" t="s">
        <v>1171</v>
      </c>
      <c r="F125" s="733" t="s">
        <v>1289</v>
      </c>
      <c r="G125" s="733" t="s">
        <v>43</v>
      </c>
      <c r="H125" s="733" t="s">
        <v>4</v>
      </c>
      <c r="I125" s="733" t="s">
        <v>41</v>
      </c>
      <c r="J125" s="733" t="s">
        <v>5</v>
      </c>
      <c r="K125" s="733" t="s">
        <v>4</v>
      </c>
      <c r="L125" s="10" t="str">
        <f t="shared" si="3"/>
        <v>1-03-02</v>
      </c>
      <c r="M125" s="10"/>
      <c r="N125" s="10"/>
      <c r="O125" s="10"/>
      <c r="P125" s="733" t="s">
        <v>71</v>
      </c>
      <c r="Q125" s="733" t="s">
        <v>1984</v>
      </c>
      <c r="R125" s="733" t="s">
        <v>2573</v>
      </c>
      <c r="S125" s="733">
        <v>22702308</v>
      </c>
      <c r="T125" s="733">
        <v>22702308</v>
      </c>
      <c r="U125" s="733" t="s">
        <v>1585</v>
      </c>
      <c r="V125" s="733" t="s">
        <v>1586</v>
      </c>
      <c r="W125" s="691"/>
      <c r="X125" s="734"/>
      <c r="Y125" s="9"/>
      <c r="Z125" s="734"/>
      <c r="AA125" s="734"/>
    </row>
    <row r="126" spans="1:27" ht="15.75">
      <c r="A126" s="733" t="s">
        <v>1167</v>
      </c>
      <c r="B126" s="733" t="s">
        <v>1034</v>
      </c>
      <c r="D126" s="733" t="s">
        <v>1039</v>
      </c>
      <c r="E126" s="733" t="s">
        <v>1172</v>
      </c>
      <c r="F126" s="733" t="s">
        <v>1290</v>
      </c>
      <c r="G126" s="733" t="s">
        <v>139</v>
      </c>
      <c r="H126" s="733" t="s">
        <v>11</v>
      </c>
      <c r="I126" s="733" t="s">
        <v>50</v>
      </c>
      <c r="J126" s="733" t="s">
        <v>4</v>
      </c>
      <c r="K126" s="733" t="s">
        <v>5</v>
      </c>
      <c r="L126" s="10" t="str">
        <f t="shared" si="3"/>
        <v>7-02-03</v>
      </c>
      <c r="M126" s="10"/>
      <c r="N126" s="10"/>
      <c r="O126" s="10"/>
      <c r="P126" s="733" t="s">
        <v>1344</v>
      </c>
      <c r="Q126" s="733" t="s">
        <v>1984</v>
      </c>
      <c r="R126" s="733" t="s">
        <v>1587</v>
      </c>
      <c r="S126" s="733">
        <v>88043675</v>
      </c>
      <c r="T126" s="733">
        <v>27673031</v>
      </c>
      <c r="U126" s="733" t="s">
        <v>1588</v>
      </c>
      <c r="V126" s="733" t="s">
        <v>1589</v>
      </c>
      <c r="W126" s="691"/>
      <c r="X126" s="734"/>
      <c r="Y126" s="9"/>
      <c r="Z126" s="734"/>
      <c r="AA126" s="734"/>
    </row>
    <row r="127" spans="1:27" ht="15.75">
      <c r="A127" s="733" t="s">
        <v>1169</v>
      </c>
      <c r="B127" s="733" t="s">
        <v>1036</v>
      </c>
      <c r="D127" s="733" t="s">
        <v>1040</v>
      </c>
      <c r="E127" s="733" t="s">
        <v>1173</v>
      </c>
      <c r="F127" s="733" t="s">
        <v>1291</v>
      </c>
      <c r="G127" s="733" t="s">
        <v>139</v>
      </c>
      <c r="H127" s="733" t="s">
        <v>8</v>
      </c>
      <c r="I127" s="733" t="s">
        <v>50</v>
      </c>
      <c r="J127" s="733" t="s">
        <v>4</v>
      </c>
      <c r="K127" s="733" t="s">
        <v>5</v>
      </c>
      <c r="L127" s="10" t="str">
        <f t="shared" si="3"/>
        <v>7-02-03</v>
      </c>
      <c r="M127" s="10"/>
      <c r="N127" s="10"/>
      <c r="O127" s="10"/>
      <c r="P127" s="733" t="s">
        <v>1345</v>
      </c>
      <c r="Q127" s="733" t="s">
        <v>1984</v>
      </c>
      <c r="R127" s="733" t="s">
        <v>1590</v>
      </c>
      <c r="S127" s="733">
        <v>44092714</v>
      </c>
      <c r="T127" s="733"/>
      <c r="U127" s="733" t="s">
        <v>1591</v>
      </c>
      <c r="V127" s="733" t="s">
        <v>1592</v>
      </c>
      <c r="W127" s="691"/>
      <c r="X127" s="734"/>
      <c r="Y127" s="9"/>
      <c r="Z127" s="734"/>
      <c r="AA127" s="734" t="s">
        <v>1898</v>
      </c>
    </row>
    <row r="128" spans="1:27" ht="15.75">
      <c r="A128" s="733" t="s">
        <v>1170</v>
      </c>
      <c r="B128" s="733" t="s">
        <v>1037</v>
      </c>
      <c r="D128" s="733" t="s">
        <v>1041</v>
      </c>
      <c r="E128" s="733" t="s">
        <v>1174</v>
      </c>
      <c r="F128" s="733" t="s">
        <v>1292</v>
      </c>
      <c r="G128" s="733" t="s">
        <v>65</v>
      </c>
      <c r="H128" s="733" t="s">
        <v>4</v>
      </c>
      <c r="I128" s="733" t="s">
        <v>42</v>
      </c>
      <c r="J128" s="733" t="s">
        <v>13</v>
      </c>
      <c r="K128" s="733" t="s">
        <v>4</v>
      </c>
      <c r="L128" s="10" t="str">
        <f t="shared" si="3"/>
        <v>2-10-02</v>
      </c>
      <c r="M128" s="10"/>
      <c r="N128" s="10"/>
      <c r="O128" s="10"/>
      <c r="P128" s="733" t="s">
        <v>1346</v>
      </c>
      <c r="Q128" s="733" t="s">
        <v>1984</v>
      </c>
      <c r="R128" s="733" t="s">
        <v>1593</v>
      </c>
      <c r="S128" s="733">
        <v>24757122</v>
      </c>
      <c r="T128" s="733">
        <v>24757122</v>
      </c>
      <c r="U128" s="733" t="s">
        <v>1594</v>
      </c>
      <c r="V128" s="733" t="s">
        <v>1595</v>
      </c>
      <c r="W128" s="691"/>
      <c r="X128" s="734"/>
      <c r="Y128" s="9"/>
      <c r="Z128" s="734"/>
      <c r="AA128" s="734" t="s">
        <v>1899</v>
      </c>
    </row>
    <row r="129" spans="1:27" ht="15.75">
      <c r="A129" s="733" t="s">
        <v>1173</v>
      </c>
      <c r="B129" s="733" t="s">
        <v>1040</v>
      </c>
      <c r="D129" s="733" t="s">
        <v>1042</v>
      </c>
      <c r="E129" s="733" t="s">
        <v>1175</v>
      </c>
      <c r="F129" s="733" t="s">
        <v>1293</v>
      </c>
      <c r="G129" s="733" t="s">
        <v>1747</v>
      </c>
      <c r="H129" s="733" t="s">
        <v>8</v>
      </c>
      <c r="I129" s="733" t="s">
        <v>41</v>
      </c>
      <c r="J129" s="733" t="s">
        <v>13</v>
      </c>
      <c r="K129" s="733" t="s">
        <v>3</v>
      </c>
      <c r="L129" s="10" t="str">
        <f t="shared" si="3"/>
        <v>1-10-01</v>
      </c>
      <c r="M129" s="10"/>
      <c r="N129" s="10"/>
      <c r="O129" s="10"/>
      <c r="P129" s="733" t="s">
        <v>1347</v>
      </c>
      <c r="Q129" s="733" t="s">
        <v>1984</v>
      </c>
      <c r="R129" s="733" t="s">
        <v>1596</v>
      </c>
      <c r="S129" s="733">
        <v>22222872</v>
      </c>
      <c r="T129" s="733"/>
      <c r="U129" s="733" t="s">
        <v>1597</v>
      </c>
      <c r="V129" s="733" t="s">
        <v>1598</v>
      </c>
      <c r="W129" s="691"/>
      <c r="X129" s="734"/>
      <c r="Y129" s="9"/>
      <c r="Z129" s="734"/>
      <c r="AA129" s="734"/>
    </row>
    <row r="130" spans="1:27" ht="15.75">
      <c r="A130" s="733" t="s">
        <v>1176</v>
      </c>
      <c r="B130" s="733" t="s">
        <v>1043</v>
      </c>
      <c r="D130" s="733" t="s">
        <v>1043</v>
      </c>
      <c r="E130" s="733" t="s">
        <v>1176</v>
      </c>
      <c r="F130" s="733" t="s">
        <v>1294</v>
      </c>
      <c r="G130" s="733" t="s">
        <v>64</v>
      </c>
      <c r="H130" s="733" t="s">
        <v>9</v>
      </c>
      <c r="I130" s="733" t="s">
        <v>63</v>
      </c>
      <c r="J130" s="733" t="s">
        <v>9</v>
      </c>
      <c r="K130" s="733" t="s">
        <v>4</v>
      </c>
      <c r="L130" s="10" t="str">
        <f t="shared" si="3"/>
        <v>4-07-02</v>
      </c>
      <c r="M130" s="10"/>
      <c r="N130" s="10"/>
      <c r="O130" s="10"/>
      <c r="P130" s="733" t="s">
        <v>110</v>
      </c>
      <c r="Q130" s="733" t="s">
        <v>1984</v>
      </c>
      <c r="R130" s="733" t="s">
        <v>1599</v>
      </c>
      <c r="S130" s="733">
        <v>25890332</v>
      </c>
      <c r="T130" s="733"/>
      <c r="U130" s="733" t="s">
        <v>1600</v>
      </c>
      <c r="V130" s="733" t="s">
        <v>1601</v>
      </c>
      <c r="W130" s="691"/>
      <c r="X130" s="734"/>
      <c r="Y130" s="9"/>
      <c r="Z130" s="734"/>
      <c r="AA130" s="734"/>
    </row>
    <row r="131" spans="1:27" ht="15.75">
      <c r="A131" s="733" t="s">
        <v>1175</v>
      </c>
      <c r="B131" s="733" t="s">
        <v>1042</v>
      </c>
      <c r="D131" s="733" t="s">
        <v>1044</v>
      </c>
      <c r="E131" s="733" t="s">
        <v>1177</v>
      </c>
      <c r="F131" s="733" t="s">
        <v>1295</v>
      </c>
      <c r="G131" s="733" t="s">
        <v>49</v>
      </c>
      <c r="H131" s="733" t="s">
        <v>6</v>
      </c>
      <c r="I131" s="733" t="s">
        <v>42</v>
      </c>
      <c r="J131" s="733" t="s">
        <v>3</v>
      </c>
      <c r="K131" s="733" t="s">
        <v>11</v>
      </c>
      <c r="L131" s="10" t="str">
        <f t="shared" ref="L131:L137" si="4">CONCATENATE(I131,"-",J131,"-",K131)</f>
        <v>2-01-08</v>
      </c>
      <c r="M131" s="10"/>
      <c r="N131" s="10"/>
      <c r="O131" s="10"/>
      <c r="P131" s="733" t="s">
        <v>58</v>
      </c>
      <c r="Q131" s="733" t="s">
        <v>1984</v>
      </c>
      <c r="R131" s="733" t="s">
        <v>2581</v>
      </c>
      <c r="S131" s="733">
        <v>21027983</v>
      </c>
      <c r="T131" s="733"/>
      <c r="U131" s="733" t="s">
        <v>1602</v>
      </c>
      <c r="V131" s="733" t="s">
        <v>1936</v>
      </c>
      <c r="W131" s="691"/>
      <c r="X131" s="734"/>
      <c r="Y131" s="9"/>
      <c r="Z131" s="734"/>
      <c r="AA131" s="734" t="s">
        <v>1900</v>
      </c>
    </row>
    <row r="132" spans="1:27" ht="15.75">
      <c r="A132" s="733" t="s">
        <v>1177</v>
      </c>
      <c r="B132" s="733" t="s">
        <v>1044</v>
      </c>
      <c r="D132" s="733" t="s">
        <v>1045</v>
      </c>
      <c r="E132" s="733" t="s">
        <v>1178</v>
      </c>
      <c r="F132" s="733" t="s">
        <v>1296</v>
      </c>
      <c r="G132" s="733" t="s">
        <v>65</v>
      </c>
      <c r="H132" s="733" t="s">
        <v>4</v>
      </c>
      <c r="I132" s="733" t="s">
        <v>42</v>
      </c>
      <c r="J132" s="733" t="s">
        <v>13</v>
      </c>
      <c r="K132" s="733" t="s">
        <v>11</v>
      </c>
      <c r="L132" s="10" t="str">
        <f t="shared" si="4"/>
        <v>2-10-08</v>
      </c>
      <c r="M132" s="10"/>
      <c r="N132" s="10"/>
      <c r="O132" s="10"/>
      <c r="P132" s="733" t="s">
        <v>1348</v>
      </c>
      <c r="Q132" s="733" t="s">
        <v>1984</v>
      </c>
      <c r="R132" s="733" t="s">
        <v>2571</v>
      </c>
      <c r="S132" s="733">
        <v>24689930</v>
      </c>
      <c r="T132" s="733">
        <v>24689930</v>
      </c>
      <c r="U132" s="733" t="s">
        <v>1603</v>
      </c>
      <c r="V132" s="733" t="s">
        <v>1604</v>
      </c>
      <c r="W132" s="691"/>
      <c r="X132" s="734"/>
      <c r="Y132" s="9"/>
      <c r="Z132" s="734"/>
      <c r="AA132" s="734" t="s">
        <v>1901</v>
      </c>
    </row>
    <row r="133" spans="1:27" ht="15.75">
      <c r="A133" s="733" t="s">
        <v>1180</v>
      </c>
      <c r="B133" s="733" t="s">
        <v>1047</v>
      </c>
      <c r="D133" s="733" t="s">
        <v>1046</v>
      </c>
      <c r="E133" s="733" t="s">
        <v>1179</v>
      </c>
      <c r="F133" s="733" t="s">
        <v>1297</v>
      </c>
      <c r="G133" s="733" t="s">
        <v>150</v>
      </c>
      <c r="H133" s="733" t="s">
        <v>5</v>
      </c>
      <c r="I133" s="733" t="s">
        <v>69</v>
      </c>
      <c r="J133" s="733" t="s">
        <v>4</v>
      </c>
      <c r="K133" s="733" t="s">
        <v>6</v>
      </c>
      <c r="L133" s="10" t="str">
        <f t="shared" si="4"/>
        <v>5-02-04</v>
      </c>
      <c r="M133" s="10"/>
      <c r="N133" s="10"/>
      <c r="O133" s="10"/>
      <c r="P133" s="733" t="s">
        <v>1349</v>
      </c>
      <c r="Q133" s="733" t="s">
        <v>1984</v>
      </c>
      <c r="R133" s="733" t="s">
        <v>2590</v>
      </c>
      <c r="S133" s="733">
        <v>26870258</v>
      </c>
      <c r="T133" s="733">
        <v>26870115</v>
      </c>
      <c r="U133" s="733" t="s">
        <v>2527</v>
      </c>
      <c r="V133" s="733" t="s">
        <v>1605</v>
      </c>
      <c r="W133" s="691"/>
      <c r="X133" s="734" t="s">
        <v>1606</v>
      </c>
      <c r="Y133" s="9"/>
      <c r="Z133" s="734"/>
      <c r="AA133" s="734"/>
    </row>
    <row r="134" spans="1:27" ht="15.75">
      <c r="A134" s="733" t="s">
        <v>1179</v>
      </c>
      <c r="B134" s="733" t="s">
        <v>1046</v>
      </c>
      <c r="D134" s="733" t="s">
        <v>1047</v>
      </c>
      <c r="E134" s="733" t="s">
        <v>1180</v>
      </c>
      <c r="F134" s="733" t="s">
        <v>1298</v>
      </c>
      <c r="G134" s="733" t="s">
        <v>64</v>
      </c>
      <c r="H134" s="733" t="s">
        <v>7</v>
      </c>
      <c r="I134" s="733" t="s">
        <v>63</v>
      </c>
      <c r="J134" s="733" t="s">
        <v>5</v>
      </c>
      <c r="K134" s="733" t="s">
        <v>5</v>
      </c>
      <c r="L134" s="10" t="str">
        <f t="shared" si="4"/>
        <v>4-03-03</v>
      </c>
      <c r="M134" s="10"/>
      <c r="N134" s="10"/>
      <c r="O134" s="10"/>
      <c r="P134" s="733" t="s">
        <v>44</v>
      </c>
      <c r="Q134" s="733" t="s">
        <v>1984</v>
      </c>
      <c r="R134" s="733" t="s">
        <v>1607</v>
      </c>
      <c r="S134" s="733">
        <v>22411295</v>
      </c>
      <c r="T134" s="733">
        <v>22411295</v>
      </c>
      <c r="U134" s="733" t="s">
        <v>1608</v>
      </c>
      <c r="V134" s="733" t="s">
        <v>1609</v>
      </c>
      <c r="W134" s="691"/>
      <c r="X134" s="734"/>
      <c r="Y134" s="9"/>
      <c r="Z134" s="734"/>
      <c r="AA134" s="734"/>
    </row>
    <row r="135" spans="1:27" ht="15.75">
      <c r="A135" s="733" t="s">
        <v>1178</v>
      </c>
      <c r="B135" s="733" t="s">
        <v>1045</v>
      </c>
      <c r="D135" s="733" t="s">
        <v>1048</v>
      </c>
      <c r="E135" s="8" t="s">
        <v>1662</v>
      </c>
      <c r="F135" s="733" t="s">
        <v>1299</v>
      </c>
      <c r="G135" s="733" t="s">
        <v>64</v>
      </c>
      <c r="H135" s="733" t="s">
        <v>9</v>
      </c>
      <c r="I135" s="733" t="s">
        <v>63</v>
      </c>
      <c r="J135" s="733" t="s">
        <v>9</v>
      </c>
      <c r="K135" s="733" t="s">
        <v>5</v>
      </c>
      <c r="L135" s="10" t="str">
        <f t="shared" si="4"/>
        <v>4-07-03</v>
      </c>
      <c r="M135" s="10"/>
      <c r="N135" s="10"/>
      <c r="O135" s="10"/>
      <c r="P135" s="733" t="s">
        <v>2547</v>
      </c>
      <c r="Q135" s="733" t="s">
        <v>272</v>
      </c>
      <c r="R135" s="733" t="s">
        <v>2528</v>
      </c>
      <c r="S135" s="733">
        <v>22390833</v>
      </c>
      <c r="T135" s="733">
        <v>22930998</v>
      </c>
      <c r="U135" s="733" t="s">
        <v>1610</v>
      </c>
      <c r="V135" s="733" t="s">
        <v>1771</v>
      </c>
      <c r="W135" s="691"/>
      <c r="X135" s="734"/>
      <c r="Y135" s="9"/>
      <c r="Z135" s="734"/>
      <c r="AA135" s="734"/>
    </row>
    <row r="136" spans="1:27" ht="15.75">
      <c r="A136" s="733" t="s">
        <v>1181</v>
      </c>
      <c r="B136" s="733" t="s">
        <v>1049</v>
      </c>
      <c r="D136" s="733" t="s">
        <v>1049</v>
      </c>
      <c r="E136" s="733" t="s">
        <v>1181</v>
      </c>
      <c r="F136" s="733" t="s">
        <v>1300</v>
      </c>
      <c r="G136" s="733" t="s">
        <v>1748</v>
      </c>
      <c r="H136" s="733" t="s">
        <v>7</v>
      </c>
      <c r="I136" s="733" t="s">
        <v>41</v>
      </c>
      <c r="J136" s="733" t="s">
        <v>3</v>
      </c>
      <c r="K136" s="733" t="s">
        <v>9</v>
      </c>
      <c r="L136" s="10" t="str">
        <f t="shared" si="4"/>
        <v>1-01-07</v>
      </c>
      <c r="M136" s="10"/>
      <c r="N136" s="10"/>
      <c r="O136" s="10"/>
      <c r="P136" s="733" t="s">
        <v>1350</v>
      </c>
      <c r="Q136" s="733" t="s">
        <v>1984</v>
      </c>
      <c r="R136" s="733" t="s">
        <v>2521</v>
      </c>
      <c r="S136" s="733">
        <v>22201457</v>
      </c>
      <c r="T136" s="733">
        <v>22313085</v>
      </c>
      <c r="U136" s="733" t="s">
        <v>1611</v>
      </c>
      <c r="V136" s="733" t="s">
        <v>1612</v>
      </c>
      <c r="W136" s="691"/>
      <c r="X136" s="734"/>
      <c r="Y136" s="9"/>
      <c r="Z136" s="734"/>
      <c r="AA136" s="734"/>
    </row>
    <row r="137" spans="1:27" ht="15.75">
      <c r="A137" s="733" t="s">
        <v>1182</v>
      </c>
      <c r="B137" s="733" t="s">
        <v>1050</v>
      </c>
      <c r="D137" s="733" t="s">
        <v>1050</v>
      </c>
      <c r="E137" s="733" t="s">
        <v>1182</v>
      </c>
      <c r="F137" s="733" t="s">
        <v>1301</v>
      </c>
      <c r="G137" s="733" t="s">
        <v>1747</v>
      </c>
      <c r="H137" s="733" t="s">
        <v>7</v>
      </c>
      <c r="I137" s="733" t="s">
        <v>41</v>
      </c>
      <c r="J137" s="733" t="s">
        <v>3</v>
      </c>
      <c r="K137" s="733" t="s">
        <v>13</v>
      </c>
      <c r="L137" s="10" t="str">
        <f t="shared" si="4"/>
        <v>1-01-10</v>
      </c>
      <c r="M137" s="10"/>
      <c r="N137" s="10"/>
      <c r="O137" s="10"/>
      <c r="P137" s="733" t="s">
        <v>72</v>
      </c>
      <c r="Q137" s="733" t="s">
        <v>1984</v>
      </c>
      <c r="R137" s="733" t="s">
        <v>2576</v>
      </c>
      <c r="S137" s="733">
        <v>22540111</v>
      </c>
      <c r="T137" s="733"/>
      <c r="U137" s="733" t="s">
        <v>1732</v>
      </c>
      <c r="V137" s="733" t="s">
        <v>1613</v>
      </c>
      <c r="W137" s="691"/>
      <c r="X137" s="734"/>
      <c r="Y137" s="9"/>
      <c r="Z137" s="734"/>
      <c r="AA137" s="734"/>
    </row>
  </sheetData>
  <sheetProtection algorithmName="SHA-512" hashValue="0qLXtEoGc7VASUlKLSYpD2Gb6xKwQcIJKM0j1naOh8IZoYHTpioxUcdm++lhBd4y5AkYcSr7cObn9eK4kU4GAw==" saltValue="it0QwopFiRo4fQ6N8tN32g==" spinCount="100000" sheet="1" objects="1" scenarios="1"/>
  <autoFilter ref="A2:AA137"/>
  <sortState ref="A3:B137">
    <sortCondition ref="A3:A137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AA73"/>
  <sheetViews>
    <sheetView showGridLines="0" tabSelected="1" showRuler="0" zoomScale="90" zoomScaleNormal="90" workbookViewId="0">
      <selection activeCell="C7" sqref="C7:O8"/>
    </sheetView>
  </sheetViews>
  <sheetFormatPr baseColWidth="10" defaultRowHeight="14.25"/>
  <cols>
    <col min="1" max="1" width="4.85546875" style="23" customWidth="1"/>
    <col min="2" max="2" width="3.85546875" style="23" customWidth="1"/>
    <col min="3" max="3" width="24" style="23" customWidth="1"/>
    <col min="4" max="4" width="26.85546875" style="23" customWidth="1"/>
    <col min="5" max="5" width="6" style="23" customWidth="1"/>
    <col min="6" max="6" width="11.85546875" style="23" customWidth="1"/>
    <col min="7" max="7" width="2" style="23" customWidth="1"/>
    <col min="8" max="8" width="22.140625" style="23" customWidth="1"/>
    <col min="9" max="9" width="13.42578125" style="23" customWidth="1"/>
    <col min="10" max="10" width="2" style="23" customWidth="1"/>
    <col min="11" max="12" width="6" style="23" customWidth="1"/>
    <col min="13" max="13" width="5.85546875" style="23" customWidth="1"/>
    <col min="14" max="14" width="0.5703125" style="23" customWidth="1"/>
    <col min="15" max="15" width="16.42578125" style="23" customWidth="1"/>
    <col min="16" max="16" width="2.5703125" style="23" customWidth="1"/>
    <col min="17" max="26" width="11.42578125" style="23"/>
    <col min="27" max="27" width="11.42578125" style="30"/>
    <col min="28" max="16384" width="11.42578125" style="23"/>
  </cols>
  <sheetData>
    <row r="1" spans="3:27" ht="9" customHeight="1"/>
    <row r="2" spans="3:27" ht="14.25" customHeight="1">
      <c r="C2" s="22" t="s">
        <v>326</v>
      </c>
      <c r="I2" s="769" t="s">
        <v>1</v>
      </c>
      <c r="J2" s="769"/>
      <c r="K2" s="769"/>
      <c r="L2" s="770"/>
      <c r="M2" s="771" t="str">
        <f>IFERROR(VLOOKUP(D11,codigo,2,0),"")</f>
        <v/>
      </c>
      <c r="N2" s="772"/>
      <c r="O2" s="773"/>
      <c r="AA2" s="23"/>
    </row>
    <row r="3" spans="3:27" ht="14.25" customHeight="1">
      <c r="C3" s="23" t="s">
        <v>327</v>
      </c>
      <c r="I3" s="769"/>
      <c r="J3" s="769"/>
      <c r="K3" s="769"/>
      <c r="L3" s="770"/>
      <c r="M3" s="774"/>
      <c r="N3" s="775"/>
      <c r="O3" s="776"/>
      <c r="AA3" s="23"/>
    </row>
    <row r="4" spans="3:27" ht="14.25" customHeight="1">
      <c r="C4" s="23" t="s">
        <v>328</v>
      </c>
      <c r="M4" s="24" t="s">
        <v>2</v>
      </c>
      <c r="N4" s="24"/>
      <c r="O4" s="25"/>
      <c r="AA4" s="23"/>
    </row>
    <row r="5" spans="3:27" ht="14.25" customHeight="1">
      <c r="N5" s="26"/>
      <c r="O5" s="27" t="str">
        <f>IF(M2="","XX","")</f>
        <v>XX</v>
      </c>
      <c r="AA5" s="23"/>
    </row>
    <row r="6" spans="3:27" s="28" customFormat="1" ht="34.5">
      <c r="C6" s="777" t="s">
        <v>2549</v>
      </c>
      <c r="D6" s="777"/>
      <c r="E6" s="777"/>
      <c r="F6" s="777"/>
      <c r="G6" s="777"/>
      <c r="H6" s="777"/>
      <c r="I6" s="777"/>
      <c r="J6" s="777"/>
      <c r="K6" s="777"/>
      <c r="L6" s="777"/>
      <c r="M6" s="777"/>
      <c r="N6" s="777"/>
      <c r="O6" s="777"/>
      <c r="Z6" s="29"/>
    </row>
    <row r="7" spans="3:27" ht="18.75" customHeight="1">
      <c r="C7" s="778" t="s">
        <v>917</v>
      </c>
      <c r="D7" s="778"/>
      <c r="E7" s="778"/>
      <c r="F7" s="778"/>
      <c r="G7" s="778"/>
      <c r="H7" s="778"/>
      <c r="I7" s="778"/>
      <c r="J7" s="778"/>
      <c r="K7" s="778"/>
      <c r="L7" s="778"/>
      <c r="M7" s="778"/>
      <c r="N7" s="778"/>
      <c r="O7" s="778"/>
    </row>
    <row r="8" spans="3:27" ht="18.75" customHeight="1">
      <c r="C8" s="778"/>
      <c r="D8" s="778"/>
      <c r="E8" s="778"/>
      <c r="F8" s="778"/>
      <c r="G8" s="778"/>
      <c r="H8" s="778"/>
      <c r="I8" s="778"/>
      <c r="J8" s="778"/>
      <c r="K8" s="778"/>
      <c r="L8" s="778"/>
      <c r="M8" s="778"/>
      <c r="N8" s="778"/>
      <c r="O8" s="778"/>
    </row>
    <row r="9" spans="3:27">
      <c r="C9" s="31"/>
      <c r="D9" s="31"/>
      <c r="E9" s="31"/>
      <c r="F9" s="31"/>
      <c r="G9" s="31"/>
      <c r="H9" s="31"/>
      <c r="I9" s="31"/>
      <c r="J9" s="31"/>
      <c r="K9" s="31"/>
      <c r="L9" s="31"/>
      <c r="M9" s="24"/>
      <c r="N9" s="24"/>
      <c r="O9" s="25"/>
    </row>
    <row r="10" spans="3:27" ht="6" customHeight="1">
      <c r="C10" s="32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</row>
    <row r="11" spans="3:27" ht="27">
      <c r="C11" s="33" t="s">
        <v>161</v>
      </c>
      <c r="D11" s="34"/>
      <c r="E11" s="31"/>
      <c r="F11" s="33" t="s">
        <v>15</v>
      </c>
      <c r="G11" s="760" t="str">
        <f>IFERROR(VLOOKUP(M2,datos,3,0),"")</f>
        <v/>
      </c>
      <c r="H11" s="761"/>
      <c r="I11" s="761"/>
      <c r="J11" s="761"/>
      <c r="K11" s="761"/>
      <c r="L11" s="761"/>
      <c r="M11" s="761"/>
      <c r="N11" s="761"/>
      <c r="O11" s="762"/>
    </row>
    <row r="12" spans="3:27" ht="8.25" customHeight="1">
      <c r="C12" s="35"/>
      <c r="D12" s="36"/>
      <c r="E12" s="36"/>
      <c r="F12" s="36"/>
      <c r="G12" s="36"/>
      <c r="H12" s="36"/>
      <c r="I12" s="36"/>
      <c r="J12" s="36"/>
      <c r="K12" s="37"/>
      <c r="L12" s="37"/>
      <c r="M12" s="37"/>
      <c r="N12" s="37"/>
      <c r="O12" s="37"/>
      <c r="P12" s="38"/>
    </row>
    <row r="13" spans="3:27" s="38" customFormat="1" ht="17.25" customHeight="1">
      <c r="C13" s="39" t="s">
        <v>2529</v>
      </c>
      <c r="D13" s="40" t="str">
        <f>IFERROR(VLOOKUP(M2,datos,16,0),"")</f>
        <v/>
      </c>
      <c r="E13" s="37"/>
      <c r="F13" s="39" t="s">
        <v>2530</v>
      </c>
      <c r="G13" s="763" t="str">
        <f>IFERROR(VLOOKUP(M2,datos,17,0),"")</f>
        <v/>
      </c>
      <c r="H13" s="764"/>
      <c r="I13" s="37"/>
      <c r="N13" s="41"/>
      <c r="O13" s="31"/>
      <c r="P13" s="23"/>
      <c r="AA13" s="42"/>
    </row>
    <row r="14" spans="3:27" ht="8.25" customHeight="1">
      <c r="C14" s="33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</row>
    <row r="15" spans="3:27" ht="32.25" customHeight="1">
      <c r="C15" s="43" t="s">
        <v>271</v>
      </c>
      <c r="D15" s="765" t="str">
        <f>IFERROR(VLOOKUP(M2,datos,18,0),"")</f>
        <v/>
      </c>
      <c r="E15" s="766"/>
      <c r="F15" s="766"/>
      <c r="G15" s="766"/>
      <c r="H15" s="766"/>
      <c r="I15" s="767"/>
      <c r="J15" s="31"/>
      <c r="L15" s="33" t="s">
        <v>10</v>
      </c>
      <c r="M15" s="749" t="str">
        <f>IFERROR(VLOOKUP(M2,datos,14,0),"")</f>
        <v/>
      </c>
      <c r="N15" s="768"/>
      <c r="O15" s="750"/>
    </row>
    <row r="16" spans="3:27" ht="7.5" customHeight="1">
      <c r="C16" s="33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</row>
    <row r="17" spans="1:27" ht="17.25" customHeight="1">
      <c r="C17" s="35" t="s">
        <v>329</v>
      </c>
      <c r="D17" s="751" t="str">
        <f>IFERROR(VLOOKUP(K17,prov,2,0),"")</f>
        <v/>
      </c>
      <c r="E17" s="779"/>
      <c r="F17" s="779"/>
      <c r="G17" s="779"/>
      <c r="H17" s="752"/>
      <c r="I17" s="44" t="str">
        <f>IFERROR(VLOOKUP(D17,ubicac,2,0),"")</f>
        <v/>
      </c>
      <c r="K17" s="45" t="str">
        <f>IFERROR(VLOOKUP(M2,datos,9,0),"")</f>
        <v/>
      </c>
      <c r="L17" s="46"/>
      <c r="M17" s="46"/>
      <c r="Z17" s="30"/>
      <c r="AA17" s="23"/>
    </row>
    <row r="18" spans="1:27" s="47" customFormat="1" ht="8.25" customHeight="1">
      <c r="C18" s="35"/>
      <c r="D18" s="48"/>
      <c r="E18" s="48"/>
      <c r="F18" s="49"/>
      <c r="G18" s="50"/>
      <c r="H18" s="50"/>
      <c r="I18" s="49"/>
      <c r="J18" s="49"/>
      <c r="K18" s="49"/>
      <c r="L18" s="49"/>
      <c r="M18" s="50"/>
      <c r="N18" s="50"/>
      <c r="O18" s="50"/>
      <c r="AA18" s="51"/>
    </row>
    <row r="19" spans="1:27" s="47" customFormat="1" ht="17.25" customHeight="1">
      <c r="C19" s="35" t="s">
        <v>158</v>
      </c>
      <c r="D19" s="751" t="str">
        <f>IFERROR(VLOOKUP(M2,datos,13,0),"")</f>
        <v/>
      </c>
      <c r="E19" s="752"/>
      <c r="F19" s="759" t="s">
        <v>159</v>
      </c>
      <c r="G19" s="759"/>
      <c r="H19" s="753" t="str">
        <f>IFERROR(VLOOKUP(M2,datos,19,0),"")</f>
        <v/>
      </c>
      <c r="I19" s="754"/>
      <c r="J19" s="754"/>
      <c r="K19" s="754"/>
      <c r="L19" s="754"/>
      <c r="M19" s="754"/>
      <c r="N19" s="754"/>
      <c r="O19" s="755"/>
      <c r="AA19" s="51"/>
    </row>
    <row r="20" spans="1:27" s="47" customFormat="1">
      <c r="C20" s="35"/>
      <c r="D20" s="48"/>
      <c r="E20" s="48"/>
      <c r="F20" s="759"/>
      <c r="G20" s="759"/>
      <c r="H20" s="756"/>
      <c r="I20" s="757"/>
      <c r="J20" s="757"/>
      <c r="K20" s="757"/>
      <c r="L20" s="757"/>
      <c r="M20" s="757"/>
      <c r="N20" s="757"/>
      <c r="O20" s="758"/>
      <c r="AA20" s="51"/>
    </row>
    <row r="21" spans="1:27" s="47" customFormat="1" ht="8.25" customHeight="1">
      <c r="C21" s="35"/>
      <c r="D21" s="48"/>
      <c r="E21" s="48"/>
      <c r="F21" s="49"/>
      <c r="G21" s="50"/>
      <c r="H21" s="50"/>
      <c r="I21" s="49"/>
      <c r="J21" s="49"/>
      <c r="K21" s="49"/>
      <c r="L21" s="49"/>
      <c r="M21" s="50"/>
      <c r="N21" s="50"/>
      <c r="O21" s="50"/>
      <c r="AA21" s="51"/>
    </row>
    <row r="22" spans="1:27" s="47" customFormat="1" ht="17.25" customHeight="1">
      <c r="C22" s="33" t="s">
        <v>160</v>
      </c>
      <c r="D22" s="749" t="str">
        <f>IFERROR(VLOOKUP(M2,datos,4,0),"")</f>
        <v/>
      </c>
      <c r="E22" s="768"/>
      <c r="F22" s="750"/>
      <c r="G22" s="31"/>
      <c r="H22" s="39" t="s">
        <v>14</v>
      </c>
      <c r="I22" s="749" t="str">
        <f>IFERROR(VLOOKUP(M2,datos,5,0),"")</f>
        <v/>
      </c>
      <c r="J22" s="750"/>
      <c r="K22" s="49"/>
      <c r="L22" s="49"/>
      <c r="M22" s="50"/>
      <c r="N22" s="50"/>
      <c r="O22" s="50"/>
      <c r="AA22" s="51"/>
    </row>
    <row r="23" spans="1:27" s="47" customFormat="1" ht="8.25" customHeight="1">
      <c r="C23" s="52"/>
      <c r="D23" s="52"/>
      <c r="E23" s="52"/>
      <c r="F23" s="52"/>
      <c r="G23" s="52"/>
      <c r="H23" s="52"/>
      <c r="I23" s="52"/>
      <c r="J23" s="52"/>
      <c r="K23" s="53"/>
      <c r="L23" s="53"/>
      <c r="M23" s="54"/>
      <c r="N23" s="54"/>
      <c r="O23" s="54"/>
      <c r="AA23" s="51"/>
    </row>
    <row r="24" spans="1:27" s="47" customFormat="1" ht="8.25" customHeight="1">
      <c r="C24" s="55"/>
      <c r="D24" s="55"/>
      <c r="E24" s="55"/>
      <c r="F24" s="55"/>
      <c r="G24" s="55"/>
      <c r="H24" s="55"/>
      <c r="I24" s="56"/>
      <c r="J24" s="55"/>
      <c r="K24" s="57"/>
      <c r="L24" s="57"/>
      <c r="M24" s="50"/>
      <c r="N24" s="50"/>
      <c r="O24" s="58"/>
      <c r="AA24" s="51"/>
    </row>
    <row r="25" spans="1:27" s="47" customFormat="1" ht="17.25" customHeight="1">
      <c r="C25" s="59" t="s">
        <v>305</v>
      </c>
      <c r="E25" s="60"/>
      <c r="F25" s="60"/>
      <c r="G25" s="60"/>
      <c r="H25" s="60"/>
      <c r="I25" s="56"/>
      <c r="J25" s="61"/>
      <c r="K25" s="61"/>
      <c r="L25" s="61"/>
      <c r="M25" s="61"/>
      <c r="N25" s="62"/>
      <c r="O25" s="63"/>
      <c r="AA25" s="51"/>
    </row>
    <row r="26" spans="1:27" s="47" customFormat="1" ht="14.25" customHeight="1">
      <c r="C26" s="780" t="s">
        <v>1670</v>
      </c>
      <c r="D26" s="780"/>
      <c r="E26" s="781"/>
      <c r="F26" s="782"/>
      <c r="G26" s="64"/>
      <c r="H26" s="786" t="str">
        <f>IF(F26="Sí","Complete el Cuadro 8 (Parte 1, 2 y 3) de este formulario.","")</f>
        <v/>
      </c>
      <c r="I26" s="786"/>
      <c r="J26" s="786"/>
      <c r="K26" s="786"/>
      <c r="L26" s="786"/>
      <c r="M26" s="786"/>
      <c r="N26" s="786"/>
      <c r="O26" s="786"/>
      <c r="AA26" s="51"/>
    </row>
    <row r="27" spans="1:27" s="47" customFormat="1" ht="14.25" customHeight="1">
      <c r="C27" s="780"/>
      <c r="D27" s="780"/>
      <c r="E27" s="781"/>
      <c r="F27" s="782"/>
      <c r="G27" s="64"/>
      <c r="H27" s="786"/>
      <c r="I27" s="786"/>
      <c r="J27" s="786"/>
      <c r="K27" s="786"/>
      <c r="L27" s="786"/>
      <c r="M27" s="786"/>
      <c r="N27" s="786"/>
      <c r="O27" s="786"/>
      <c r="AA27" s="51"/>
    </row>
    <row r="28" spans="1:27" s="47" customFormat="1" ht="18" customHeight="1">
      <c r="A28" s="65" t="s">
        <v>320</v>
      </c>
      <c r="C28" s="66" t="str">
        <f>IFERROR(VLOOKUP(M2,datos,24,0),"")</f>
        <v/>
      </c>
      <c r="D28" s="51"/>
      <c r="E28" s="67" t="s">
        <v>1743</v>
      </c>
      <c r="F28" s="68"/>
      <c r="G28" s="69"/>
      <c r="H28" s="681" t="str">
        <f>IF(F28="Sí","Complete el formulario para Técnica Nocturna y, el Cuadro 1 de este formulario.","")</f>
        <v/>
      </c>
      <c r="I28" s="51"/>
      <c r="J28" s="682"/>
      <c r="K28" s="51"/>
      <c r="L28" s="51"/>
      <c r="M28" s="683"/>
      <c r="N28" s="684"/>
      <c r="O28" s="685"/>
      <c r="AA28" s="51"/>
    </row>
    <row r="29" spans="1:27" s="47" customFormat="1" ht="18" customHeight="1">
      <c r="A29" s="65" t="s">
        <v>321</v>
      </c>
      <c r="C29" s="66" t="str">
        <f>IFERROR(VLOOKUP(M2,datos,21,0),"")</f>
        <v/>
      </c>
      <c r="D29" s="51"/>
      <c r="E29" s="67" t="s">
        <v>864</v>
      </c>
      <c r="F29" s="68"/>
      <c r="G29" s="69"/>
      <c r="H29" s="681" t="str">
        <f>IF(F29="Sí","Complete el formulario para Plan Nacional y, el Cuadro 1 de este formulario.","")</f>
        <v/>
      </c>
      <c r="I29" s="51"/>
      <c r="J29" s="682"/>
      <c r="K29" s="51"/>
      <c r="L29" s="51"/>
      <c r="M29" s="683"/>
      <c r="N29" s="684"/>
      <c r="O29" s="685"/>
      <c r="AA29" s="51"/>
    </row>
    <row r="30" spans="1:27" s="47" customFormat="1" ht="18" customHeight="1">
      <c r="C30" s="72" t="str">
        <f>IFERROR(VLOOKUP(M2,datos,23,0),"")</f>
        <v/>
      </c>
      <c r="D30" s="51"/>
      <c r="E30" s="67" t="s">
        <v>325</v>
      </c>
      <c r="F30" s="68"/>
      <c r="G30" s="69"/>
      <c r="H30" s="681" t="str">
        <f>IF(F30="Sí","Complete el Cuadro 1.","")</f>
        <v/>
      </c>
      <c r="I30" s="51"/>
      <c r="J30" s="682"/>
      <c r="K30" s="51"/>
      <c r="L30" s="51"/>
      <c r="M30" s="686"/>
      <c r="N30" s="686"/>
      <c r="O30" s="686"/>
      <c r="AA30" s="51"/>
    </row>
    <row r="31" spans="1:27" s="47" customFormat="1" ht="18" customHeight="1">
      <c r="C31" s="51"/>
      <c r="D31" s="51"/>
      <c r="E31" s="67" t="s">
        <v>1667</v>
      </c>
      <c r="F31" s="68"/>
      <c r="G31" s="69"/>
      <c r="H31" s="70"/>
      <c r="J31" s="71"/>
      <c r="M31" s="73"/>
      <c r="N31" s="73"/>
      <c r="O31" s="73"/>
      <c r="AA31" s="51"/>
    </row>
    <row r="32" spans="1:27" s="74" customFormat="1" ht="8.25" customHeight="1">
      <c r="C32" s="75"/>
      <c r="D32" s="76"/>
      <c r="E32" s="75"/>
      <c r="F32" s="75"/>
      <c r="G32" s="77"/>
      <c r="H32" s="78"/>
      <c r="I32" s="78"/>
      <c r="J32" s="79"/>
      <c r="K32" s="79"/>
      <c r="L32" s="79"/>
      <c r="M32" s="79"/>
      <c r="N32" s="79"/>
      <c r="O32" s="79"/>
      <c r="W32" s="80"/>
    </row>
    <row r="33" spans="3:27" ht="18" customHeight="1">
      <c r="C33" s="81" t="s">
        <v>895</v>
      </c>
      <c r="D33" s="82"/>
      <c r="E33" s="82"/>
      <c r="F33" s="82"/>
      <c r="G33" s="82"/>
      <c r="H33" s="81" t="s">
        <v>898</v>
      </c>
      <c r="I33" s="82"/>
      <c r="J33" s="82"/>
      <c r="K33" s="82"/>
      <c r="L33" s="82"/>
      <c r="M33" s="82"/>
      <c r="N33" s="82"/>
      <c r="O33" s="82"/>
    </row>
    <row r="34" spans="3:27" ht="17.25" customHeight="1">
      <c r="C34" s="39" t="s">
        <v>896</v>
      </c>
      <c r="D34" s="749" t="str">
        <f>IFERROR(VLOOKUP(M2,datos,15,0),"")</f>
        <v/>
      </c>
      <c r="E34" s="768"/>
      <c r="F34" s="750"/>
      <c r="G34" s="37"/>
      <c r="H34" s="39" t="s">
        <v>896</v>
      </c>
      <c r="I34" s="783"/>
      <c r="J34" s="784"/>
      <c r="K34" s="784"/>
      <c r="L34" s="784"/>
      <c r="M34" s="784"/>
      <c r="N34" s="784"/>
      <c r="O34" s="785"/>
      <c r="Z34" s="30"/>
      <c r="AA34" s="23"/>
    </row>
    <row r="35" spans="3:27" ht="8.25" customHeight="1">
      <c r="C35" s="83"/>
      <c r="D35" s="31"/>
      <c r="E35" s="31"/>
      <c r="F35" s="31"/>
      <c r="G35" s="31"/>
      <c r="H35" s="83"/>
      <c r="I35" s="31"/>
      <c r="J35" s="31"/>
      <c r="K35" s="31"/>
      <c r="L35" s="31"/>
      <c r="M35" s="31"/>
      <c r="N35" s="31"/>
      <c r="O35" s="31"/>
      <c r="Z35" s="30"/>
      <c r="AA35" s="23"/>
    </row>
    <row r="36" spans="3:27" ht="20.25" customHeight="1">
      <c r="C36" s="39" t="s">
        <v>897</v>
      </c>
      <c r="D36" s="787"/>
      <c r="E36" s="788"/>
      <c r="F36" s="789"/>
      <c r="H36" s="39" t="s">
        <v>897</v>
      </c>
      <c r="I36" s="787"/>
      <c r="J36" s="788"/>
      <c r="K36" s="788"/>
      <c r="L36" s="788"/>
      <c r="M36" s="788"/>
      <c r="N36" s="788"/>
      <c r="O36" s="789"/>
      <c r="Z36" s="30"/>
      <c r="AA36" s="23"/>
    </row>
    <row r="37" spans="3:27" s="47" customFormat="1" ht="8.25" customHeight="1">
      <c r="C37" s="49"/>
      <c r="E37" s="84"/>
      <c r="F37" s="84"/>
      <c r="G37" s="84"/>
      <c r="H37" s="49"/>
      <c r="I37" s="85"/>
      <c r="J37" s="85"/>
      <c r="K37" s="85"/>
      <c r="L37" s="85"/>
      <c r="M37" s="84"/>
      <c r="N37" s="84"/>
      <c r="O37" s="84"/>
      <c r="Z37" s="51"/>
    </row>
    <row r="38" spans="3:27" ht="17.25" customHeight="1">
      <c r="C38" s="39" t="s">
        <v>1668</v>
      </c>
      <c r="D38" s="86"/>
      <c r="F38" s="87"/>
      <c r="H38" s="39" t="s">
        <v>1668</v>
      </c>
      <c r="I38" s="790"/>
      <c r="J38" s="791"/>
      <c r="K38" s="792"/>
      <c r="O38" s="31"/>
      <c r="Z38" s="30"/>
      <c r="AA38" s="23"/>
    </row>
    <row r="39" spans="3:27" ht="8.25" customHeight="1"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Z39" s="30"/>
      <c r="AA39" s="23"/>
    </row>
    <row r="40" spans="3:27" ht="17.25" customHeight="1">
      <c r="C40" s="35"/>
      <c r="D40" s="793"/>
      <c r="E40" s="793"/>
      <c r="F40" s="31"/>
      <c r="Z40" s="30"/>
      <c r="AA40" s="23"/>
    </row>
    <row r="41" spans="3:27" ht="20.25" customHeight="1">
      <c r="F41" s="31"/>
      <c r="G41" s="795" t="s">
        <v>1940</v>
      </c>
      <c r="H41" s="796"/>
      <c r="I41" s="796"/>
      <c r="J41" s="796"/>
      <c r="K41" s="796"/>
      <c r="L41" s="796"/>
      <c r="M41" s="796"/>
      <c r="N41" s="796"/>
      <c r="O41" s="797"/>
      <c r="Z41" s="30"/>
      <c r="AA41" s="23"/>
    </row>
    <row r="42" spans="3:27" ht="20.25" customHeight="1">
      <c r="D42" s="88"/>
      <c r="E42" s="88"/>
      <c r="F42" s="89"/>
      <c r="G42" s="798"/>
      <c r="H42" s="799"/>
      <c r="I42" s="799"/>
      <c r="J42" s="799"/>
      <c r="K42" s="799"/>
      <c r="L42" s="799"/>
      <c r="M42" s="799"/>
      <c r="N42" s="799"/>
      <c r="O42" s="800"/>
      <c r="Z42" s="30"/>
      <c r="AA42" s="23"/>
    </row>
    <row r="43" spans="3:27" ht="20.25" customHeight="1">
      <c r="F43" s="89"/>
      <c r="G43" s="798"/>
      <c r="H43" s="799"/>
      <c r="I43" s="799"/>
      <c r="J43" s="799"/>
      <c r="K43" s="799"/>
      <c r="L43" s="799"/>
      <c r="M43" s="799"/>
      <c r="N43" s="799"/>
      <c r="O43" s="800"/>
      <c r="Z43" s="30"/>
      <c r="AA43" s="23"/>
    </row>
    <row r="44" spans="3:27" ht="20.25" customHeight="1">
      <c r="D44" s="804"/>
      <c r="E44" s="804"/>
      <c r="G44" s="798"/>
      <c r="H44" s="799"/>
      <c r="I44" s="799"/>
      <c r="J44" s="799"/>
      <c r="K44" s="799"/>
      <c r="L44" s="799"/>
      <c r="M44" s="799"/>
      <c r="N44" s="799"/>
      <c r="O44" s="800"/>
      <c r="Z44" s="30"/>
      <c r="AA44" s="23"/>
    </row>
    <row r="45" spans="3:27" ht="20.25" customHeight="1">
      <c r="D45" s="794" t="s">
        <v>330</v>
      </c>
      <c r="E45" s="794"/>
      <c r="G45" s="801"/>
      <c r="H45" s="802"/>
      <c r="I45" s="802"/>
      <c r="J45" s="802"/>
      <c r="K45" s="802"/>
      <c r="L45" s="802"/>
      <c r="M45" s="802"/>
      <c r="N45" s="802"/>
      <c r="O45" s="803"/>
      <c r="Z45" s="30"/>
      <c r="AA45" s="23"/>
    </row>
    <row r="68" ht="15" customHeight="1"/>
    <row r="69" ht="14.25" customHeight="1"/>
    <row r="70" ht="14.25" customHeight="1"/>
    <row r="71" ht="14.25" customHeight="1"/>
    <row r="72" ht="14.25" customHeight="1"/>
    <row r="73" ht="15" customHeight="1"/>
  </sheetData>
  <sheetProtection algorithmName="SHA-512" hashValue="ox/E5JSWlk0qAbugAZIwgAc5t22v2ZqOQfRPN6krAc+MfSr4z9oTwy1Bv/A8VJ0tiy8eOopJ/ywgy/NvZKdr0Q==" saltValue="xl0MVcIj0rZ3bNxMK4HU5g==" spinCount="100000" sheet="1" objects="1" scenarios="1"/>
  <mergeCells count="26">
    <mergeCell ref="D36:F36"/>
    <mergeCell ref="I38:K38"/>
    <mergeCell ref="D40:E40"/>
    <mergeCell ref="D45:E45"/>
    <mergeCell ref="I36:O36"/>
    <mergeCell ref="G41:O45"/>
    <mergeCell ref="D44:E44"/>
    <mergeCell ref="D34:F34"/>
    <mergeCell ref="C26:E27"/>
    <mergeCell ref="F26:F27"/>
    <mergeCell ref="I34:O34"/>
    <mergeCell ref="H26:O27"/>
    <mergeCell ref="I2:L3"/>
    <mergeCell ref="M2:O3"/>
    <mergeCell ref="C6:O6"/>
    <mergeCell ref="C7:O8"/>
    <mergeCell ref="D17:H17"/>
    <mergeCell ref="I22:J22"/>
    <mergeCell ref="D19:E19"/>
    <mergeCell ref="H19:O20"/>
    <mergeCell ref="F19:G20"/>
    <mergeCell ref="G11:O11"/>
    <mergeCell ref="G13:H13"/>
    <mergeCell ref="D15:I15"/>
    <mergeCell ref="M15:O15"/>
    <mergeCell ref="D22:F22"/>
  </mergeCells>
  <conditionalFormatting sqref="I22:J22 D13 M15:N15 D15:I15 D19:E19 D22:F22 G11:O11 N13 G13:H13">
    <cfRule type="cellIs" dxfId="307" priority="46" operator="equal">
      <formula>#N/A</formula>
    </cfRule>
  </conditionalFormatting>
  <conditionalFormatting sqref="O29">
    <cfRule type="cellIs" dxfId="306" priority="30" operator="equal">
      <formula>"NO"</formula>
    </cfRule>
    <cfRule type="cellIs" dxfId="305" priority="31" operator="equal">
      <formula>"x"</formula>
    </cfRule>
    <cfRule type="cellIs" dxfId="304" priority="32" operator="greaterThan">
      <formula>0</formula>
    </cfRule>
  </conditionalFormatting>
  <conditionalFormatting sqref="O24:O25">
    <cfRule type="notContainsBlanks" dxfId="303" priority="22">
      <formula>LEN(TRIM(O24))&gt;0</formula>
    </cfRule>
  </conditionalFormatting>
  <conditionalFormatting sqref="P26:P27">
    <cfRule type="cellIs" dxfId="302" priority="17" operator="equal">
      <formula>"x"</formula>
    </cfRule>
  </conditionalFormatting>
  <conditionalFormatting sqref="P26:P27">
    <cfRule type="cellIs" dxfId="301" priority="16" operator="equal">
      <formula>"NO"</formula>
    </cfRule>
  </conditionalFormatting>
  <conditionalFormatting sqref="K17">
    <cfRule type="cellIs" dxfId="300" priority="14" operator="equal">
      <formula>#N/A</formula>
    </cfRule>
  </conditionalFormatting>
  <conditionalFormatting sqref="D17">
    <cfRule type="cellIs" dxfId="299" priority="13" operator="equal">
      <formula>#N/A</formula>
    </cfRule>
  </conditionalFormatting>
  <conditionalFormatting sqref="C29">
    <cfRule type="cellIs" dxfId="298" priority="12" operator="equal">
      <formula>0</formula>
    </cfRule>
  </conditionalFormatting>
  <conditionalFormatting sqref="I17">
    <cfRule type="cellIs" dxfId="297" priority="9" operator="equal">
      <formula>#N/A</formula>
    </cfRule>
  </conditionalFormatting>
  <conditionalFormatting sqref="F26:F27 F31 F29">
    <cfRule type="containsBlanks" dxfId="296" priority="8">
      <formula>LEN(TRIM(F26))=0</formula>
    </cfRule>
  </conditionalFormatting>
  <conditionalFormatting sqref="F30">
    <cfRule type="containsBlanks" dxfId="295" priority="7">
      <formula>LEN(TRIM(F30))=0</formula>
    </cfRule>
  </conditionalFormatting>
  <conditionalFormatting sqref="C30">
    <cfRule type="cellIs" dxfId="294" priority="6" operator="equal">
      <formula>0</formula>
    </cfRule>
  </conditionalFormatting>
  <conditionalFormatting sqref="O28">
    <cfRule type="cellIs" dxfId="293" priority="3" operator="equal">
      <formula>"NO"</formula>
    </cfRule>
    <cfRule type="cellIs" dxfId="292" priority="4" operator="equal">
      <formula>"x"</formula>
    </cfRule>
    <cfRule type="cellIs" dxfId="291" priority="5" operator="greaterThan">
      <formula>0</formula>
    </cfRule>
  </conditionalFormatting>
  <conditionalFormatting sqref="C28">
    <cfRule type="cellIs" dxfId="290" priority="2" operator="equal">
      <formula>0</formula>
    </cfRule>
  </conditionalFormatting>
  <conditionalFormatting sqref="F28">
    <cfRule type="containsBlanks" dxfId="289" priority="1">
      <formula>LEN(TRIM(F28))=0</formula>
    </cfRule>
  </conditionalFormatting>
  <dataValidations xWindow="122" yWindow="211" count="3">
    <dataValidation type="list" allowBlank="1" showInputMessage="1" showErrorMessage="1" sqref="F26 G32 F28:F31">
      <formula1>SINO</formula1>
    </dataValidation>
    <dataValidation allowBlank="1" showInputMessage="1" showErrorMessage="1" prompt="Digite únicamente los últimos 4 dígitos del Código Presupuestario._x000a__x000a_-C.T.P. SAN AGUSTIN CIUDAD DE LOS NIÑOS debe digitar 0007_x000a_-C.T.P. C.I.T. debe digitar 0008_x000a_-COLEGIO AGROPECUARIO DE SAN CARLOS debe digitar 0010" sqref="D11"/>
    <dataValidation type="list" allowBlank="1" showInputMessage="1" showErrorMessage="1" sqref="G18">
      <formula1>Canton</formula1>
    </dataValidation>
  </dataValidations>
  <printOptions horizontalCentered="1" verticalCentered="1"/>
  <pageMargins left="0" right="0.15748031496062992" top="0.23622047244094491" bottom="0.19685039370078741" header="0.43307086614173229" footer="0.19685039370078741"/>
  <pageSetup scale="86" orientation="landscape" cellComments="asDisplayed" r:id="rId1"/>
  <headerFooter scaleWithDoc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B1:M31"/>
  <sheetViews>
    <sheetView showGridLines="0" showRuler="0" zoomScale="90" zoomScaleNormal="90" workbookViewId="0"/>
  </sheetViews>
  <sheetFormatPr baseColWidth="10" defaultRowHeight="14.25"/>
  <cols>
    <col min="1" max="1" width="8.28515625" style="212" customWidth="1"/>
    <col min="2" max="2" width="38.7109375" style="212" customWidth="1"/>
    <col min="3" max="3" width="4.7109375" style="212" customWidth="1"/>
    <col min="4" max="9" width="11.140625" style="212" customWidth="1"/>
    <col min="10" max="10" width="13.140625" style="212" customWidth="1"/>
    <col min="11" max="11" width="45.7109375" style="212" customWidth="1"/>
    <col min="12" max="16384" width="11.42578125" style="212"/>
  </cols>
  <sheetData>
    <row r="1" spans="2:13" ht="18">
      <c r="B1" s="621" t="s">
        <v>813</v>
      </c>
      <c r="C1" s="621"/>
      <c r="E1" s="678"/>
      <c r="G1" s="738"/>
      <c r="H1" s="738"/>
      <c r="I1" s="805" t="str">
        <f>+Portada!$M$2</f>
        <v/>
      </c>
      <c r="J1" s="806"/>
      <c r="K1" s="622"/>
      <c r="L1" s="622"/>
      <c r="M1" s="622"/>
    </row>
    <row r="2" spans="2:13" ht="38.25" customHeight="1" thickBot="1">
      <c r="B2" s="819" t="s">
        <v>1744</v>
      </c>
      <c r="C2" s="819"/>
      <c r="D2" s="819"/>
      <c r="E2" s="819"/>
      <c r="F2" s="819"/>
      <c r="G2" s="819"/>
      <c r="H2" s="819"/>
      <c r="I2" s="819"/>
      <c r="J2" s="819"/>
    </row>
    <row r="3" spans="2:13" ht="26.25" customHeight="1" thickTop="1">
      <c r="B3" s="822" t="s">
        <v>1745</v>
      </c>
      <c r="C3" s="623"/>
      <c r="D3" s="824" t="s">
        <v>815</v>
      </c>
      <c r="E3" s="825"/>
      <c r="F3" s="825"/>
      <c r="G3" s="828" t="s">
        <v>1742</v>
      </c>
      <c r="H3" s="825"/>
      <c r="I3" s="829"/>
      <c r="J3" s="820" t="s">
        <v>910</v>
      </c>
    </row>
    <row r="4" spans="2:13" ht="26.25" customHeight="1" thickBot="1">
      <c r="B4" s="823"/>
      <c r="C4" s="624"/>
      <c r="D4" s="625" t="s">
        <v>0</v>
      </c>
      <c r="E4" s="626" t="s">
        <v>165</v>
      </c>
      <c r="F4" s="406" t="s">
        <v>166</v>
      </c>
      <c r="G4" s="405" t="s">
        <v>0</v>
      </c>
      <c r="H4" s="626" t="s">
        <v>165</v>
      </c>
      <c r="I4" s="627" t="s">
        <v>166</v>
      </c>
      <c r="J4" s="821"/>
    </row>
    <row r="5" spans="2:13" ht="26.25" customHeight="1" thickTop="1" thickBot="1">
      <c r="B5" s="628" t="s">
        <v>303</v>
      </c>
      <c r="C5" s="629"/>
      <c r="D5" s="630">
        <f>+E5+F5</f>
        <v>0</v>
      </c>
      <c r="E5" s="631">
        <f>E6+E13+E14+E15</f>
        <v>0</v>
      </c>
      <c r="F5" s="632">
        <f>F6+F13+F14+F15</f>
        <v>0</v>
      </c>
      <c r="G5" s="695"/>
      <c r="H5" s="696"/>
      <c r="I5" s="696"/>
      <c r="J5" s="693">
        <f>+J6+J13+J14</f>
        <v>0</v>
      </c>
    </row>
    <row r="6" spans="2:13" ht="27" customHeight="1">
      <c r="B6" s="633" t="s">
        <v>917</v>
      </c>
      <c r="C6" s="634"/>
      <c r="D6" s="245">
        <f>+E6+F6</f>
        <v>0</v>
      </c>
      <c r="E6" s="635">
        <f>SUM(E7:E12)</f>
        <v>0</v>
      </c>
      <c r="F6" s="275">
        <f>SUM(F7:F12)</f>
        <v>0</v>
      </c>
      <c r="G6" s="108">
        <f>+H6+I6</f>
        <v>0</v>
      </c>
      <c r="H6" s="635">
        <f>SUM(H7:H12)</f>
        <v>0</v>
      </c>
      <c r="I6" s="579">
        <f>SUM(I7:I12)</f>
        <v>0</v>
      </c>
      <c r="J6" s="108">
        <f>SUM(J7:J12)</f>
        <v>0</v>
      </c>
    </row>
    <row r="7" spans="2:13" ht="24" customHeight="1">
      <c r="B7" s="636" t="s">
        <v>885</v>
      </c>
      <c r="C7" s="637"/>
      <c r="D7" s="245">
        <f t="shared" ref="D7:D12" si="0">+E7+F7</f>
        <v>0</v>
      </c>
      <c r="E7" s="638"/>
      <c r="F7" s="639"/>
      <c r="G7" s="108">
        <f t="shared" ref="G7:G12" si="1">+H7+I7</f>
        <v>0</v>
      </c>
      <c r="H7" s="638"/>
      <c r="I7" s="640"/>
      <c r="J7" s="641"/>
      <c r="K7" s="642" t="str">
        <f>IF(AND(OR(D7&gt;0),AND(J7=0)),"Digite el número de secciones",IF(AND(OR(D7=0),AND(J7&gt;D7)),"No hay matrícula digitada",IF(AND(OR(D7&gt;0),AND(J7&gt;D7)),"Hay más secciones que matrícula","")))</f>
        <v/>
      </c>
    </row>
    <row r="8" spans="2:13" ht="24" customHeight="1">
      <c r="B8" s="636" t="s">
        <v>886</v>
      </c>
      <c r="C8" s="637"/>
      <c r="D8" s="228">
        <f t="shared" si="0"/>
        <v>0</v>
      </c>
      <c r="E8" s="643"/>
      <c r="F8" s="276"/>
      <c r="G8" s="441">
        <f t="shared" si="1"/>
        <v>0</v>
      </c>
      <c r="H8" s="638"/>
      <c r="I8" s="640"/>
      <c r="J8" s="112"/>
      <c r="K8" s="642" t="str">
        <f t="shared" ref="K8:K14" si="2">IF(AND(OR(D8&gt;0),AND(J8=0)),"Digite el número de secciones",IF(AND(OR(D8=0),AND(J8&gt;D8)),"No hay matrícula digitada",IF(AND(OR(D8&gt;0),AND(J8&gt;D8)),"Hay más secciones que matrícula","")))</f>
        <v/>
      </c>
    </row>
    <row r="9" spans="2:13" ht="24" customHeight="1">
      <c r="B9" s="636" t="s">
        <v>887</v>
      </c>
      <c r="C9" s="637"/>
      <c r="D9" s="228">
        <f t="shared" si="0"/>
        <v>0</v>
      </c>
      <c r="E9" s="643"/>
      <c r="F9" s="276"/>
      <c r="G9" s="441">
        <f t="shared" si="1"/>
        <v>0</v>
      </c>
      <c r="H9" s="638"/>
      <c r="I9" s="640"/>
      <c r="J9" s="112"/>
      <c r="K9" s="642" t="str">
        <f t="shared" si="2"/>
        <v/>
      </c>
    </row>
    <row r="10" spans="2:13" ht="24" customHeight="1">
      <c r="B10" s="636" t="s">
        <v>875</v>
      </c>
      <c r="C10" s="644"/>
      <c r="D10" s="228">
        <f t="shared" si="0"/>
        <v>0</v>
      </c>
      <c r="E10" s="643"/>
      <c r="F10" s="276"/>
      <c r="G10" s="441">
        <f t="shared" si="1"/>
        <v>0</v>
      </c>
      <c r="H10" s="638"/>
      <c r="I10" s="640"/>
      <c r="J10" s="112"/>
      <c r="K10" s="642" t="str">
        <f t="shared" si="2"/>
        <v/>
      </c>
    </row>
    <row r="11" spans="2:13" ht="24" customHeight="1">
      <c r="B11" s="636" t="s">
        <v>888</v>
      </c>
      <c r="C11" s="637"/>
      <c r="D11" s="245">
        <f t="shared" si="0"/>
        <v>0</v>
      </c>
      <c r="E11" s="638"/>
      <c r="F11" s="639"/>
      <c r="G11" s="108">
        <f t="shared" si="1"/>
        <v>0</v>
      </c>
      <c r="H11" s="638"/>
      <c r="I11" s="640"/>
      <c r="J11" s="641"/>
      <c r="K11" s="642" t="str">
        <f t="shared" si="2"/>
        <v/>
      </c>
    </row>
    <row r="12" spans="2:13" ht="24" customHeight="1">
      <c r="B12" s="645" t="s">
        <v>889</v>
      </c>
      <c r="C12" s="646"/>
      <c r="D12" s="647">
        <f t="shared" si="0"/>
        <v>0</v>
      </c>
      <c r="E12" s="648"/>
      <c r="F12" s="649"/>
      <c r="G12" s="650">
        <f t="shared" si="1"/>
        <v>0</v>
      </c>
      <c r="H12" s="638"/>
      <c r="I12" s="640"/>
      <c r="J12" s="651"/>
      <c r="K12" s="642" t="str">
        <f t="shared" si="2"/>
        <v/>
      </c>
    </row>
    <row r="13" spans="2:13" ht="24" customHeight="1">
      <c r="B13" s="652" t="s">
        <v>1614</v>
      </c>
      <c r="C13" s="653" t="str">
        <f>IF(D13=0,"","#")</f>
        <v/>
      </c>
      <c r="D13" s="654">
        <f>+E13+F13</f>
        <v>0</v>
      </c>
      <c r="E13" s="655"/>
      <c r="F13" s="656"/>
      <c r="G13" s="830" t="str">
        <f>IF(OR(H7&gt;E7,H8&gt;E8,H9&gt;E9,H10&gt;E10,H11&gt;E11,H12&gt;E12,I7&gt;F7,I8&gt;F8,I9&gt;F9,I10&gt;F10,I11&gt;F11,I12&gt;F12),"El dato de repitentes no puede ser mayor a la matrícula, en hombres o mujeres. VERIFICAR!!","")</f>
        <v/>
      </c>
      <c r="H13" s="831"/>
      <c r="I13" s="832"/>
      <c r="J13" s="656"/>
      <c r="K13" s="642" t="str">
        <f t="shared" si="2"/>
        <v/>
      </c>
    </row>
    <row r="14" spans="2:13" ht="24" customHeight="1">
      <c r="B14" s="657" t="s">
        <v>324</v>
      </c>
      <c r="C14" s="658" t="str">
        <f>IF(D14=0,"","##")</f>
        <v/>
      </c>
      <c r="D14" s="659">
        <f>+E14+F14</f>
        <v>0</v>
      </c>
      <c r="E14" s="660"/>
      <c r="F14" s="661"/>
      <c r="G14" s="833"/>
      <c r="H14" s="834"/>
      <c r="I14" s="835"/>
      <c r="J14" s="661"/>
      <c r="K14" s="642" t="str">
        <f t="shared" si="2"/>
        <v/>
      </c>
    </row>
    <row r="15" spans="2:13" ht="24" customHeight="1">
      <c r="B15" s="826" t="s">
        <v>814</v>
      </c>
      <c r="C15" s="827"/>
      <c r="D15" s="245">
        <f>+E15+F15</f>
        <v>0</v>
      </c>
      <c r="E15" s="635">
        <f>SUM(E16:E20)</f>
        <v>0</v>
      </c>
      <c r="F15" s="275">
        <f>SUM(F16:F20)</f>
        <v>0</v>
      </c>
      <c r="G15" s="833"/>
      <c r="H15" s="834"/>
      <c r="I15" s="835"/>
      <c r="J15" s="836"/>
    </row>
    <row r="16" spans="2:13" ht="22.5" customHeight="1">
      <c r="B16" s="662" t="s">
        <v>298</v>
      </c>
      <c r="C16" s="663"/>
      <c r="D16" s="228">
        <f>+E16+F16</f>
        <v>0</v>
      </c>
      <c r="E16" s="643"/>
      <c r="F16" s="276"/>
      <c r="G16" s="704"/>
      <c r="H16" s="834" t="str">
        <f>IF(AND('CUADRO 1'!G6&gt;0,'CUADRO 3'!C21=0),"Debe indicar datos en el Cuadro 3",IF(AND('CUADRO 1'!G6=0,'CUADRO 3'!C21&gt;0),"Indicó datos en el Cuadro 3, debe indicar datos en este Cuadro",""))</f>
        <v/>
      </c>
      <c r="I16" s="835"/>
      <c r="J16" s="837"/>
    </row>
    <row r="17" spans="2:10" ht="22.5" customHeight="1">
      <c r="B17" s="662" t="s">
        <v>907</v>
      </c>
      <c r="C17" s="663"/>
      <c r="D17" s="228">
        <f t="shared" ref="D17:D20" si="3">+E17+F17</f>
        <v>0</v>
      </c>
      <c r="E17" s="643"/>
      <c r="F17" s="276"/>
      <c r="G17" s="703"/>
      <c r="H17" s="834"/>
      <c r="I17" s="835"/>
      <c r="J17" s="837"/>
    </row>
    <row r="18" spans="2:10" ht="22.5" customHeight="1">
      <c r="B18" s="662" t="s">
        <v>908</v>
      </c>
      <c r="C18" s="663"/>
      <c r="D18" s="228">
        <f t="shared" si="3"/>
        <v>0</v>
      </c>
      <c r="E18" s="643"/>
      <c r="F18" s="276"/>
      <c r="G18" s="703"/>
      <c r="H18" s="834"/>
      <c r="I18" s="835"/>
      <c r="J18" s="837"/>
    </row>
    <row r="19" spans="2:10" ht="22.5" customHeight="1">
      <c r="B19" s="662" t="s">
        <v>909</v>
      </c>
      <c r="C19" s="663"/>
      <c r="D19" s="228">
        <f t="shared" si="3"/>
        <v>0</v>
      </c>
      <c r="E19" s="643"/>
      <c r="F19" s="276"/>
      <c r="G19" s="664"/>
      <c r="H19" s="665"/>
      <c r="I19" s="705"/>
      <c r="J19" s="837"/>
    </row>
    <row r="20" spans="2:10" ht="22.5" customHeight="1" thickBot="1">
      <c r="B20" s="666" t="s">
        <v>299</v>
      </c>
      <c r="C20" s="667"/>
      <c r="D20" s="248">
        <f t="shared" si="3"/>
        <v>0</v>
      </c>
      <c r="E20" s="668"/>
      <c r="F20" s="295"/>
      <c r="G20" s="669"/>
      <c r="H20" s="670"/>
      <c r="I20" s="706"/>
      <c r="J20" s="838"/>
    </row>
    <row r="21" spans="2:10" ht="21" customHeight="1" thickTop="1">
      <c r="B21" s="807" t="str">
        <f>IF(OR(C13="#"),"# Completar el formulario para Técnica Nocturna.","")</f>
        <v/>
      </c>
      <c r="C21" s="807"/>
      <c r="D21" s="807"/>
      <c r="E21" s="807"/>
      <c r="F21" s="807"/>
      <c r="G21" s="808"/>
      <c r="H21" s="808"/>
      <c r="I21" s="808"/>
      <c r="J21" s="808"/>
    </row>
    <row r="22" spans="2:10" ht="21" customHeight="1">
      <c r="B22" s="809" t="str">
        <f>IF(C14="##","## Completar el formulario para Plan Nacional.","")</f>
        <v/>
      </c>
      <c r="C22" s="809"/>
      <c r="D22" s="809"/>
      <c r="E22" s="809"/>
      <c r="F22" s="809"/>
      <c r="G22" s="809"/>
      <c r="H22" s="809"/>
      <c r="I22" s="809"/>
      <c r="J22" s="809"/>
    </row>
    <row r="23" spans="2:10" ht="21" customHeight="1">
      <c r="B23" s="727" t="str">
        <f>IF(AND('CUADRO 1'!D13&gt;0,OR(Portada!F28="No",Portada!F28="")),"En la Portada indicó que no tiene Sección Técnica Nocturna.",IF(AND('CUADRO 1'!D13=0,Portada!F28="Sí"),"En la Portada indicó que tiene Sección Técnica Nocturna.",""))</f>
        <v/>
      </c>
      <c r="C23" s="726"/>
      <c r="D23" s="726"/>
      <c r="E23" s="726"/>
      <c r="F23" s="726"/>
      <c r="G23" s="726"/>
      <c r="H23" s="726"/>
      <c r="I23" s="726"/>
      <c r="J23" s="726"/>
    </row>
    <row r="24" spans="2:10" ht="21" customHeight="1">
      <c r="B24" s="727" t="str">
        <f>IF(AND('CUADRO 1'!D14&gt;0,OR(Portada!F29="No",Portada!F29="")),"En la Portada indicó que no tiene Plan Nacional.",IF(AND('CUADRO 1'!D14=0,Portada!F29="Sí"),"En la Portada indicó que tiene Plan Nacional.",""))</f>
        <v/>
      </c>
      <c r="C24" s="726"/>
      <c r="D24" s="726"/>
      <c r="E24" s="726"/>
      <c r="F24" s="726"/>
      <c r="G24" s="726"/>
      <c r="H24" s="726"/>
      <c r="I24" s="726"/>
      <c r="J24" s="726"/>
    </row>
    <row r="25" spans="2:10" ht="21" customHeight="1">
      <c r="B25" s="727" t="str">
        <f>IF(AND('CUADRO 1'!D15&gt;0,OR(Portada!F30="No",Portada!F30="")),"En la Portada indicó que no tiene Proyectos de Educación Abierta.",IF(AND('CUADRO 1'!D15=0,Portada!F30="Sí"),"En la Portada indicó que tiene Proyectos de Educación Abierta.",""))</f>
        <v/>
      </c>
      <c r="C25" s="726"/>
      <c r="D25" s="726"/>
      <c r="E25" s="726"/>
      <c r="F25" s="726"/>
      <c r="G25" s="726"/>
      <c r="H25" s="726"/>
      <c r="I25" s="726"/>
      <c r="J25" s="726"/>
    </row>
    <row r="26" spans="2:10" ht="22.5" customHeight="1">
      <c r="B26" s="257" t="s">
        <v>290</v>
      </c>
      <c r="C26" s="257"/>
      <c r="D26" s="585"/>
      <c r="E26" s="585"/>
      <c r="F26" s="585"/>
      <c r="G26" s="585"/>
      <c r="H26" s="585"/>
      <c r="I26" s="585"/>
      <c r="J26" s="585"/>
    </row>
    <row r="27" spans="2:10" ht="18" customHeight="1">
      <c r="B27" s="810"/>
      <c r="C27" s="811"/>
      <c r="D27" s="811"/>
      <c r="E27" s="811"/>
      <c r="F27" s="811"/>
      <c r="G27" s="811"/>
      <c r="H27" s="811"/>
      <c r="I27" s="811"/>
      <c r="J27" s="812"/>
    </row>
    <row r="28" spans="2:10" ht="18" customHeight="1">
      <c r="B28" s="813"/>
      <c r="C28" s="814"/>
      <c r="D28" s="814"/>
      <c r="E28" s="814"/>
      <c r="F28" s="814"/>
      <c r="G28" s="814"/>
      <c r="H28" s="814"/>
      <c r="I28" s="814"/>
      <c r="J28" s="815"/>
    </row>
    <row r="29" spans="2:10" ht="18" customHeight="1">
      <c r="B29" s="813"/>
      <c r="C29" s="814"/>
      <c r="D29" s="814"/>
      <c r="E29" s="814"/>
      <c r="F29" s="814"/>
      <c r="G29" s="814"/>
      <c r="H29" s="814"/>
      <c r="I29" s="814"/>
      <c r="J29" s="815"/>
    </row>
    <row r="30" spans="2:10" ht="18" customHeight="1">
      <c r="B30" s="813"/>
      <c r="C30" s="814"/>
      <c r="D30" s="814"/>
      <c r="E30" s="814"/>
      <c r="F30" s="814"/>
      <c r="G30" s="814"/>
      <c r="H30" s="814"/>
      <c r="I30" s="814"/>
      <c r="J30" s="815"/>
    </row>
    <row r="31" spans="2:10" ht="18" customHeight="1">
      <c r="B31" s="816"/>
      <c r="C31" s="817"/>
      <c r="D31" s="817"/>
      <c r="E31" s="817"/>
      <c r="F31" s="817"/>
      <c r="G31" s="817"/>
      <c r="H31" s="817"/>
      <c r="I31" s="817"/>
      <c r="J31" s="818"/>
    </row>
  </sheetData>
  <sheetProtection algorithmName="SHA-512" hashValue="Ljs0VGdYw3Yc9Z8Z77am0LIspoSvgBRAOfMcNY41yOtZSSrU7wJhAKzKiijN2W9dQB761+xCdkzBFZeuzRy3ng==" saltValue="GOYULHAytEv03+bt0za0Iw==" spinCount="100000" sheet="1" objects="1" scenarios="1"/>
  <mergeCells count="13">
    <mergeCell ref="I1:J1"/>
    <mergeCell ref="B21:J21"/>
    <mergeCell ref="B22:J22"/>
    <mergeCell ref="B27:J31"/>
    <mergeCell ref="B2:J2"/>
    <mergeCell ref="J3:J4"/>
    <mergeCell ref="B3:B4"/>
    <mergeCell ref="D3:F3"/>
    <mergeCell ref="B15:C15"/>
    <mergeCell ref="G3:I3"/>
    <mergeCell ref="G13:I15"/>
    <mergeCell ref="H16:I18"/>
    <mergeCell ref="J15:J20"/>
  </mergeCells>
  <conditionalFormatting sqref="D5:F5 D11:D14">
    <cfRule type="cellIs" dxfId="288" priority="19" operator="equal">
      <formula>0</formula>
    </cfRule>
  </conditionalFormatting>
  <conditionalFormatting sqref="D7:D10">
    <cfRule type="cellIs" dxfId="287" priority="17" operator="equal">
      <formula>0</formula>
    </cfRule>
  </conditionalFormatting>
  <conditionalFormatting sqref="D6:F6 J6">
    <cfRule type="cellIs" dxfId="286" priority="16" operator="equal">
      <formula>0</formula>
    </cfRule>
  </conditionalFormatting>
  <conditionalFormatting sqref="D16:D20">
    <cfRule type="cellIs" dxfId="285" priority="15" operator="equal">
      <formula>0</formula>
    </cfRule>
  </conditionalFormatting>
  <conditionalFormatting sqref="D15:F15">
    <cfRule type="cellIs" dxfId="284" priority="14" operator="equal">
      <formula>0</formula>
    </cfRule>
  </conditionalFormatting>
  <conditionalFormatting sqref="D15">
    <cfRule type="cellIs" dxfId="283" priority="13" operator="equal">
      <formula>0</formula>
    </cfRule>
  </conditionalFormatting>
  <conditionalFormatting sqref="G7:G10">
    <cfRule type="cellIs" dxfId="282" priority="9" operator="equal">
      <formula>0</formula>
    </cfRule>
  </conditionalFormatting>
  <conditionalFormatting sqref="G6:I6">
    <cfRule type="cellIs" dxfId="281" priority="8" operator="equal">
      <formula>0</formula>
    </cfRule>
  </conditionalFormatting>
  <conditionalFormatting sqref="G5 G11:G12">
    <cfRule type="cellIs" dxfId="280" priority="10" operator="equal">
      <formula>0</formula>
    </cfRule>
  </conditionalFormatting>
  <conditionalFormatting sqref="H7">
    <cfRule type="expression" dxfId="279" priority="7">
      <formula>H7&gt;E7</formula>
    </cfRule>
  </conditionalFormatting>
  <conditionalFormatting sqref="H8:H11">
    <cfRule type="expression" dxfId="278" priority="6">
      <formula>H8&gt;E8</formula>
    </cfRule>
  </conditionalFormatting>
  <conditionalFormatting sqref="I7">
    <cfRule type="expression" dxfId="277" priority="5">
      <formula>I7&gt;F7</formula>
    </cfRule>
  </conditionalFormatting>
  <conditionalFormatting sqref="I8:I11">
    <cfRule type="expression" dxfId="276" priority="4">
      <formula>I8&gt;F8</formula>
    </cfRule>
  </conditionalFormatting>
  <conditionalFormatting sqref="H12">
    <cfRule type="expression" dxfId="275" priority="3">
      <formula>H12&gt;E12</formula>
    </cfRule>
  </conditionalFormatting>
  <conditionalFormatting sqref="I12">
    <cfRule type="expression" dxfId="274" priority="2">
      <formula>I12&gt;F12</formula>
    </cfRule>
  </conditionalFormatting>
  <conditionalFormatting sqref="J5">
    <cfRule type="cellIs" dxfId="273" priority="1" operator="equal">
      <formula>0</formula>
    </cfRule>
  </conditionalFormatting>
  <dataValidations count="1">
    <dataValidation type="whole" operator="greaterThanOrEqual" allowBlank="1" showInputMessage="1" showErrorMessage="1" sqref="H6:I12 G19:H20 J6:J14 G5:G12 D5:F20">
      <formula1>0</formula1>
    </dataValidation>
  </dataValidations>
  <printOptions horizontalCentered="1" verticalCentered="1"/>
  <pageMargins left="0" right="0.15748031496062992" top="0.23622047244094491" bottom="0.19685039370078741" header="0.43307086614173229" footer="0.19685039370078741"/>
  <pageSetup scale="81" orientation="landscape" r:id="rId1"/>
  <headerFooter scaleWithDoc="0">
    <oddFooter>&amp;R&amp;"Goudy,Negrita Cursiva"Técnica Diurna&amp;"Goudy,Cursiva", página 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Z31"/>
  <sheetViews>
    <sheetView showGridLines="0" zoomScale="90" zoomScaleNormal="90" workbookViewId="0"/>
  </sheetViews>
  <sheetFormatPr baseColWidth="10" defaultRowHeight="14.25"/>
  <cols>
    <col min="1" max="1" width="2.85546875" style="212" customWidth="1"/>
    <col min="2" max="2" width="43.7109375" style="212" customWidth="1"/>
    <col min="3" max="23" width="8.140625" style="212" customWidth="1"/>
    <col min="24" max="16384" width="11.42578125" style="212"/>
  </cols>
  <sheetData>
    <row r="1" spans="2:23" ht="18">
      <c r="B1" s="621" t="s">
        <v>912</v>
      </c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  <c r="P1" s="735"/>
      <c r="Q1" s="736"/>
      <c r="R1" s="736"/>
      <c r="S1" s="736"/>
      <c r="T1" s="736"/>
      <c r="U1" s="737"/>
      <c r="V1" s="805" t="str">
        <f>+Portada!$M$2</f>
        <v/>
      </c>
      <c r="W1" s="806"/>
    </row>
    <row r="2" spans="2:23" ht="18.75" thickBot="1">
      <c r="B2" s="671" t="s">
        <v>1796</v>
      </c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  <c r="R2" s="588"/>
      <c r="S2" s="588"/>
      <c r="T2" s="588"/>
      <c r="U2" s="588"/>
      <c r="V2" s="588"/>
      <c r="W2" s="588"/>
    </row>
    <row r="3" spans="2:23" ht="21" customHeight="1" thickTop="1" thickBot="1">
      <c r="B3" s="843" t="s">
        <v>291</v>
      </c>
      <c r="C3" s="846" t="s">
        <v>0</v>
      </c>
      <c r="D3" s="822"/>
      <c r="E3" s="847"/>
      <c r="F3" s="850" t="s">
        <v>1746</v>
      </c>
      <c r="G3" s="850"/>
      <c r="H3" s="850"/>
      <c r="I3" s="850"/>
      <c r="J3" s="850"/>
      <c r="K3" s="850"/>
      <c r="L3" s="850"/>
      <c r="M3" s="850"/>
      <c r="N3" s="850"/>
      <c r="O3" s="850"/>
      <c r="P3" s="850"/>
      <c r="Q3" s="850"/>
      <c r="R3" s="850"/>
      <c r="S3" s="850"/>
      <c r="T3" s="850"/>
      <c r="U3" s="850"/>
      <c r="V3" s="850"/>
      <c r="W3" s="850"/>
    </row>
    <row r="4" spans="2:23" ht="18" customHeight="1">
      <c r="B4" s="844"/>
      <c r="C4" s="848"/>
      <c r="D4" s="840"/>
      <c r="E4" s="849"/>
      <c r="F4" s="839" t="s">
        <v>885</v>
      </c>
      <c r="G4" s="840"/>
      <c r="H4" s="840"/>
      <c r="I4" s="839" t="s">
        <v>886</v>
      </c>
      <c r="J4" s="840"/>
      <c r="K4" s="840"/>
      <c r="L4" s="839" t="s">
        <v>887</v>
      </c>
      <c r="M4" s="840"/>
      <c r="N4" s="840"/>
      <c r="O4" s="839" t="s">
        <v>875</v>
      </c>
      <c r="P4" s="840"/>
      <c r="Q4" s="840"/>
      <c r="R4" s="839" t="s">
        <v>888</v>
      </c>
      <c r="S4" s="840"/>
      <c r="T4" s="840"/>
      <c r="U4" s="841" t="s">
        <v>889</v>
      </c>
      <c r="V4" s="842"/>
      <c r="W4" s="842"/>
    </row>
    <row r="5" spans="2:23" ht="32.25" customHeight="1" thickBot="1">
      <c r="B5" s="845"/>
      <c r="C5" s="562" t="s">
        <v>0</v>
      </c>
      <c r="D5" s="563" t="s">
        <v>21</v>
      </c>
      <c r="E5" s="564" t="s">
        <v>20</v>
      </c>
      <c r="F5" s="565" t="s">
        <v>0</v>
      </c>
      <c r="G5" s="563" t="s">
        <v>21</v>
      </c>
      <c r="H5" s="566" t="s">
        <v>20</v>
      </c>
      <c r="I5" s="565" t="s">
        <v>0</v>
      </c>
      <c r="J5" s="563" t="s">
        <v>21</v>
      </c>
      <c r="K5" s="566" t="s">
        <v>20</v>
      </c>
      <c r="L5" s="565" t="s">
        <v>0</v>
      </c>
      <c r="M5" s="563" t="s">
        <v>21</v>
      </c>
      <c r="N5" s="566" t="s">
        <v>20</v>
      </c>
      <c r="O5" s="565" t="s">
        <v>0</v>
      </c>
      <c r="P5" s="563" t="s">
        <v>21</v>
      </c>
      <c r="Q5" s="566" t="s">
        <v>20</v>
      </c>
      <c r="R5" s="565" t="s">
        <v>0</v>
      </c>
      <c r="S5" s="563" t="s">
        <v>21</v>
      </c>
      <c r="T5" s="566" t="s">
        <v>20</v>
      </c>
      <c r="U5" s="565" t="s">
        <v>0</v>
      </c>
      <c r="V5" s="563" t="s">
        <v>21</v>
      </c>
      <c r="W5" s="567" t="s">
        <v>20</v>
      </c>
    </row>
    <row r="6" spans="2:23" ht="24" customHeight="1" thickTop="1">
      <c r="B6" s="604" t="s">
        <v>294</v>
      </c>
      <c r="C6" s="605">
        <f t="shared" ref="C6:C14" si="0">+D6+E6</f>
        <v>0</v>
      </c>
      <c r="D6" s="618">
        <f t="shared" ref="D6:E14" si="1">+G6+J6+M6+P6+S6+V6</f>
        <v>0</v>
      </c>
      <c r="E6" s="618">
        <f t="shared" si="1"/>
        <v>0</v>
      </c>
      <c r="F6" s="589">
        <f t="shared" ref="F6:F18" si="2">+G6+H6</f>
        <v>0</v>
      </c>
      <c r="G6" s="590"/>
      <c r="H6" s="590"/>
      <c r="I6" s="589">
        <f t="shared" ref="I6:I18" si="3">+J6+K6</f>
        <v>0</v>
      </c>
      <c r="J6" s="590"/>
      <c r="K6" s="590"/>
      <c r="L6" s="589">
        <f t="shared" ref="L6:L18" si="4">+M6+N6</f>
        <v>0</v>
      </c>
      <c r="M6" s="590"/>
      <c r="N6" s="590"/>
      <c r="O6" s="589">
        <f t="shared" ref="O6:O18" si="5">+P6+Q6</f>
        <v>0</v>
      </c>
      <c r="P6" s="590"/>
      <c r="Q6" s="590"/>
      <c r="R6" s="589">
        <f t="shared" ref="R6:R18" si="6">+S6+T6</f>
        <v>0</v>
      </c>
      <c r="S6" s="590"/>
      <c r="T6" s="590"/>
      <c r="U6" s="589">
        <f t="shared" ref="U6:U18" si="7">+V6+W6</f>
        <v>0</v>
      </c>
      <c r="V6" s="590"/>
      <c r="W6" s="592"/>
    </row>
    <row r="7" spans="2:23" ht="24" customHeight="1">
      <c r="B7" s="608" t="s">
        <v>295</v>
      </c>
      <c r="C7" s="314">
        <f t="shared" si="0"/>
        <v>0</v>
      </c>
      <c r="D7" s="350">
        <f>+G7+J7+M7+P7+S7+V7</f>
        <v>0</v>
      </c>
      <c r="E7" s="350">
        <f t="shared" si="1"/>
        <v>0</v>
      </c>
      <c r="F7" s="425">
        <f t="shared" ref="F7:F14" si="8">+G7+H7</f>
        <v>0</v>
      </c>
      <c r="G7" s="315"/>
      <c r="H7" s="315"/>
      <c r="I7" s="425">
        <f t="shared" ref="I7:I14" si="9">+J7+K7</f>
        <v>0</v>
      </c>
      <c r="J7" s="315"/>
      <c r="K7" s="315"/>
      <c r="L7" s="425">
        <f t="shared" ref="L7:L14" si="10">+M7+N7</f>
        <v>0</v>
      </c>
      <c r="M7" s="315"/>
      <c r="N7" s="315"/>
      <c r="O7" s="425">
        <f t="shared" ref="O7:O14" si="11">+P7+Q7</f>
        <v>0</v>
      </c>
      <c r="P7" s="315"/>
      <c r="Q7" s="315"/>
      <c r="R7" s="425">
        <f t="shared" ref="R7:R14" si="12">+S7+T7</f>
        <v>0</v>
      </c>
      <c r="S7" s="315"/>
      <c r="T7" s="315"/>
      <c r="U7" s="425">
        <f t="shared" ref="U7:U14" si="13">+V7+W7</f>
        <v>0</v>
      </c>
      <c r="V7" s="315"/>
      <c r="W7" s="166"/>
    </row>
    <row r="8" spans="2:23" ht="24" customHeight="1">
      <c r="B8" s="608" t="s">
        <v>297</v>
      </c>
      <c r="C8" s="314">
        <f t="shared" si="0"/>
        <v>0</v>
      </c>
      <c r="D8" s="350">
        <f t="shared" ref="D8:D14" si="14">+G8+J8+M8+P8+S8+V8</f>
        <v>0</v>
      </c>
      <c r="E8" s="350">
        <f t="shared" si="1"/>
        <v>0</v>
      </c>
      <c r="F8" s="425">
        <f t="shared" si="8"/>
        <v>0</v>
      </c>
      <c r="G8" s="315"/>
      <c r="H8" s="315"/>
      <c r="I8" s="425">
        <f t="shared" si="9"/>
        <v>0</v>
      </c>
      <c r="J8" s="315"/>
      <c r="K8" s="315"/>
      <c r="L8" s="425">
        <f t="shared" si="10"/>
        <v>0</v>
      </c>
      <c r="M8" s="315"/>
      <c r="N8" s="315"/>
      <c r="O8" s="425">
        <f t="shared" si="11"/>
        <v>0</v>
      </c>
      <c r="P8" s="315"/>
      <c r="Q8" s="315"/>
      <c r="R8" s="425">
        <f t="shared" si="12"/>
        <v>0</v>
      </c>
      <c r="S8" s="315"/>
      <c r="T8" s="315"/>
      <c r="U8" s="425">
        <f t="shared" si="13"/>
        <v>0</v>
      </c>
      <c r="V8" s="315"/>
      <c r="W8" s="166"/>
    </row>
    <row r="9" spans="2:23" ht="24" customHeight="1">
      <c r="B9" s="608" t="s">
        <v>296</v>
      </c>
      <c r="C9" s="314">
        <f t="shared" si="0"/>
        <v>0</v>
      </c>
      <c r="D9" s="350">
        <f t="shared" si="14"/>
        <v>0</v>
      </c>
      <c r="E9" s="350">
        <f t="shared" si="1"/>
        <v>0</v>
      </c>
      <c r="F9" s="425">
        <f t="shared" si="8"/>
        <v>0</v>
      </c>
      <c r="G9" s="315"/>
      <c r="H9" s="315"/>
      <c r="I9" s="425">
        <f t="shared" si="9"/>
        <v>0</v>
      </c>
      <c r="J9" s="315"/>
      <c r="K9" s="315"/>
      <c r="L9" s="425">
        <f t="shared" si="10"/>
        <v>0</v>
      </c>
      <c r="M9" s="315"/>
      <c r="N9" s="315"/>
      <c r="O9" s="851"/>
      <c r="P9" s="852"/>
      <c r="Q9" s="852"/>
      <c r="R9" s="852"/>
      <c r="S9" s="852"/>
      <c r="T9" s="852"/>
      <c r="U9" s="852"/>
      <c r="V9" s="852"/>
      <c r="W9" s="852"/>
    </row>
    <row r="10" spans="2:23" ht="24" customHeight="1">
      <c r="B10" s="608" t="s">
        <v>867</v>
      </c>
      <c r="C10" s="314">
        <f t="shared" si="0"/>
        <v>0</v>
      </c>
      <c r="D10" s="350">
        <f t="shared" si="14"/>
        <v>0</v>
      </c>
      <c r="E10" s="350">
        <f>+H10+K10+N10+Q10+T10+W10</f>
        <v>0</v>
      </c>
      <c r="F10" s="425">
        <f>+G10+H10</f>
        <v>0</v>
      </c>
      <c r="G10" s="315"/>
      <c r="H10" s="315"/>
      <c r="I10" s="425">
        <f t="shared" si="9"/>
        <v>0</v>
      </c>
      <c r="J10" s="315"/>
      <c r="K10" s="315"/>
      <c r="L10" s="425">
        <f t="shared" si="10"/>
        <v>0</v>
      </c>
      <c r="M10" s="315"/>
      <c r="N10" s="315"/>
      <c r="O10" s="425">
        <f t="shared" si="11"/>
        <v>0</v>
      </c>
      <c r="P10" s="315"/>
      <c r="Q10" s="597"/>
      <c r="R10" s="425">
        <f>+S10+T10</f>
        <v>0</v>
      </c>
      <c r="S10" s="315"/>
      <c r="T10" s="597"/>
      <c r="U10" s="425">
        <f t="shared" si="13"/>
        <v>0</v>
      </c>
      <c r="V10" s="315"/>
      <c r="W10" s="166"/>
    </row>
    <row r="11" spans="2:23" ht="24" customHeight="1">
      <c r="B11" s="608" t="s">
        <v>868</v>
      </c>
      <c r="C11" s="314">
        <f t="shared" si="0"/>
        <v>0</v>
      </c>
      <c r="D11" s="350">
        <f t="shared" si="14"/>
        <v>0</v>
      </c>
      <c r="E11" s="350">
        <f t="shared" si="1"/>
        <v>0</v>
      </c>
      <c r="F11" s="425">
        <f t="shared" si="8"/>
        <v>0</v>
      </c>
      <c r="G11" s="315"/>
      <c r="H11" s="315"/>
      <c r="I11" s="425">
        <f t="shared" si="9"/>
        <v>0</v>
      </c>
      <c r="J11" s="315"/>
      <c r="K11" s="315"/>
      <c r="L11" s="425">
        <f t="shared" si="10"/>
        <v>0</v>
      </c>
      <c r="M11" s="315"/>
      <c r="N11" s="315"/>
      <c r="O11" s="425">
        <f t="shared" si="11"/>
        <v>0</v>
      </c>
      <c r="P11" s="315"/>
      <c r="Q11" s="597"/>
      <c r="R11" s="425">
        <f t="shared" si="12"/>
        <v>0</v>
      </c>
      <c r="S11" s="315"/>
      <c r="T11" s="597"/>
      <c r="U11" s="425">
        <f t="shared" si="13"/>
        <v>0</v>
      </c>
      <c r="V11" s="315"/>
      <c r="W11" s="166"/>
    </row>
    <row r="12" spans="2:23" ht="24" customHeight="1">
      <c r="B12" s="608" t="s">
        <v>869</v>
      </c>
      <c r="C12" s="314">
        <f t="shared" si="0"/>
        <v>0</v>
      </c>
      <c r="D12" s="350">
        <f t="shared" si="14"/>
        <v>0</v>
      </c>
      <c r="E12" s="350">
        <f t="shared" si="1"/>
        <v>0</v>
      </c>
      <c r="F12" s="425">
        <f t="shared" si="8"/>
        <v>0</v>
      </c>
      <c r="G12" s="315"/>
      <c r="H12" s="315"/>
      <c r="I12" s="425">
        <f t="shared" si="9"/>
        <v>0</v>
      </c>
      <c r="J12" s="315"/>
      <c r="K12" s="315"/>
      <c r="L12" s="425">
        <f t="shared" si="10"/>
        <v>0</v>
      </c>
      <c r="M12" s="315"/>
      <c r="N12" s="315"/>
      <c r="O12" s="425">
        <f t="shared" si="11"/>
        <v>0</v>
      </c>
      <c r="P12" s="315"/>
      <c r="Q12" s="597"/>
      <c r="R12" s="425">
        <f t="shared" si="12"/>
        <v>0</v>
      </c>
      <c r="S12" s="315"/>
      <c r="T12" s="597"/>
      <c r="U12" s="425">
        <f t="shared" si="13"/>
        <v>0</v>
      </c>
      <c r="V12" s="315"/>
      <c r="W12" s="166"/>
    </row>
    <row r="13" spans="2:23" ht="24" customHeight="1">
      <c r="B13" s="608" t="s">
        <v>172</v>
      </c>
      <c r="C13" s="314">
        <f t="shared" si="0"/>
        <v>0</v>
      </c>
      <c r="D13" s="350">
        <f t="shared" si="14"/>
        <v>0</v>
      </c>
      <c r="E13" s="350">
        <f t="shared" si="1"/>
        <v>0</v>
      </c>
      <c r="F13" s="425">
        <f t="shared" si="8"/>
        <v>0</v>
      </c>
      <c r="G13" s="315"/>
      <c r="H13" s="315"/>
      <c r="I13" s="425">
        <f t="shared" si="9"/>
        <v>0</v>
      </c>
      <c r="J13" s="315"/>
      <c r="K13" s="315"/>
      <c r="L13" s="425">
        <f t="shared" si="10"/>
        <v>0</v>
      </c>
      <c r="M13" s="315"/>
      <c r="N13" s="315"/>
      <c r="O13" s="425">
        <f t="shared" si="11"/>
        <v>0</v>
      </c>
      <c r="P13" s="315"/>
      <c r="Q13" s="597"/>
      <c r="R13" s="425">
        <f t="shared" si="12"/>
        <v>0</v>
      </c>
      <c r="S13" s="315"/>
      <c r="T13" s="597"/>
      <c r="U13" s="425">
        <f t="shared" si="13"/>
        <v>0</v>
      </c>
      <c r="V13" s="315"/>
      <c r="W13" s="166"/>
    </row>
    <row r="14" spans="2:23" ht="24" customHeight="1">
      <c r="B14" s="608" t="s">
        <v>19</v>
      </c>
      <c r="C14" s="314">
        <f t="shared" si="0"/>
        <v>0</v>
      </c>
      <c r="D14" s="350">
        <f t="shared" si="14"/>
        <v>0</v>
      </c>
      <c r="E14" s="350">
        <f t="shared" si="1"/>
        <v>0</v>
      </c>
      <c r="F14" s="425">
        <f t="shared" si="8"/>
        <v>0</v>
      </c>
      <c r="G14" s="315"/>
      <c r="H14" s="315"/>
      <c r="I14" s="425">
        <f t="shared" si="9"/>
        <v>0</v>
      </c>
      <c r="J14" s="315"/>
      <c r="K14" s="315"/>
      <c r="L14" s="425">
        <f t="shared" si="10"/>
        <v>0</v>
      </c>
      <c r="M14" s="315"/>
      <c r="N14" s="315"/>
      <c r="O14" s="425">
        <f t="shared" si="11"/>
        <v>0</v>
      </c>
      <c r="P14" s="315"/>
      <c r="Q14" s="597"/>
      <c r="R14" s="425">
        <f t="shared" si="12"/>
        <v>0</v>
      </c>
      <c r="S14" s="315"/>
      <c r="T14" s="597"/>
      <c r="U14" s="425">
        <f t="shared" si="13"/>
        <v>0</v>
      </c>
      <c r="V14" s="315"/>
      <c r="W14" s="166"/>
    </row>
    <row r="15" spans="2:23" ht="24" customHeight="1">
      <c r="B15" s="608" t="s">
        <v>870</v>
      </c>
      <c r="C15" s="314">
        <f t="shared" ref="C15:C17" si="15">+D15+E15</f>
        <v>0</v>
      </c>
      <c r="D15" s="350">
        <f t="shared" ref="D15:D16" si="16">+G15+J15+M15+P15+S15+V15</f>
        <v>0</v>
      </c>
      <c r="E15" s="350">
        <f t="shared" ref="E15:E18" si="17">+H15+K15+N15+Q15+T15+W15</f>
        <v>0</v>
      </c>
      <c r="F15" s="425">
        <f t="shared" si="2"/>
        <v>0</v>
      </c>
      <c r="G15" s="315"/>
      <c r="H15" s="315"/>
      <c r="I15" s="425">
        <f t="shared" si="3"/>
        <v>0</v>
      </c>
      <c r="J15" s="315"/>
      <c r="K15" s="315"/>
      <c r="L15" s="425">
        <f t="shared" si="4"/>
        <v>0</v>
      </c>
      <c r="M15" s="315"/>
      <c r="N15" s="315"/>
      <c r="O15" s="425">
        <f t="shared" si="5"/>
        <v>0</v>
      </c>
      <c r="P15" s="315"/>
      <c r="Q15" s="597"/>
      <c r="R15" s="425">
        <f t="shared" si="6"/>
        <v>0</v>
      </c>
      <c r="S15" s="315"/>
      <c r="T15" s="597"/>
      <c r="U15" s="425">
        <f t="shared" si="7"/>
        <v>0</v>
      </c>
      <c r="V15" s="315"/>
      <c r="W15" s="166"/>
    </row>
    <row r="16" spans="2:23" ht="24" customHeight="1">
      <c r="B16" s="608" t="s">
        <v>163</v>
      </c>
      <c r="C16" s="314">
        <f t="shared" si="15"/>
        <v>0</v>
      </c>
      <c r="D16" s="350">
        <f t="shared" si="16"/>
        <v>0</v>
      </c>
      <c r="E16" s="350">
        <f t="shared" si="17"/>
        <v>0</v>
      </c>
      <c r="F16" s="425">
        <f t="shared" si="2"/>
        <v>0</v>
      </c>
      <c r="G16" s="315"/>
      <c r="H16" s="315"/>
      <c r="I16" s="425">
        <f t="shared" si="3"/>
        <v>0</v>
      </c>
      <c r="J16" s="315"/>
      <c r="K16" s="315"/>
      <c r="L16" s="425">
        <f t="shared" si="4"/>
        <v>0</v>
      </c>
      <c r="M16" s="315"/>
      <c r="N16" s="315"/>
      <c r="O16" s="425">
        <f t="shared" si="5"/>
        <v>0</v>
      </c>
      <c r="P16" s="315"/>
      <c r="Q16" s="597"/>
      <c r="R16" s="425">
        <f t="shared" si="6"/>
        <v>0</v>
      </c>
      <c r="S16" s="315"/>
      <c r="T16" s="597"/>
      <c r="U16" s="425">
        <f t="shared" si="7"/>
        <v>0</v>
      </c>
      <c r="V16" s="315"/>
      <c r="W16" s="166"/>
    </row>
    <row r="17" spans="1:26" ht="24" customHeight="1">
      <c r="B17" s="608" t="s">
        <v>164</v>
      </c>
      <c r="C17" s="314">
        <f t="shared" si="15"/>
        <v>0</v>
      </c>
      <c r="D17" s="350">
        <f>+G17+J17+M17+P17+S17+V17</f>
        <v>0</v>
      </c>
      <c r="E17" s="350">
        <f t="shared" si="17"/>
        <v>0</v>
      </c>
      <c r="F17" s="425">
        <f t="shared" si="2"/>
        <v>0</v>
      </c>
      <c r="G17" s="315"/>
      <c r="H17" s="315"/>
      <c r="I17" s="425">
        <f t="shared" si="3"/>
        <v>0</v>
      </c>
      <c r="J17" s="315"/>
      <c r="K17" s="315"/>
      <c r="L17" s="425">
        <f t="shared" si="4"/>
        <v>0</v>
      </c>
      <c r="M17" s="315"/>
      <c r="N17" s="315"/>
      <c r="O17" s="425">
        <f t="shared" si="5"/>
        <v>0</v>
      </c>
      <c r="P17" s="315"/>
      <c r="Q17" s="597"/>
      <c r="R17" s="425">
        <f t="shared" si="6"/>
        <v>0</v>
      </c>
      <c r="S17" s="315"/>
      <c r="T17" s="597"/>
      <c r="U17" s="425">
        <f t="shared" si="7"/>
        <v>0</v>
      </c>
      <c r="V17" s="315"/>
      <c r="W17" s="166"/>
    </row>
    <row r="18" spans="1:26" ht="24" customHeight="1">
      <c r="B18" s="608" t="s">
        <v>162</v>
      </c>
      <c r="C18" s="314">
        <f>+D18+E18</f>
        <v>0</v>
      </c>
      <c r="D18" s="350">
        <f t="shared" ref="D18:D19" si="18">+G18+J18+M18+P18+S18+V18</f>
        <v>0</v>
      </c>
      <c r="E18" s="350">
        <f t="shared" si="17"/>
        <v>0</v>
      </c>
      <c r="F18" s="425">
        <f t="shared" si="2"/>
        <v>0</v>
      </c>
      <c r="G18" s="315"/>
      <c r="H18" s="315"/>
      <c r="I18" s="425">
        <f t="shared" si="3"/>
        <v>0</v>
      </c>
      <c r="J18" s="315"/>
      <c r="K18" s="315"/>
      <c r="L18" s="425">
        <f t="shared" si="4"/>
        <v>0</v>
      </c>
      <c r="M18" s="315"/>
      <c r="N18" s="315"/>
      <c r="O18" s="425">
        <f t="shared" si="5"/>
        <v>0</v>
      </c>
      <c r="P18" s="315"/>
      <c r="Q18" s="597"/>
      <c r="R18" s="425">
        <f t="shared" si="6"/>
        <v>0</v>
      </c>
      <c r="S18" s="315"/>
      <c r="T18" s="597"/>
      <c r="U18" s="425">
        <f t="shared" si="7"/>
        <v>0</v>
      </c>
      <c r="V18" s="315"/>
      <c r="W18" s="166"/>
    </row>
    <row r="19" spans="1:26" ht="24" customHeight="1">
      <c r="B19" s="608" t="s">
        <v>1615</v>
      </c>
      <c r="C19" s="314">
        <f t="shared" ref="C19" si="19">+D19+E19</f>
        <v>0</v>
      </c>
      <c r="D19" s="350">
        <f t="shared" si="18"/>
        <v>0</v>
      </c>
      <c r="E19" s="350">
        <f t="shared" ref="E19" si="20">+H19+K19+N19+Q19+T19+W19</f>
        <v>0</v>
      </c>
      <c r="F19" s="851"/>
      <c r="G19" s="852"/>
      <c r="H19" s="852"/>
      <c r="I19" s="852"/>
      <c r="J19" s="852"/>
      <c r="K19" s="852"/>
      <c r="L19" s="852"/>
      <c r="M19" s="852"/>
      <c r="N19" s="856"/>
      <c r="O19" s="425">
        <f t="shared" ref="O19" si="21">+P19+Q19</f>
        <v>0</v>
      </c>
      <c r="P19" s="315"/>
      <c r="Q19" s="597"/>
      <c r="R19" s="425">
        <f t="shared" ref="R19" si="22">+S19+T19</f>
        <v>0</v>
      </c>
      <c r="S19" s="315"/>
      <c r="T19" s="597"/>
      <c r="U19" s="425">
        <f t="shared" ref="U19" si="23">+V19+W19</f>
        <v>0</v>
      </c>
      <c r="V19" s="315"/>
      <c r="W19" s="166"/>
    </row>
    <row r="20" spans="1:26" ht="24" customHeight="1">
      <c r="B20" s="352" t="s">
        <v>911</v>
      </c>
      <c r="C20" s="594">
        <f t="shared" ref="C20" si="24">+D20+E20</f>
        <v>0</v>
      </c>
      <c r="D20" s="350">
        <f>+G20+J20+M20+P20+S20+V20</f>
        <v>0</v>
      </c>
      <c r="E20" s="437">
        <f t="shared" ref="E20" si="25">+H20+K20+N20+Q20+T20+W20</f>
        <v>0</v>
      </c>
      <c r="F20" s="438">
        <f t="shared" ref="F20" si="26">+G20+H20</f>
        <v>0</v>
      </c>
      <c r="G20" s="609"/>
      <c r="H20" s="609"/>
      <c r="I20" s="438">
        <f t="shared" ref="I20" si="27">+J20+K20</f>
        <v>0</v>
      </c>
      <c r="J20" s="609"/>
      <c r="K20" s="609"/>
      <c r="L20" s="438">
        <f t="shared" ref="L20" si="28">+M20+N20</f>
        <v>0</v>
      </c>
      <c r="M20" s="609"/>
      <c r="N20" s="609"/>
      <c r="O20" s="438">
        <f t="shared" ref="O20" si="29">+P20+Q20</f>
        <v>0</v>
      </c>
      <c r="P20" s="609"/>
      <c r="Q20" s="610"/>
      <c r="R20" s="438">
        <f t="shared" ref="R20" si="30">+S20+T20</f>
        <v>0</v>
      </c>
      <c r="S20" s="609"/>
      <c r="T20" s="610"/>
      <c r="U20" s="438">
        <f t="shared" ref="U20" si="31">+V20+W20</f>
        <v>0</v>
      </c>
      <c r="V20" s="609"/>
      <c r="W20" s="611"/>
    </row>
    <row r="21" spans="1:26" ht="24" customHeight="1" thickBot="1">
      <c r="B21" s="612" t="s">
        <v>1741</v>
      </c>
      <c r="C21" s="613">
        <f t="shared" ref="C21" si="32">+D21+E21</f>
        <v>0</v>
      </c>
      <c r="D21" s="614">
        <f>+G21+J21+M21+P21+S21+V21</f>
        <v>0</v>
      </c>
      <c r="E21" s="614">
        <f t="shared" ref="E21" si="33">+H21+K21+N21+Q21+T21+W21</f>
        <v>0</v>
      </c>
      <c r="F21" s="470">
        <f t="shared" ref="F21" si="34">+G21+H21</f>
        <v>0</v>
      </c>
      <c r="G21" s="469"/>
      <c r="H21" s="469"/>
      <c r="I21" s="470">
        <f t="shared" ref="I21" si="35">+J21+K21</f>
        <v>0</v>
      </c>
      <c r="J21" s="469"/>
      <c r="K21" s="469"/>
      <c r="L21" s="470">
        <f t="shared" ref="L21" si="36">+M21+N21</f>
        <v>0</v>
      </c>
      <c r="M21" s="469"/>
      <c r="N21" s="469"/>
      <c r="O21" s="470">
        <f t="shared" ref="O21" si="37">+P21+Q21</f>
        <v>0</v>
      </c>
      <c r="P21" s="469"/>
      <c r="Q21" s="616"/>
      <c r="R21" s="470">
        <f t="shared" ref="R21" si="38">+S21+T21</f>
        <v>0</v>
      </c>
      <c r="S21" s="469"/>
      <c r="T21" s="616"/>
      <c r="U21" s="470">
        <f t="shared" ref="U21" si="39">+V21+W21</f>
        <v>0</v>
      </c>
      <c r="V21" s="469"/>
      <c r="W21" s="471"/>
    </row>
    <row r="22" spans="1:26" s="524" customFormat="1" ht="18.75" customHeight="1" thickTop="1">
      <c r="A22" s="254"/>
      <c r="B22" s="254"/>
      <c r="C22" s="619"/>
      <c r="D22" s="620" t="str">
        <f>IF(OR(D6&gt;'CUADRO 1'!E6,D7&gt;'CUADRO 1'!E6,D8&gt;'CUADRO 1'!E6,D9&gt;'CUADRO 1'!E6,D10&gt;'CUADRO 1'!E6,D11&gt;'CUADRO 1'!E6,D12&gt;'CUADRO 1'!E6,D13&gt;'CUADRO 1'!E6,D14&gt;'CUADRO 1'!E6,D15&gt;'CUADRO 1'!E6,D16&gt;'CUADRO 1'!E6,D17&gt;'CUADRO 1'!E6,D18&gt;'CUADRO 1'!E6,D19&gt;'CUADRO 1'!E6,D20&gt;'CUADRO 1'!E6,D21&gt;'CUADRO 1'!E6),"XX","")</f>
        <v/>
      </c>
      <c r="E22" s="620" t="str">
        <f>IF(OR(E6&gt;'CUADRO 1'!F6,E7&gt;'CUADRO 1'!F6,E8&gt;'CUADRO 1'!F6,E9&gt;'CUADRO 1'!F6,E10&gt;'CUADRO 1'!F6,E11&gt;'CUADRO 1'!F6,E12&gt;'CUADRO 1'!F6,E13&gt;'CUADRO 1'!F6,E14&gt;'CUADRO 1'!F6,E15&gt;'CUADRO 1'!F6,E16&gt;'CUADRO 1'!F6,E17&gt;'CUADRO 1'!F6,E18&gt;'CUADRO 1'!F6,E19&gt;'CUADRO 1'!F6,E20&gt;'CUADRO 1'!F6,E21&gt;'CUADRO 1'!F6),"XX","")</f>
        <v/>
      </c>
      <c r="F22" s="522"/>
      <c r="G22" s="522" t="str">
        <f>IF(OR(G6&gt;'CUADRO 1'!E7,G7&gt;'CUADRO 1'!E7,G8&gt;'CUADRO 1'!E7,G9&gt;'CUADRO 1'!E7,G10&gt;'CUADRO 1'!E7,G11&gt;'CUADRO 1'!E7,G12&gt;'CUADRO 1'!E7,G13&gt;'CUADRO 1'!E7,G14&gt;'CUADRO 1'!E7,G15&gt;'CUADRO 1'!E7,G16&gt;'CUADRO 1'!E7,G17&gt;'CUADRO 1'!E7,G18&gt;'CUADRO 1'!E7,G19&gt;'CUADRO 1'!E7,G20&gt;'CUADRO 1'!E7,G21&gt;'CUADRO 1'!E7),"XX","")</f>
        <v/>
      </c>
      <c r="H22" s="522" t="str">
        <f>IF(OR(H6&gt;'CUADRO 1'!F7,H7&gt;'CUADRO 1'!F7,H8&gt;'CUADRO 1'!F7,H9&gt;'CUADRO 1'!F7,H10&gt;'CUADRO 1'!F7,H11&gt;'CUADRO 1'!F7,H12&gt;'CUADRO 1'!F7,H13&gt;'CUADRO 1'!F7,H14&gt;'CUADRO 1'!F7,H15&gt;'CUADRO 1'!F7,H16&gt;'CUADRO 1'!F7,H17&gt;'CUADRO 1'!F7,H18&gt;'CUADRO 1'!F7,H19&gt;'CUADRO 1'!F7,H20&gt;'CUADRO 1'!F7,H21&gt;'CUADRO 1'!F7),"XX","")</f>
        <v/>
      </c>
      <c r="I22" s="522"/>
      <c r="J22" s="522" t="str">
        <f>IF(OR(J6&gt;('CUADRO 1'!E7+'CUADRO 1'!E8),J7&gt;('CUADRO 1'!E7+'CUADRO 1'!E8),J8&gt;('CUADRO 1'!E7+'CUADRO 1'!E8),J9&gt;('CUADRO 1'!E7+'CUADRO 1'!E8),J10&gt;('CUADRO 1'!E7+'CUADRO 1'!E8),J11&gt;('CUADRO 1'!E7+'CUADRO 1'!E8),J12&gt;('CUADRO 1'!E7+'CUADRO 1'!E8),J13&gt;('CUADRO 1'!E7+'CUADRO 1'!E8),J14&gt;('CUADRO 1'!E7+'CUADRO 1'!E8),J15&gt;('CUADRO 1'!E7+'CUADRO 1'!E8),J16&gt;('CUADRO 1'!E7+'CUADRO 1'!E8),J17&gt;('CUADRO 1'!E7+'CUADRO 1'!E8),J18&gt;('CUADRO 1'!E7+'CUADRO 1'!E8),J19&gt;('CUADRO 1'!E7+'CUADRO 1'!E8),J20&gt;('CUADRO 1'!E7+'CUADRO 1'!E8),J21&gt;('CUADRO 1'!E7+'CUADRO 1'!E8)),"XX","")</f>
        <v/>
      </c>
      <c r="K22" s="522" t="str">
        <f>IF(OR(K6&gt;('CUADRO 1'!F7+'CUADRO 1'!F8),K7&gt;('CUADRO 1'!F7+'CUADRO 1'!F8),K8&gt;('CUADRO 1'!F7+'CUADRO 1'!F8),K9&gt;('CUADRO 1'!F7+'CUADRO 1'!F8),K10&gt;('CUADRO 1'!F7+'CUADRO 1'!F8),K11&gt;('CUADRO 1'!F7+'CUADRO 1'!F8),K12&gt;('CUADRO 1'!F7+'CUADRO 1'!F8),K13&gt;('CUADRO 1'!F7+'CUADRO 1'!F8),K14&gt;('CUADRO 1'!F7+'CUADRO 1'!F8),K15&gt;('CUADRO 1'!F7+'CUADRO 1'!F8),K16&gt;('CUADRO 1'!F7+'CUADRO 1'!F8),K17&gt;('CUADRO 1'!F7+'CUADRO 1'!F8),K18&gt;('CUADRO 1'!F7+'CUADRO 1'!F8),K19&gt;('CUADRO 1'!F7+'CUADRO 1'!F8),K20&gt;('CUADRO 1'!F7+'CUADRO 1'!F8),K21&gt;('CUADRO 1'!F7+'CUADRO 1'!F8)),"XX","")</f>
        <v/>
      </c>
      <c r="L22" s="522"/>
      <c r="M22" s="522" t="str">
        <f>IF(OR(M6&gt;('CUADRO 1'!E7+'CUADRO 1'!E8+'CUADRO 1'!E9),M7&gt;('CUADRO 1'!E7+'CUADRO 1'!E8+'CUADRO 1'!E9),M8&gt;('CUADRO 1'!E7+'CUADRO 1'!E8+'CUADRO 1'!E9),M9&gt;('CUADRO 1'!E7+'CUADRO 1'!E8+'CUADRO 1'!E9),M10&gt;('CUADRO 1'!E7+'CUADRO 1'!E8+'CUADRO 1'!E9),M11&gt;('CUADRO 1'!E7+'CUADRO 1'!E8+'CUADRO 1'!E9),M12&gt;('CUADRO 1'!E7+'CUADRO 1'!E8+'CUADRO 1'!E9),M13&gt;('CUADRO 1'!E7+'CUADRO 1'!E8+'CUADRO 1'!E9),M14&gt;('CUADRO 1'!E7+'CUADRO 1'!E8+'CUADRO 1'!E9),M15&gt;('CUADRO 1'!E7+'CUADRO 1'!E8+'CUADRO 1'!E9),M16&gt;('CUADRO 1'!E7+'CUADRO 1'!E8+'CUADRO 1'!E9),M17&gt;('CUADRO 1'!E7+'CUADRO 1'!E8+'CUADRO 1'!E9),M18&gt;('CUADRO 1'!E7+'CUADRO 1'!E8+'CUADRO 1'!E9),M19&gt;('CUADRO 1'!E7+'CUADRO 1'!E8+'CUADRO 1'!E9),M20&gt;('CUADRO 1'!E7+'CUADRO 1'!E8+'CUADRO 1'!E9),M21&gt;('CUADRO 1'!E7+'CUADRO 1'!E8+'CUADRO 1'!E9)),"XX","")</f>
        <v/>
      </c>
      <c r="N22" s="522" t="str">
        <f>IF(OR(N6&gt;('CUADRO 1'!F7+'CUADRO 1'!F8+'CUADRO 1'!F9),N7&gt;('CUADRO 1'!F7+'CUADRO 1'!F8+'CUADRO 1'!F9),N8&gt;('CUADRO 1'!F7+'CUADRO 1'!F8+'CUADRO 1'!F9),N9&gt;('CUADRO 1'!F7+'CUADRO 1'!F8+'CUADRO 1'!F9),N10&gt;('CUADRO 1'!F7+'CUADRO 1'!F8+'CUADRO 1'!F9),N11&gt;('CUADRO 1'!F7+'CUADRO 1'!F8+'CUADRO 1'!F9),N12&gt;('CUADRO 1'!F7+'CUADRO 1'!F8+'CUADRO 1'!F9),N13&gt;('CUADRO 1'!F7+'CUADRO 1'!F8+'CUADRO 1'!F9),N14&gt;('CUADRO 1'!F7+'CUADRO 1'!F8+'CUADRO 1'!F9),N15&gt;('CUADRO 1'!F7+'CUADRO 1'!F8+'CUADRO 1'!F9),N16&gt;('CUADRO 1'!F7+'CUADRO 1'!F8+'CUADRO 1'!F9),N17&gt;('CUADRO 1'!F7+'CUADRO 1'!F8+'CUADRO 1'!F9),N18&gt;('CUADRO 1'!F7+'CUADRO 1'!F8+'CUADRO 1'!F9),N19&gt;('CUADRO 1'!F7+'CUADRO 1'!F8+'CUADRO 1'!F9),N20&gt;('CUADRO 1'!F7+'CUADRO 1'!F8+'CUADRO 1'!F9),N21&gt;('CUADRO 1'!F7+'CUADRO 1'!F8+'CUADRO 1'!F9)),"XX","")</f>
        <v/>
      </c>
      <c r="O22" s="522"/>
      <c r="P22" s="522" t="str">
        <f>IF(OR(P6&gt;('CUADRO 1'!E7+'CUADRO 1'!E8+'CUADRO 1'!E9+'CUADRO 1'!E10),P7&gt;('CUADRO 1'!E7+'CUADRO 1'!E8+'CUADRO 1'!E9+'CUADRO 1'!E10),P8&gt;('CUADRO 1'!E7+'CUADRO 1'!E8+'CUADRO 1'!E9+'CUADRO 1'!E10),P9&gt;('CUADRO 1'!E7+'CUADRO 1'!E8+'CUADRO 1'!E9+'CUADRO 1'!E10),P10&gt;('CUADRO 1'!E7+'CUADRO 1'!E8+'CUADRO 1'!E9+'CUADRO 1'!E10),P11&gt;('CUADRO 1'!E7+'CUADRO 1'!E8+'CUADRO 1'!E9+'CUADRO 1'!E10),P12&gt;('CUADRO 1'!E7+'CUADRO 1'!E8+'CUADRO 1'!E9+'CUADRO 1'!E10),P13&gt;('CUADRO 1'!E7+'CUADRO 1'!E8+'CUADRO 1'!E9+'CUADRO 1'!E10),P14&gt;('CUADRO 1'!E7+'CUADRO 1'!E8+'CUADRO 1'!E9+'CUADRO 1'!E10),P15&gt;('CUADRO 1'!E7+'CUADRO 1'!E8+'CUADRO 1'!E9+'CUADRO 1'!E10),P16&gt;('CUADRO 1'!E7+'CUADRO 1'!E8+'CUADRO 1'!E9+'CUADRO 1'!E10),P17&gt;('CUADRO 1'!E7+'CUADRO 1'!E8+'CUADRO 1'!E9+'CUADRO 1'!E10),P18&gt;('CUADRO 1'!E7+'CUADRO 1'!E8+'CUADRO 1'!E9+'CUADRO 1'!E10),P19&gt;('CUADRO 1'!E7+'CUADRO 1'!E8+'CUADRO 1'!E9+'CUADRO 1'!E10),P20&gt;('CUADRO 1'!E7+'CUADRO 1'!E8+'CUADRO 1'!E9+'CUADRO 1'!E10),P21&gt;('CUADRO 1'!E7+'CUADRO 1'!E8+'CUADRO 1'!E9+'CUADRO 1'!E10)),"XX","")</f>
        <v/>
      </c>
      <c r="Q22" s="522" t="str">
        <f>IF(OR(Q6&gt;('CUADRO 1'!F7+'CUADRO 1'!F8+'CUADRO 1'!F9+'CUADRO 1'!F10),Q7&gt;('CUADRO 1'!F7+'CUADRO 1'!F8+'CUADRO 1'!F9+'CUADRO 1'!F10),Q8&gt;('CUADRO 1'!F7+'CUADRO 1'!F8+'CUADRO 1'!F9+'CUADRO 1'!F10),Q9&gt;('CUADRO 1'!F7+'CUADRO 1'!F8+'CUADRO 1'!F9+'CUADRO 1'!F10),Q10&gt;('CUADRO 1'!F7+'CUADRO 1'!F8+'CUADRO 1'!F9+'CUADRO 1'!F10),Q11&gt;('CUADRO 1'!F7+'CUADRO 1'!F8+'CUADRO 1'!F9+'CUADRO 1'!F10),Q12&gt;('CUADRO 1'!F7+'CUADRO 1'!F8+'CUADRO 1'!F9+'CUADRO 1'!F10),Q13&gt;('CUADRO 1'!F7+'CUADRO 1'!F8+'CUADRO 1'!F9+'CUADRO 1'!F10),Q14&gt;('CUADRO 1'!F7+'CUADRO 1'!F8+'CUADRO 1'!F9+'CUADRO 1'!F10),Q15&gt;('CUADRO 1'!F7+'CUADRO 1'!F8+'CUADRO 1'!F9+'CUADRO 1'!F10),Q16&gt;('CUADRO 1'!F7+'CUADRO 1'!F8+'CUADRO 1'!F9+'CUADRO 1'!F10),Q17&gt;('CUADRO 1'!F7+'CUADRO 1'!F8+'CUADRO 1'!F9+'CUADRO 1'!F10),Q18&gt;('CUADRO 1'!F7+'CUADRO 1'!F8+'CUADRO 1'!F9+'CUADRO 1'!F10),Q19&gt;('CUADRO 1'!F7+'CUADRO 1'!F8+'CUADRO 1'!F9+'CUADRO 1'!F10),Q20&gt;('CUADRO 1'!F7+'CUADRO 1'!F8+'CUADRO 1'!F9+'CUADRO 1'!F10),Q21&gt;('CUADRO 1'!F7+'CUADRO 1'!F8+'CUADRO 1'!F9+'CUADRO 1'!F10)),"XX","")</f>
        <v/>
      </c>
      <c r="R22" s="522"/>
      <c r="S22" s="522" t="str">
        <f>IF(OR(S6&gt;('CUADRO 1'!E7+'CUADRO 1'!E8+'CUADRO 1'!E9+'CUADRO 1'!E10+'CUADRO 1'!E11),S7&gt;('CUADRO 1'!E7+'CUADRO 1'!E8+'CUADRO 1'!E9+'CUADRO 1'!E10+'CUADRO 1'!E11),S8&gt;('CUADRO 1'!E7+'CUADRO 1'!E8+'CUADRO 1'!E9+'CUADRO 1'!E10+'CUADRO 1'!E11),S9&gt;('CUADRO 1'!E7+'CUADRO 1'!E8+'CUADRO 1'!E9+'CUADRO 1'!E10+'CUADRO 1'!E11),S10&gt;('CUADRO 1'!E7+'CUADRO 1'!E8+'CUADRO 1'!E9+'CUADRO 1'!E10+'CUADRO 1'!E11),S11&gt;('CUADRO 1'!E7+'CUADRO 1'!E8+'CUADRO 1'!E9+'CUADRO 1'!E10+'CUADRO 1'!E11),S12&gt;('CUADRO 1'!E7+'CUADRO 1'!E8+'CUADRO 1'!E9+'CUADRO 1'!E10+'CUADRO 1'!E11),S13&gt;('CUADRO 1'!E7+'CUADRO 1'!E8+'CUADRO 1'!E9+'CUADRO 1'!E10+'CUADRO 1'!E11),S14&gt;('CUADRO 1'!E7+'CUADRO 1'!E8+'CUADRO 1'!E9+'CUADRO 1'!E10+'CUADRO 1'!E11),S15&gt;('CUADRO 1'!E7+'CUADRO 1'!E8+'CUADRO 1'!E9+'CUADRO 1'!E10+'CUADRO 1'!E11),S16&gt;('CUADRO 1'!E7+'CUADRO 1'!E8+'CUADRO 1'!E9+'CUADRO 1'!E10+'CUADRO 1'!E11),S17&gt;('CUADRO 1'!E7+'CUADRO 1'!E8+'CUADRO 1'!E9+'CUADRO 1'!E10+'CUADRO 1'!E11),S18&gt;('CUADRO 1'!E7+'CUADRO 1'!E8+'CUADRO 1'!E9+'CUADRO 1'!E10+'CUADRO 1'!E11),S19&gt;('CUADRO 1'!E7+'CUADRO 1'!E8+'CUADRO 1'!E9+'CUADRO 1'!E10+'CUADRO 1'!E11),S20&gt;('CUADRO 1'!E7+'CUADRO 1'!E8+'CUADRO 1'!E9+'CUADRO 1'!E10+'CUADRO 1'!E11),S21&gt;('CUADRO 1'!E7+'CUADRO 1'!E8+'CUADRO 1'!E9+'CUADRO 1'!E10+'CUADRO 1'!E11)),"XX","")</f>
        <v/>
      </c>
      <c r="T22" s="522" t="str">
        <f>IF(OR(T6&gt;('CUADRO 1'!F7+'CUADRO 1'!F8+'CUADRO 1'!F9+'CUADRO 1'!F10+'CUADRO 1'!F11),T7&gt;('CUADRO 1'!F7+'CUADRO 1'!F8+'CUADRO 1'!F9+'CUADRO 1'!F10+'CUADRO 1'!F11),T8&gt;('CUADRO 1'!F7+'CUADRO 1'!F8+'CUADRO 1'!F9+'CUADRO 1'!F10+'CUADRO 1'!F11),T9&gt;('CUADRO 1'!F7+'CUADRO 1'!F8+'CUADRO 1'!F9+'CUADRO 1'!F10+'CUADRO 1'!F11),T10&gt;('CUADRO 1'!F7+'CUADRO 1'!F8+'CUADRO 1'!F9+'CUADRO 1'!F10+'CUADRO 1'!F11),T11&gt;('CUADRO 1'!F7+'CUADRO 1'!F8+'CUADRO 1'!F9+'CUADRO 1'!F10+'CUADRO 1'!F11),T12&gt;('CUADRO 1'!F7+'CUADRO 1'!F8+'CUADRO 1'!F9+'CUADRO 1'!F10+'CUADRO 1'!F11),T13&gt;('CUADRO 1'!F7+'CUADRO 1'!F8+'CUADRO 1'!F9+'CUADRO 1'!F10+'CUADRO 1'!F11),T14&gt;('CUADRO 1'!F7+'CUADRO 1'!F8+'CUADRO 1'!F9+'CUADRO 1'!F10+'CUADRO 1'!F11),T15&gt;('CUADRO 1'!F7+'CUADRO 1'!F8+'CUADRO 1'!F9+'CUADRO 1'!F10+'CUADRO 1'!F11),T16&gt;('CUADRO 1'!F7+'CUADRO 1'!F8+'CUADRO 1'!F9+'CUADRO 1'!F10+'CUADRO 1'!F11),T17&gt;('CUADRO 1'!F7+'CUADRO 1'!F8+'CUADRO 1'!F9+'CUADRO 1'!F10+'CUADRO 1'!F11),T18&gt;('CUADRO 1'!F7+'CUADRO 1'!F8+'CUADRO 1'!F9+'CUADRO 1'!F10+'CUADRO 1'!F11),T19&gt;('CUADRO 1'!F7+'CUADRO 1'!F8+'CUADRO 1'!F9+'CUADRO 1'!F10+'CUADRO 1'!F11),T20&gt;('CUADRO 1'!F7+'CUADRO 1'!F8+'CUADRO 1'!F9+'CUADRO 1'!F10+'CUADRO 1'!F11),T21&gt;('CUADRO 1'!F7+'CUADRO 1'!F8+'CUADRO 1'!F9+'CUADRO 1'!F10+'CUADRO 1'!F11)),"XX","")</f>
        <v/>
      </c>
      <c r="U22" s="522"/>
      <c r="V22" s="522"/>
      <c r="W22" s="522"/>
    </row>
    <row r="23" spans="1:26" ht="23.25" customHeight="1">
      <c r="A23" s="323"/>
      <c r="B23" s="104" t="s">
        <v>1904</v>
      </c>
      <c r="C23" s="854" t="str">
        <f>IF(OR(D22="XX",E22="XX"),"El dato indicado en alguna Asignatura es mayor a la Matrícula Total indicada en el Cuadro 1.","")</f>
        <v/>
      </c>
      <c r="D23" s="854"/>
      <c r="E23" s="854"/>
      <c r="F23" s="543"/>
      <c r="G23" s="853" t="str">
        <f>IF(OR(G22="XX",H22="XX",J22="XX",K22="XX",M22="XX",N22="XX",P22="XX",Q22="XX",S22="XX",T22="XX",V22="XX",W22="XX"),CONCATENATE(B23),"")</f>
        <v/>
      </c>
      <c r="H23" s="853"/>
      <c r="I23" s="853"/>
      <c r="J23" s="853"/>
      <c r="K23" s="853"/>
      <c r="L23" s="853"/>
      <c r="M23" s="853"/>
      <c r="N23" s="853"/>
      <c r="O23" s="853"/>
      <c r="P23" s="853"/>
      <c r="Q23" s="853"/>
      <c r="R23" s="853"/>
      <c r="S23" s="853"/>
      <c r="T23" s="853"/>
      <c r="U23" s="853"/>
      <c r="V23" s="853"/>
      <c r="W23" s="853"/>
      <c r="X23" s="55"/>
      <c r="Y23" s="254"/>
      <c r="Z23" s="254"/>
    </row>
    <row r="24" spans="1:26" ht="23.25" customHeight="1">
      <c r="A24" s="323"/>
      <c r="B24" s="104"/>
      <c r="C24" s="854"/>
      <c r="D24" s="854"/>
      <c r="E24" s="854"/>
      <c r="F24" s="543"/>
      <c r="G24" s="853"/>
      <c r="H24" s="853"/>
      <c r="I24" s="853"/>
      <c r="J24" s="853"/>
      <c r="K24" s="853"/>
      <c r="L24" s="853"/>
      <c r="M24" s="853"/>
      <c r="N24" s="853"/>
      <c r="O24" s="853"/>
      <c r="P24" s="853"/>
      <c r="Q24" s="853"/>
      <c r="R24" s="853"/>
      <c r="S24" s="853"/>
      <c r="T24" s="853"/>
      <c r="U24" s="853"/>
      <c r="V24" s="853"/>
      <c r="W24" s="853"/>
      <c r="X24" s="55"/>
      <c r="Y24" s="254"/>
      <c r="Z24" s="254"/>
    </row>
    <row r="25" spans="1:26" ht="23.25" customHeight="1">
      <c r="C25" s="854"/>
      <c r="D25" s="854"/>
      <c r="E25" s="854"/>
      <c r="F25" s="543"/>
      <c r="G25" s="853"/>
      <c r="H25" s="853"/>
      <c r="I25" s="853"/>
      <c r="J25" s="853"/>
      <c r="K25" s="853"/>
      <c r="L25" s="853"/>
      <c r="M25" s="853"/>
      <c r="N25" s="853"/>
      <c r="O25" s="853"/>
      <c r="P25" s="853"/>
      <c r="Q25" s="853"/>
      <c r="R25" s="853"/>
      <c r="S25" s="853"/>
      <c r="T25" s="853"/>
      <c r="U25" s="853"/>
      <c r="V25" s="853"/>
      <c r="W25" s="853"/>
    </row>
    <row r="26" spans="1:26" ht="18.75" customHeight="1">
      <c r="B26" s="257" t="s">
        <v>290</v>
      </c>
      <c r="C26" s="855"/>
      <c r="D26" s="855"/>
      <c r="E26" s="855"/>
    </row>
    <row r="27" spans="1:26" ht="18.75" customHeight="1">
      <c r="B27" s="810"/>
      <c r="C27" s="811"/>
      <c r="D27" s="811"/>
      <c r="E27" s="811"/>
      <c r="F27" s="811"/>
      <c r="G27" s="811"/>
      <c r="H27" s="811"/>
      <c r="I27" s="811"/>
      <c r="J27" s="811"/>
      <c r="K27" s="811"/>
      <c r="L27" s="811"/>
      <c r="M27" s="811"/>
      <c r="N27" s="811"/>
      <c r="O27" s="811"/>
      <c r="P27" s="811"/>
      <c r="Q27" s="811"/>
      <c r="R27" s="811"/>
      <c r="S27" s="811"/>
      <c r="T27" s="811"/>
      <c r="U27" s="811"/>
      <c r="V27" s="811"/>
      <c r="W27" s="812"/>
    </row>
    <row r="28" spans="1:26" ht="18.75" customHeight="1">
      <c r="B28" s="813"/>
      <c r="C28" s="814"/>
      <c r="D28" s="814"/>
      <c r="E28" s="814"/>
      <c r="F28" s="814"/>
      <c r="G28" s="814"/>
      <c r="H28" s="814"/>
      <c r="I28" s="814"/>
      <c r="J28" s="814"/>
      <c r="K28" s="814"/>
      <c r="L28" s="814"/>
      <c r="M28" s="814"/>
      <c r="N28" s="814"/>
      <c r="O28" s="814"/>
      <c r="P28" s="814"/>
      <c r="Q28" s="814"/>
      <c r="R28" s="814"/>
      <c r="S28" s="814"/>
      <c r="T28" s="814"/>
      <c r="U28" s="814"/>
      <c r="V28" s="814"/>
      <c r="W28" s="815"/>
    </row>
    <row r="29" spans="1:26" ht="18.75" customHeight="1">
      <c r="B29" s="813"/>
      <c r="C29" s="814"/>
      <c r="D29" s="814"/>
      <c r="E29" s="814"/>
      <c r="F29" s="814"/>
      <c r="G29" s="814"/>
      <c r="H29" s="814"/>
      <c r="I29" s="814"/>
      <c r="J29" s="814"/>
      <c r="K29" s="814"/>
      <c r="L29" s="814"/>
      <c r="M29" s="814"/>
      <c r="N29" s="814"/>
      <c r="O29" s="814"/>
      <c r="P29" s="814"/>
      <c r="Q29" s="814"/>
      <c r="R29" s="814"/>
      <c r="S29" s="814"/>
      <c r="T29" s="814"/>
      <c r="U29" s="814"/>
      <c r="V29" s="814"/>
      <c r="W29" s="815"/>
    </row>
    <row r="30" spans="1:26" ht="18.75" customHeight="1">
      <c r="B30" s="813"/>
      <c r="C30" s="814"/>
      <c r="D30" s="814"/>
      <c r="E30" s="814"/>
      <c r="F30" s="814"/>
      <c r="G30" s="814"/>
      <c r="H30" s="814"/>
      <c r="I30" s="814"/>
      <c r="J30" s="814"/>
      <c r="K30" s="814"/>
      <c r="L30" s="814"/>
      <c r="M30" s="814"/>
      <c r="N30" s="814"/>
      <c r="O30" s="814"/>
      <c r="P30" s="814"/>
      <c r="Q30" s="814"/>
      <c r="R30" s="814"/>
      <c r="S30" s="814"/>
      <c r="T30" s="814"/>
      <c r="U30" s="814"/>
      <c r="V30" s="814"/>
      <c r="W30" s="815"/>
    </row>
    <row r="31" spans="1:26" ht="18.75" customHeight="1">
      <c r="B31" s="816"/>
      <c r="C31" s="817"/>
      <c r="D31" s="817"/>
      <c r="E31" s="817"/>
      <c r="F31" s="817"/>
      <c r="G31" s="817"/>
      <c r="H31" s="817"/>
      <c r="I31" s="817"/>
      <c r="J31" s="817"/>
      <c r="K31" s="817"/>
      <c r="L31" s="817"/>
      <c r="M31" s="817"/>
      <c r="N31" s="817"/>
      <c r="O31" s="817"/>
      <c r="P31" s="817"/>
      <c r="Q31" s="817"/>
      <c r="R31" s="817"/>
      <c r="S31" s="817"/>
      <c r="T31" s="817"/>
      <c r="U31" s="817"/>
      <c r="V31" s="817"/>
      <c r="W31" s="818"/>
    </row>
  </sheetData>
  <sheetProtection algorithmName="SHA-512" hashValue="D98P9g+ubLOR5JElLlVOE+YycSdWT1DJPkHMxIrFmCDkSbOrnnUuW5KFDcYjm3bOvggL4gmGxPHd1e9k8bcuwQ==" saltValue="BqlAsH5kcE1/Rowz5t+xdQ==" spinCount="100000" sheet="1" objects="1" scenarios="1"/>
  <mergeCells count="15">
    <mergeCell ref="V1:W1"/>
    <mergeCell ref="B27:W31"/>
    <mergeCell ref="I4:K4"/>
    <mergeCell ref="L4:N4"/>
    <mergeCell ref="O4:Q4"/>
    <mergeCell ref="R4:T4"/>
    <mergeCell ref="U4:W4"/>
    <mergeCell ref="B3:B5"/>
    <mergeCell ref="C3:E4"/>
    <mergeCell ref="F3:W3"/>
    <mergeCell ref="F4:H4"/>
    <mergeCell ref="O9:W9"/>
    <mergeCell ref="G23:W25"/>
    <mergeCell ref="C23:E26"/>
    <mergeCell ref="F19:N19"/>
  </mergeCells>
  <conditionalFormatting sqref="F19 C6:F17 I6:I18 L6:L18 O10:O18 R10:R18 U10:U18 C21:E21 C20 E20 C18 E18:F18 D18:D20">
    <cfRule type="cellIs" dxfId="272" priority="17" operator="equal">
      <formula>0</formula>
    </cfRule>
  </conditionalFormatting>
  <conditionalFormatting sqref="O6:O8 R6:R8 U6:U8">
    <cfRule type="cellIs" dxfId="271" priority="16" operator="equal">
      <formula>0</formula>
    </cfRule>
  </conditionalFormatting>
  <conditionalFormatting sqref="E6">
    <cfRule type="expression" dxfId="270" priority="36">
      <formula>E6&gt;#REF!</formula>
    </cfRule>
  </conditionalFormatting>
  <conditionalFormatting sqref="E7">
    <cfRule type="expression" dxfId="269" priority="35">
      <formula>E7&gt;#REF!</formula>
    </cfRule>
  </conditionalFormatting>
  <conditionalFormatting sqref="E8">
    <cfRule type="expression" dxfId="268" priority="34">
      <formula>E8&gt;#REF!</formula>
    </cfRule>
  </conditionalFormatting>
  <conditionalFormatting sqref="E9">
    <cfRule type="expression" dxfId="267" priority="33">
      <formula>E9&gt;#REF!</formula>
    </cfRule>
  </conditionalFormatting>
  <conditionalFormatting sqref="E10">
    <cfRule type="expression" dxfId="266" priority="32">
      <formula>E10&gt;#REF!</formula>
    </cfRule>
  </conditionalFormatting>
  <conditionalFormatting sqref="E11">
    <cfRule type="expression" dxfId="265" priority="31">
      <formula>E11&gt;#REF!</formula>
    </cfRule>
  </conditionalFormatting>
  <conditionalFormatting sqref="E12">
    <cfRule type="expression" dxfId="264" priority="30">
      <formula>E12&gt;#REF!</formula>
    </cfRule>
  </conditionalFormatting>
  <conditionalFormatting sqref="E13">
    <cfRule type="expression" dxfId="263" priority="29">
      <formula>E13&gt;#REF!</formula>
    </cfRule>
  </conditionalFormatting>
  <conditionalFormatting sqref="E14">
    <cfRule type="expression" dxfId="262" priority="28">
      <formula>E14&gt;#REF!</formula>
    </cfRule>
  </conditionalFormatting>
  <conditionalFormatting sqref="E15">
    <cfRule type="expression" dxfId="261" priority="24">
      <formula>E15&gt;#REF!</formula>
    </cfRule>
  </conditionalFormatting>
  <conditionalFormatting sqref="E16">
    <cfRule type="expression" dxfId="260" priority="23">
      <formula>E16&gt;#REF!</formula>
    </cfRule>
  </conditionalFormatting>
  <conditionalFormatting sqref="E17">
    <cfRule type="expression" dxfId="259" priority="22">
      <formula>E17&gt;#REF!</formula>
    </cfRule>
  </conditionalFormatting>
  <conditionalFormatting sqref="E18">
    <cfRule type="expression" dxfId="258" priority="21">
      <formula>E18&gt;#REF!</formula>
    </cfRule>
  </conditionalFormatting>
  <conditionalFormatting sqref="E20:E21">
    <cfRule type="expression" dxfId="257" priority="19">
      <formula>E20&gt;#REF!</formula>
    </cfRule>
  </conditionalFormatting>
  <conditionalFormatting sqref="F20:F21 I20:I21 L20:L21 O20:O21 R20:R21 U20:U21">
    <cfRule type="cellIs" dxfId="256" priority="4" operator="equal">
      <formula>0</formula>
    </cfRule>
  </conditionalFormatting>
  <conditionalFormatting sqref="C19 E19">
    <cfRule type="cellIs" dxfId="255" priority="2" operator="equal">
      <formula>0</formula>
    </cfRule>
  </conditionalFormatting>
  <conditionalFormatting sqref="O19 R19 U19">
    <cfRule type="cellIs" dxfId="254" priority="1" operator="equal">
      <formula>0</formula>
    </cfRule>
  </conditionalFormatting>
  <conditionalFormatting sqref="E19">
    <cfRule type="expression" dxfId="253" priority="3">
      <formula>E19&gt;#REF!</formula>
    </cfRule>
  </conditionalFormatting>
  <dataValidations count="1">
    <dataValidation type="whole" operator="greaterThanOrEqual" allowBlank="1" showInputMessage="1" showErrorMessage="1" sqref="C6:F21 O6:W21 G6:N18 G20:N21">
      <formula1>0</formula1>
    </dataValidation>
  </dataValidations>
  <printOptions horizontalCentered="1" verticalCentered="1"/>
  <pageMargins left="0" right="0.17" top="0.23622047244094491" bottom="0.19685039370078741" header="0.43307086614173229" footer="0.19685039370078741"/>
  <pageSetup scale="64" orientation="landscape" r:id="rId1"/>
  <headerFooter scaleWithDoc="0">
    <oddFooter>&amp;R&amp;"Goudy,Negrita Cursiva"Técnica Diurna&amp;"Goudy,Cursiva", página 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1:Z30"/>
  <sheetViews>
    <sheetView showGridLines="0" zoomScale="90" zoomScaleNormal="90" workbookViewId="0"/>
  </sheetViews>
  <sheetFormatPr baseColWidth="10" defaultRowHeight="14.25"/>
  <cols>
    <col min="1" max="1" width="2.85546875" style="212" customWidth="1"/>
    <col min="2" max="2" width="39" style="212" customWidth="1"/>
    <col min="3" max="23" width="8.140625" style="212" customWidth="1"/>
    <col min="24" max="16384" width="11.42578125" style="212"/>
  </cols>
  <sheetData>
    <row r="1" spans="2:23" ht="18">
      <c r="B1" s="621" t="s">
        <v>913</v>
      </c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  <c r="P1" s="738"/>
      <c r="Q1" s="738"/>
      <c r="R1" s="738"/>
      <c r="S1" s="738"/>
      <c r="T1" s="738"/>
      <c r="U1" s="738"/>
      <c r="V1" s="805" t="str">
        <f>+Portada!$M$2</f>
        <v/>
      </c>
      <c r="W1" s="806"/>
    </row>
    <row r="2" spans="2:23" ht="18.75" thickBot="1">
      <c r="B2" s="671" t="s">
        <v>1797</v>
      </c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  <c r="R2" s="588"/>
      <c r="S2" s="588"/>
      <c r="T2" s="588"/>
      <c r="U2" s="588"/>
      <c r="V2" s="588"/>
      <c r="W2" s="588"/>
    </row>
    <row r="3" spans="2:23" ht="21" customHeight="1" thickTop="1" thickBot="1">
      <c r="B3" s="843" t="s">
        <v>291</v>
      </c>
      <c r="C3" s="846" t="s">
        <v>0</v>
      </c>
      <c r="D3" s="822"/>
      <c r="E3" s="847"/>
      <c r="F3" s="850" t="s">
        <v>1746</v>
      </c>
      <c r="G3" s="850"/>
      <c r="H3" s="850"/>
      <c r="I3" s="850"/>
      <c r="J3" s="850"/>
      <c r="K3" s="850"/>
      <c r="L3" s="850"/>
      <c r="M3" s="850"/>
      <c r="N3" s="850"/>
      <c r="O3" s="850"/>
      <c r="P3" s="850"/>
      <c r="Q3" s="850"/>
      <c r="R3" s="850"/>
      <c r="S3" s="850"/>
      <c r="T3" s="850"/>
      <c r="U3" s="850"/>
      <c r="V3" s="850"/>
      <c r="W3" s="850"/>
    </row>
    <row r="4" spans="2:23" ht="18" customHeight="1">
      <c r="B4" s="844"/>
      <c r="C4" s="848"/>
      <c r="D4" s="840"/>
      <c r="E4" s="849"/>
      <c r="F4" s="839" t="s">
        <v>885</v>
      </c>
      <c r="G4" s="840"/>
      <c r="H4" s="840"/>
      <c r="I4" s="839" t="s">
        <v>886</v>
      </c>
      <c r="J4" s="840"/>
      <c r="K4" s="840"/>
      <c r="L4" s="839" t="s">
        <v>887</v>
      </c>
      <c r="M4" s="840"/>
      <c r="N4" s="840"/>
      <c r="O4" s="839" t="s">
        <v>875</v>
      </c>
      <c r="P4" s="840"/>
      <c r="Q4" s="840"/>
      <c r="R4" s="839" t="s">
        <v>888</v>
      </c>
      <c r="S4" s="840"/>
      <c r="T4" s="840"/>
      <c r="U4" s="841" t="s">
        <v>889</v>
      </c>
      <c r="V4" s="842"/>
      <c r="W4" s="842"/>
    </row>
    <row r="5" spans="2:23" ht="27.75" customHeight="1" thickBot="1">
      <c r="B5" s="845"/>
      <c r="C5" s="562" t="s">
        <v>0</v>
      </c>
      <c r="D5" s="563" t="s">
        <v>21</v>
      </c>
      <c r="E5" s="564" t="s">
        <v>20</v>
      </c>
      <c r="F5" s="565" t="s">
        <v>0</v>
      </c>
      <c r="G5" s="563" t="s">
        <v>21</v>
      </c>
      <c r="H5" s="566" t="s">
        <v>20</v>
      </c>
      <c r="I5" s="565" t="s">
        <v>0</v>
      </c>
      <c r="J5" s="563" t="s">
        <v>21</v>
      </c>
      <c r="K5" s="566" t="s">
        <v>20</v>
      </c>
      <c r="L5" s="565" t="s">
        <v>0</v>
      </c>
      <c r="M5" s="563" t="s">
        <v>21</v>
      </c>
      <c r="N5" s="566" t="s">
        <v>20</v>
      </c>
      <c r="O5" s="565" t="s">
        <v>0</v>
      </c>
      <c r="P5" s="563" t="s">
        <v>21</v>
      </c>
      <c r="Q5" s="566" t="s">
        <v>20</v>
      </c>
      <c r="R5" s="565" t="s">
        <v>0</v>
      </c>
      <c r="S5" s="563" t="s">
        <v>21</v>
      </c>
      <c r="T5" s="566" t="s">
        <v>20</v>
      </c>
      <c r="U5" s="565" t="s">
        <v>0</v>
      </c>
      <c r="V5" s="563" t="s">
        <v>21</v>
      </c>
      <c r="W5" s="567" t="s">
        <v>20</v>
      </c>
    </row>
    <row r="6" spans="2:23" ht="24" customHeight="1" thickTop="1">
      <c r="B6" s="604" t="s">
        <v>294</v>
      </c>
      <c r="C6" s="605">
        <f t="shared" ref="C6:C19" si="0">+D6+E6</f>
        <v>0</v>
      </c>
      <c r="D6" s="606">
        <f t="shared" ref="D6:E18" si="1">+G6+J6+M6+P6+S6+V6</f>
        <v>0</v>
      </c>
      <c r="E6" s="607">
        <f t="shared" si="1"/>
        <v>0</v>
      </c>
      <c r="F6" s="589">
        <f t="shared" ref="F6:F17" si="2">+G6+H6</f>
        <v>0</v>
      </c>
      <c r="G6" s="590"/>
      <c r="H6" s="590"/>
      <c r="I6" s="589">
        <f t="shared" ref="I6:I17" si="3">+J6+K6</f>
        <v>0</v>
      </c>
      <c r="J6" s="590"/>
      <c r="K6" s="590"/>
      <c r="L6" s="589">
        <f t="shared" ref="L6:L17" si="4">+M6+N6</f>
        <v>0</v>
      </c>
      <c r="M6" s="590"/>
      <c r="N6" s="590"/>
      <c r="O6" s="589">
        <f t="shared" ref="O6:O19" si="5">+P6+Q6</f>
        <v>0</v>
      </c>
      <c r="P6" s="590"/>
      <c r="Q6" s="590"/>
      <c r="R6" s="589">
        <f t="shared" ref="R6:R19" si="6">+S6+T6</f>
        <v>0</v>
      </c>
      <c r="S6" s="590"/>
      <c r="T6" s="590"/>
      <c r="U6" s="589">
        <f t="shared" ref="U6:U19" si="7">+V6+W6</f>
        <v>0</v>
      </c>
      <c r="V6" s="590"/>
      <c r="W6" s="592"/>
    </row>
    <row r="7" spans="2:23" ht="24" customHeight="1">
      <c r="B7" s="608" t="s">
        <v>295</v>
      </c>
      <c r="C7" s="314">
        <f t="shared" si="0"/>
        <v>0</v>
      </c>
      <c r="D7" s="350">
        <f>+G7+J7+M7+P7+S7+V7</f>
        <v>0</v>
      </c>
      <c r="E7" s="498">
        <f t="shared" si="1"/>
        <v>0</v>
      </c>
      <c r="F7" s="425">
        <f t="shared" si="2"/>
        <v>0</v>
      </c>
      <c r="G7" s="609"/>
      <c r="H7" s="610"/>
      <c r="I7" s="425">
        <f t="shared" si="3"/>
        <v>0</v>
      </c>
      <c r="J7" s="609"/>
      <c r="K7" s="610"/>
      <c r="L7" s="425">
        <f t="shared" si="4"/>
        <v>0</v>
      </c>
      <c r="M7" s="609"/>
      <c r="N7" s="610"/>
      <c r="O7" s="425">
        <f t="shared" si="5"/>
        <v>0</v>
      </c>
      <c r="P7" s="609"/>
      <c r="Q7" s="610"/>
      <c r="R7" s="425">
        <f t="shared" si="6"/>
        <v>0</v>
      </c>
      <c r="S7" s="609"/>
      <c r="T7" s="610"/>
      <c r="U7" s="425">
        <f t="shared" si="7"/>
        <v>0</v>
      </c>
      <c r="V7" s="609"/>
      <c r="W7" s="611"/>
    </row>
    <row r="8" spans="2:23" ht="24" customHeight="1">
      <c r="B8" s="608" t="s">
        <v>297</v>
      </c>
      <c r="C8" s="314">
        <f t="shared" si="0"/>
        <v>0</v>
      </c>
      <c r="D8" s="350">
        <f t="shared" ref="D8:D14" si="8">+G8+J8+M8+P8+S8+V8</f>
        <v>0</v>
      </c>
      <c r="E8" s="498">
        <f t="shared" si="1"/>
        <v>0</v>
      </c>
      <c r="F8" s="425">
        <f t="shared" si="2"/>
        <v>0</v>
      </c>
      <c r="G8" s="609"/>
      <c r="H8" s="610"/>
      <c r="I8" s="425">
        <f t="shared" si="3"/>
        <v>0</v>
      </c>
      <c r="J8" s="609"/>
      <c r="K8" s="610"/>
      <c r="L8" s="425">
        <f t="shared" si="4"/>
        <v>0</v>
      </c>
      <c r="M8" s="609"/>
      <c r="N8" s="610"/>
      <c r="O8" s="425">
        <f t="shared" si="5"/>
        <v>0</v>
      </c>
      <c r="P8" s="609"/>
      <c r="Q8" s="610"/>
      <c r="R8" s="425">
        <f t="shared" si="6"/>
        <v>0</v>
      </c>
      <c r="S8" s="609"/>
      <c r="T8" s="610"/>
      <c r="U8" s="425">
        <f t="shared" si="7"/>
        <v>0</v>
      </c>
      <c r="V8" s="315"/>
      <c r="W8" s="166"/>
    </row>
    <row r="9" spans="2:23" ht="24" customHeight="1">
      <c r="B9" s="608" t="s">
        <v>296</v>
      </c>
      <c r="C9" s="314">
        <f t="shared" si="0"/>
        <v>0</v>
      </c>
      <c r="D9" s="350">
        <f t="shared" si="8"/>
        <v>0</v>
      </c>
      <c r="E9" s="498">
        <f t="shared" si="1"/>
        <v>0</v>
      </c>
      <c r="F9" s="425">
        <f t="shared" si="2"/>
        <v>0</v>
      </c>
      <c r="G9" s="609"/>
      <c r="H9" s="610"/>
      <c r="I9" s="425">
        <f t="shared" si="3"/>
        <v>0</v>
      </c>
      <c r="J9" s="609"/>
      <c r="K9" s="610"/>
      <c r="L9" s="425">
        <f t="shared" si="4"/>
        <v>0</v>
      </c>
      <c r="M9" s="609"/>
      <c r="N9" s="610"/>
      <c r="O9" s="851"/>
      <c r="P9" s="852"/>
      <c r="Q9" s="852"/>
      <c r="R9" s="852"/>
      <c r="S9" s="852"/>
      <c r="T9" s="852"/>
      <c r="U9" s="852"/>
      <c r="V9" s="852"/>
      <c r="W9" s="852"/>
    </row>
    <row r="10" spans="2:23" ht="24" customHeight="1">
      <c r="B10" s="608" t="s">
        <v>867</v>
      </c>
      <c r="C10" s="314">
        <f t="shared" si="0"/>
        <v>0</v>
      </c>
      <c r="D10" s="350">
        <f t="shared" si="8"/>
        <v>0</v>
      </c>
      <c r="E10" s="498">
        <f t="shared" si="1"/>
        <v>0</v>
      </c>
      <c r="F10" s="425">
        <f t="shared" si="2"/>
        <v>0</v>
      </c>
      <c r="G10" s="609"/>
      <c r="H10" s="610"/>
      <c r="I10" s="425">
        <f t="shared" si="3"/>
        <v>0</v>
      </c>
      <c r="J10" s="609"/>
      <c r="K10" s="610"/>
      <c r="L10" s="425">
        <f t="shared" si="4"/>
        <v>0</v>
      </c>
      <c r="M10" s="609"/>
      <c r="N10" s="610"/>
      <c r="O10" s="425">
        <f t="shared" si="5"/>
        <v>0</v>
      </c>
      <c r="P10" s="609"/>
      <c r="Q10" s="610"/>
      <c r="R10" s="425">
        <f t="shared" si="6"/>
        <v>0</v>
      </c>
      <c r="S10" s="609"/>
      <c r="T10" s="610"/>
      <c r="U10" s="425">
        <f t="shared" si="7"/>
        <v>0</v>
      </c>
      <c r="V10" s="609"/>
      <c r="W10" s="611"/>
    </row>
    <row r="11" spans="2:23" ht="24" customHeight="1">
      <c r="B11" s="608" t="s">
        <v>868</v>
      </c>
      <c r="C11" s="314">
        <f t="shared" si="0"/>
        <v>0</v>
      </c>
      <c r="D11" s="350">
        <f t="shared" si="8"/>
        <v>0</v>
      </c>
      <c r="E11" s="498">
        <f t="shared" si="1"/>
        <v>0</v>
      </c>
      <c r="F11" s="425">
        <f t="shared" si="2"/>
        <v>0</v>
      </c>
      <c r="G11" s="609"/>
      <c r="H11" s="610"/>
      <c r="I11" s="425">
        <f t="shared" si="3"/>
        <v>0</v>
      </c>
      <c r="J11" s="609"/>
      <c r="K11" s="610"/>
      <c r="L11" s="425">
        <f t="shared" si="4"/>
        <v>0</v>
      </c>
      <c r="M11" s="609"/>
      <c r="N11" s="610"/>
      <c r="O11" s="425">
        <f t="shared" si="5"/>
        <v>0</v>
      </c>
      <c r="P11" s="609"/>
      <c r="Q11" s="610"/>
      <c r="R11" s="425">
        <f t="shared" si="6"/>
        <v>0</v>
      </c>
      <c r="S11" s="609"/>
      <c r="T11" s="610"/>
      <c r="U11" s="425">
        <f t="shared" si="7"/>
        <v>0</v>
      </c>
      <c r="V11" s="609"/>
      <c r="W11" s="611"/>
    </row>
    <row r="12" spans="2:23" ht="24" customHeight="1">
      <c r="B12" s="608" t="s">
        <v>869</v>
      </c>
      <c r="C12" s="314">
        <f t="shared" si="0"/>
        <v>0</v>
      </c>
      <c r="D12" s="350">
        <f t="shared" si="8"/>
        <v>0</v>
      </c>
      <c r="E12" s="498">
        <f t="shared" si="1"/>
        <v>0</v>
      </c>
      <c r="F12" s="425">
        <f t="shared" si="2"/>
        <v>0</v>
      </c>
      <c r="G12" s="609"/>
      <c r="H12" s="610"/>
      <c r="I12" s="425">
        <f t="shared" si="3"/>
        <v>0</v>
      </c>
      <c r="J12" s="609"/>
      <c r="K12" s="610"/>
      <c r="L12" s="425">
        <f t="shared" si="4"/>
        <v>0</v>
      </c>
      <c r="M12" s="609"/>
      <c r="N12" s="610"/>
      <c r="O12" s="425">
        <f t="shared" si="5"/>
        <v>0</v>
      </c>
      <c r="P12" s="609"/>
      <c r="Q12" s="610"/>
      <c r="R12" s="425">
        <f t="shared" si="6"/>
        <v>0</v>
      </c>
      <c r="S12" s="609"/>
      <c r="T12" s="610"/>
      <c r="U12" s="425">
        <f t="shared" si="7"/>
        <v>0</v>
      </c>
      <c r="V12" s="609"/>
      <c r="W12" s="611"/>
    </row>
    <row r="13" spans="2:23" ht="24" customHeight="1">
      <c r="B13" s="608" t="s">
        <v>172</v>
      </c>
      <c r="C13" s="314">
        <f t="shared" si="0"/>
        <v>0</v>
      </c>
      <c r="D13" s="350">
        <f t="shared" si="8"/>
        <v>0</v>
      </c>
      <c r="E13" s="498">
        <f t="shared" si="1"/>
        <v>0</v>
      </c>
      <c r="F13" s="425">
        <f t="shared" si="2"/>
        <v>0</v>
      </c>
      <c r="G13" s="609"/>
      <c r="H13" s="610"/>
      <c r="I13" s="425">
        <f t="shared" si="3"/>
        <v>0</v>
      </c>
      <c r="J13" s="609"/>
      <c r="K13" s="610"/>
      <c r="L13" s="425">
        <f t="shared" si="4"/>
        <v>0</v>
      </c>
      <c r="M13" s="609"/>
      <c r="N13" s="610"/>
      <c r="O13" s="425">
        <f t="shared" si="5"/>
        <v>0</v>
      </c>
      <c r="P13" s="609"/>
      <c r="Q13" s="610"/>
      <c r="R13" s="425">
        <f t="shared" si="6"/>
        <v>0</v>
      </c>
      <c r="S13" s="609"/>
      <c r="T13" s="610"/>
      <c r="U13" s="425">
        <f t="shared" si="7"/>
        <v>0</v>
      </c>
      <c r="V13" s="609"/>
      <c r="W13" s="611"/>
    </row>
    <row r="14" spans="2:23" ht="24" customHeight="1">
      <c r="B14" s="608" t="s">
        <v>19</v>
      </c>
      <c r="C14" s="314">
        <f t="shared" si="0"/>
        <v>0</v>
      </c>
      <c r="D14" s="350">
        <f t="shared" si="8"/>
        <v>0</v>
      </c>
      <c r="E14" s="498">
        <f t="shared" si="1"/>
        <v>0</v>
      </c>
      <c r="F14" s="425">
        <f t="shared" si="2"/>
        <v>0</v>
      </c>
      <c r="G14" s="609"/>
      <c r="H14" s="610"/>
      <c r="I14" s="425">
        <f t="shared" si="3"/>
        <v>0</v>
      </c>
      <c r="J14" s="609"/>
      <c r="K14" s="610"/>
      <c r="L14" s="425">
        <f t="shared" si="4"/>
        <v>0</v>
      </c>
      <c r="M14" s="609"/>
      <c r="N14" s="610"/>
      <c r="O14" s="425">
        <f t="shared" si="5"/>
        <v>0</v>
      </c>
      <c r="P14" s="609"/>
      <c r="Q14" s="610"/>
      <c r="R14" s="425">
        <f t="shared" si="6"/>
        <v>0</v>
      </c>
      <c r="S14" s="609"/>
      <c r="T14" s="610"/>
      <c r="U14" s="425">
        <f t="shared" si="7"/>
        <v>0</v>
      </c>
      <c r="V14" s="609"/>
      <c r="W14" s="611"/>
    </row>
    <row r="15" spans="2:23" ht="24" customHeight="1">
      <c r="B15" s="608" t="s">
        <v>870</v>
      </c>
      <c r="C15" s="314">
        <f t="shared" si="0"/>
        <v>0</v>
      </c>
      <c r="D15" s="350">
        <f t="shared" ref="D15:E20" si="9">+G15+J15+M15+P15+S15+V15</f>
        <v>0</v>
      </c>
      <c r="E15" s="498">
        <f t="shared" si="1"/>
        <v>0</v>
      </c>
      <c r="F15" s="425">
        <f t="shared" si="2"/>
        <v>0</v>
      </c>
      <c r="G15" s="609"/>
      <c r="H15" s="610"/>
      <c r="I15" s="425">
        <f t="shared" si="3"/>
        <v>0</v>
      </c>
      <c r="J15" s="609"/>
      <c r="K15" s="610"/>
      <c r="L15" s="425">
        <f t="shared" si="4"/>
        <v>0</v>
      </c>
      <c r="M15" s="609"/>
      <c r="N15" s="610"/>
      <c r="O15" s="425">
        <f t="shared" si="5"/>
        <v>0</v>
      </c>
      <c r="P15" s="609"/>
      <c r="Q15" s="610"/>
      <c r="R15" s="425">
        <f t="shared" si="6"/>
        <v>0</v>
      </c>
      <c r="S15" s="609"/>
      <c r="T15" s="610"/>
      <c r="U15" s="425">
        <f t="shared" si="7"/>
        <v>0</v>
      </c>
      <c r="V15" s="609"/>
      <c r="W15" s="611"/>
    </row>
    <row r="16" spans="2:23" ht="24" customHeight="1">
      <c r="B16" s="608" t="s">
        <v>163</v>
      </c>
      <c r="C16" s="314">
        <f t="shared" si="0"/>
        <v>0</v>
      </c>
      <c r="D16" s="350">
        <f t="shared" si="9"/>
        <v>0</v>
      </c>
      <c r="E16" s="498">
        <f t="shared" si="1"/>
        <v>0</v>
      </c>
      <c r="F16" s="425">
        <f t="shared" si="2"/>
        <v>0</v>
      </c>
      <c r="G16" s="609"/>
      <c r="H16" s="610"/>
      <c r="I16" s="425">
        <f t="shared" si="3"/>
        <v>0</v>
      </c>
      <c r="J16" s="609"/>
      <c r="K16" s="610"/>
      <c r="L16" s="425">
        <f t="shared" si="4"/>
        <v>0</v>
      </c>
      <c r="M16" s="609"/>
      <c r="N16" s="610"/>
      <c r="O16" s="425">
        <f t="shared" si="5"/>
        <v>0</v>
      </c>
      <c r="P16" s="609"/>
      <c r="Q16" s="610"/>
      <c r="R16" s="425">
        <f t="shared" si="6"/>
        <v>0</v>
      </c>
      <c r="S16" s="609"/>
      <c r="T16" s="610"/>
      <c r="U16" s="425">
        <f t="shared" si="7"/>
        <v>0</v>
      </c>
      <c r="V16" s="609"/>
      <c r="W16" s="611"/>
    </row>
    <row r="17" spans="1:26" ht="24" customHeight="1">
      <c r="B17" s="608" t="s">
        <v>164</v>
      </c>
      <c r="C17" s="314">
        <f t="shared" si="0"/>
        <v>0</v>
      </c>
      <c r="D17" s="350">
        <f t="shared" si="9"/>
        <v>0</v>
      </c>
      <c r="E17" s="498">
        <f t="shared" si="1"/>
        <v>0</v>
      </c>
      <c r="F17" s="425">
        <f t="shared" si="2"/>
        <v>0</v>
      </c>
      <c r="G17" s="609"/>
      <c r="H17" s="610"/>
      <c r="I17" s="425">
        <f t="shared" si="3"/>
        <v>0</v>
      </c>
      <c r="J17" s="609"/>
      <c r="K17" s="610"/>
      <c r="L17" s="425">
        <f t="shared" si="4"/>
        <v>0</v>
      </c>
      <c r="M17" s="609"/>
      <c r="N17" s="610"/>
      <c r="O17" s="425">
        <f t="shared" si="5"/>
        <v>0</v>
      </c>
      <c r="P17" s="609"/>
      <c r="Q17" s="610"/>
      <c r="R17" s="425">
        <f t="shared" si="6"/>
        <v>0</v>
      </c>
      <c r="S17" s="609"/>
      <c r="T17" s="610"/>
      <c r="U17" s="425">
        <f t="shared" si="7"/>
        <v>0</v>
      </c>
      <c r="V17" s="609"/>
      <c r="W17" s="611"/>
    </row>
    <row r="18" spans="1:26" ht="24" customHeight="1">
      <c r="B18" s="608" t="s">
        <v>162</v>
      </c>
      <c r="C18" s="314">
        <f t="shared" si="0"/>
        <v>0</v>
      </c>
      <c r="D18" s="350">
        <f t="shared" si="9"/>
        <v>0</v>
      </c>
      <c r="E18" s="498">
        <f t="shared" si="1"/>
        <v>0</v>
      </c>
      <c r="F18" s="425">
        <f t="shared" ref="F18" si="10">+G18+H18</f>
        <v>0</v>
      </c>
      <c r="G18" s="609"/>
      <c r="H18" s="610"/>
      <c r="I18" s="425">
        <f t="shared" ref="I18" si="11">+J18+K18</f>
        <v>0</v>
      </c>
      <c r="J18" s="609"/>
      <c r="K18" s="610"/>
      <c r="L18" s="425">
        <f t="shared" ref="L18" si="12">+M18+N18</f>
        <v>0</v>
      </c>
      <c r="M18" s="609"/>
      <c r="N18" s="610"/>
      <c r="O18" s="425">
        <f t="shared" si="5"/>
        <v>0</v>
      </c>
      <c r="P18" s="609"/>
      <c r="Q18" s="610"/>
      <c r="R18" s="425">
        <f t="shared" si="6"/>
        <v>0</v>
      </c>
      <c r="S18" s="609"/>
      <c r="T18" s="610"/>
      <c r="U18" s="425">
        <f t="shared" si="7"/>
        <v>0</v>
      </c>
      <c r="V18" s="609"/>
      <c r="W18" s="611"/>
    </row>
    <row r="19" spans="1:26" ht="24" customHeight="1">
      <c r="B19" s="608" t="s">
        <v>1615</v>
      </c>
      <c r="C19" s="314">
        <f t="shared" si="0"/>
        <v>0</v>
      </c>
      <c r="D19" s="350">
        <f t="shared" si="9"/>
        <v>0</v>
      </c>
      <c r="E19" s="498">
        <f t="shared" si="9"/>
        <v>0</v>
      </c>
      <c r="F19" s="851"/>
      <c r="G19" s="852"/>
      <c r="H19" s="852"/>
      <c r="I19" s="852"/>
      <c r="J19" s="852"/>
      <c r="K19" s="852"/>
      <c r="L19" s="852"/>
      <c r="M19" s="852"/>
      <c r="N19" s="856"/>
      <c r="O19" s="425">
        <f t="shared" si="5"/>
        <v>0</v>
      </c>
      <c r="P19" s="609"/>
      <c r="Q19" s="610"/>
      <c r="R19" s="425">
        <f t="shared" si="6"/>
        <v>0</v>
      </c>
      <c r="S19" s="609"/>
      <c r="T19" s="610"/>
      <c r="U19" s="425">
        <f t="shared" si="7"/>
        <v>0</v>
      </c>
      <c r="V19" s="609"/>
      <c r="W19" s="611"/>
    </row>
    <row r="20" spans="1:26" ht="24" customHeight="1" thickBot="1">
      <c r="B20" s="612" t="s">
        <v>911</v>
      </c>
      <c r="C20" s="613">
        <f t="shared" ref="C20" si="13">+D20+E20</f>
        <v>0</v>
      </c>
      <c r="D20" s="614">
        <f t="shared" ref="D20" si="14">+G20+J20+M20+P20+S20+V20</f>
        <v>0</v>
      </c>
      <c r="E20" s="615">
        <f t="shared" si="9"/>
        <v>0</v>
      </c>
      <c r="F20" s="470">
        <f t="shared" ref="F20" si="15">+G20+H20</f>
        <v>0</v>
      </c>
      <c r="G20" s="469"/>
      <c r="H20" s="616"/>
      <c r="I20" s="470">
        <f t="shared" ref="I20" si="16">+J20+K20</f>
        <v>0</v>
      </c>
      <c r="J20" s="469"/>
      <c r="K20" s="616"/>
      <c r="L20" s="470">
        <f t="shared" ref="L20" si="17">+M20+N20</f>
        <v>0</v>
      </c>
      <c r="M20" s="469"/>
      <c r="N20" s="616"/>
      <c r="O20" s="470">
        <f t="shared" ref="O20" si="18">+P20+Q20</f>
        <v>0</v>
      </c>
      <c r="P20" s="469"/>
      <c r="Q20" s="616"/>
      <c r="R20" s="470">
        <f t="shared" ref="R20" si="19">+S20+T20</f>
        <v>0</v>
      </c>
      <c r="S20" s="469"/>
      <c r="T20" s="616"/>
      <c r="U20" s="470">
        <f t="shared" ref="U20" si="20">+V20+W20</f>
        <v>0</v>
      </c>
      <c r="V20" s="469"/>
      <c r="W20" s="471"/>
    </row>
    <row r="21" spans="1:26" s="603" customFormat="1" ht="17.25" customHeight="1" thickTop="1">
      <c r="A21" s="601"/>
      <c r="B21" s="601"/>
      <c r="C21" s="702">
        <f>SUM(C6:C20)</f>
        <v>0</v>
      </c>
      <c r="D21" s="602"/>
      <c r="F21" s="602"/>
      <c r="G21" s="602" t="str">
        <f>IF(OR(G6&gt;'CUADRO 2'!G6,G7&gt;'CUADRO 2'!G7,G8&gt;'CUADRO 2'!G8,G9&gt;'CUADRO 2'!G9,G10&gt;'CUADRO 2'!G10,G11&gt;'CUADRO 2'!G11,G12&gt;'CUADRO 2'!G12,G13&gt;'CUADRO 2'!G13,G14&gt;'CUADRO 2'!G14,G15&gt;'CUADRO 2'!G15,G16&gt;'CUADRO 2'!G16,G17&gt;'CUADRO 2'!G17,G18&gt;'CUADRO 2'!G18,G19&gt;'CUADRO 2'!G19,G20&gt;'CUADRO 2'!G20),"XX","")</f>
        <v/>
      </c>
      <c r="H21" s="602" t="str">
        <f>IF(OR(H6&gt;'CUADRO 2'!H6,H7&gt;'CUADRO 2'!H7,H8&gt;'CUADRO 2'!H8,H9&gt;'CUADRO 2'!H9,H10&gt;'CUADRO 2'!H10,H11&gt;'CUADRO 2'!H11,H12&gt;'CUADRO 2'!H12,H13&gt;'CUADRO 2'!H13,H14&gt;'CUADRO 2'!H14,H15&gt;'CUADRO 2'!H15,H16&gt;'CUADRO 2'!H16,H17&gt;'CUADRO 2'!H17,H18&gt;'CUADRO 2'!H18,H19&gt;'CUADRO 2'!H19,H20&gt;'CUADRO 2'!H20),"XX","")</f>
        <v/>
      </c>
      <c r="I21" s="602"/>
      <c r="J21" s="602" t="str">
        <f>IF(OR(J6&gt;'CUADRO 2'!J6,J7&gt;'CUADRO 2'!J7,J8&gt;'CUADRO 2'!J8,J9&gt;'CUADRO 2'!J9,J10&gt;'CUADRO 2'!J10,J11&gt;'CUADRO 2'!J11,J12&gt;'CUADRO 2'!J12,J13&gt;'CUADRO 2'!J13,J14&gt;'CUADRO 2'!J14,J15&gt;'CUADRO 2'!J15,J16&gt;'CUADRO 2'!J16,J17&gt;'CUADRO 2'!J17,J18&gt;'CUADRO 2'!J18,J19&gt;'CUADRO 2'!J19,J20&gt;'CUADRO 2'!J20),"XX","")</f>
        <v/>
      </c>
      <c r="K21" s="602" t="str">
        <f>IF(OR(K6&gt;'CUADRO 2'!K6,K7&gt;'CUADRO 2'!K7,K8&gt;'CUADRO 2'!K8,K9&gt;'CUADRO 2'!K9,K10&gt;'CUADRO 2'!K10,K11&gt;'CUADRO 2'!K11,K12&gt;'CUADRO 2'!K12,K13&gt;'CUADRO 2'!K13,K14&gt;'CUADRO 2'!K14,K15&gt;'CUADRO 2'!K15,K16&gt;'CUADRO 2'!K16,K17&gt;'CUADRO 2'!K17,K18&gt;'CUADRO 2'!K18,K19&gt;'CUADRO 2'!K19,K20&gt;'CUADRO 2'!K20),"XX","")</f>
        <v/>
      </c>
      <c r="L21" s="602"/>
      <c r="M21" s="602" t="str">
        <f>IF(OR(M6&gt;'CUADRO 2'!M6,M7&gt;'CUADRO 2'!M7,M8&gt;'CUADRO 2'!M8,M9&gt;'CUADRO 2'!M9,M10&gt;'CUADRO 2'!M10,M11&gt;'CUADRO 2'!M11,M12&gt;'CUADRO 2'!M12,M13&gt;'CUADRO 2'!M13,M14&gt;'CUADRO 2'!M14,M15&gt;'CUADRO 2'!M15,M16&gt;'CUADRO 2'!M16,M17&gt;'CUADRO 2'!M17,M18&gt;'CUADRO 2'!M18,M19&gt;'CUADRO 2'!M19,M20&gt;'CUADRO 2'!M20),"XX","")</f>
        <v/>
      </c>
      <c r="N21" s="602" t="str">
        <f>IF(OR(N6&gt;'CUADRO 2'!N6,N7&gt;'CUADRO 2'!N7,N8&gt;'CUADRO 2'!N8,N9&gt;'CUADRO 2'!N9,N10&gt;'CUADRO 2'!N10,N11&gt;'CUADRO 2'!N11,N12&gt;'CUADRO 2'!N12,N13&gt;'CUADRO 2'!N13,N14&gt;'CUADRO 2'!N14,N15&gt;'CUADRO 2'!N15,N16&gt;'CUADRO 2'!N16,N17&gt;'CUADRO 2'!N17,N18&gt;'CUADRO 2'!N18,N19&gt;'CUADRO 2'!N19,N20&gt;'CUADRO 2'!N20),"XX","")</f>
        <v/>
      </c>
      <c r="O21" s="602"/>
      <c r="P21" s="602" t="str">
        <f>IF(OR(P6&gt;'CUADRO 2'!P6,P7&gt;'CUADRO 2'!P7,P8&gt;'CUADRO 2'!P8,P9&gt;'CUADRO 2'!P9,P10&gt;'CUADRO 2'!P10,P11&gt;'CUADRO 2'!P11,P12&gt;'CUADRO 2'!P12,P13&gt;'CUADRO 2'!P13,P14&gt;'CUADRO 2'!P14,P15&gt;'CUADRO 2'!P15,P16&gt;'CUADRO 2'!P16,P17&gt;'CUADRO 2'!P17,P18&gt;'CUADRO 2'!P18,P19&gt;'CUADRO 2'!P19,P20&gt;'CUADRO 2'!P20),"XX","")</f>
        <v/>
      </c>
      <c r="Q21" s="602" t="str">
        <f>IF(OR(Q6&gt;'CUADRO 2'!Q6,Q7&gt;'CUADRO 2'!Q7,Q8&gt;'CUADRO 2'!Q8,Q9&gt;'CUADRO 2'!Q9,Q10&gt;'CUADRO 2'!Q10,Q11&gt;'CUADRO 2'!Q11,Q12&gt;'CUADRO 2'!Q12,Q13&gt;'CUADRO 2'!Q13,Q14&gt;'CUADRO 2'!Q14,Q15&gt;'CUADRO 2'!Q15,Q16&gt;'CUADRO 2'!Q16,Q17&gt;'CUADRO 2'!Q17,Q18&gt;'CUADRO 2'!Q18,Q19&gt;'CUADRO 2'!Q19,Q20&gt;'CUADRO 2'!Q20),"XX","")</f>
        <v/>
      </c>
      <c r="R21" s="602"/>
      <c r="S21" s="602" t="str">
        <f>IF(OR(S6&gt;'CUADRO 2'!S6,S7&gt;'CUADRO 2'!S7,S8&gt;'CUADRO 2'!S8,S9&gt;'CUADRO 2'!S9,S10&gt;'CUADRO 2'!S10,S11&gt;'CUADRO 2'!S11,S12&gt;'CUADRO 2'!S12,S13&gt;'CUADRO 2'!S13,S14&gt;'CUADRO 2'!S14,S15&gt;'CUADRO 2'!S15,S16&gt;'CUADRO 2'!S16,S17&gt;'CUADRO 2'!S17,S18&gt;'CUADRO 2'!S18,S19&gt;'CUADRO 2'!S19,S20&gt;'CUADRO 2'!S20),"XX","")</f>
        <v/>
      </c>
      <c r="T21" s="602" t="str">
        <f>IF(OR(T6&gt;'CUADRO 2'!T6,T7&gt;'CUADRO 2'!T7,T8&gt;'CUADRO 2'!T8,T9&gt;'CUADRO 2'!T9,T10&gt;'CUADRO 2'!T10,T11&gt;'CUADRO 2'!T11,T12&gt;'CUADRO 2'!T12,T13&gt;'CUADRO 2'!T13,T14&gt;'CUADRO 2'!T14,T15&gt;'CUADRO 2'!T15,T16&gt;'CUADRO 2'!T16,T17&gt;'CUADRO 2'!T17,T18&gt;'CUADRO 2'!T18,T19&gt;'CUADRO 2'!T19,T20&gt;'CUADRO 2'!T20),"XX","")</f>
        <v/>
      </c>
      <c r="U21" s="602"/>
      <c r="V21" s="602" t="str">
        <f>IF(OR(V6&gt;'CUADRO 2'!V6,V7&gt;'CUADRO 2'!V7,V8&gt;'CUADRO 2'!V8,V9&gt;'CUADRO 2'!V9,V10&gt;'CUADRO 2'!V10,V11&gt;'CUADRO 2'!V11,V12&gt;'CUADRO 2'!V12,V13&gt;'CUADRO 2'!V13,V14&gt;'CUADRO 2'!V14,V15&gt;'CUADRO 2'!V15,V16&gt;'CUADRO 2'!V16,V17&gt;'CUADRO 2'!V17,V18&gt;'CUADRO 2'!V18,V19&gt;'CUADRO 2'!V19,V20&gt;'CUADRO 2'!V20),"XX","")</f>
        <v/>
      </c>
      <c r="W21" s="602" t="str">
        <f>IF(OR(W6&gt;'CUADRO 2'!W6,W7&gt;'CUADRO 2'!W7,W8&gt;'CUADRO 2'!W8,W9&gt;'CUADRO 2'!W9,W10&gt;'CUADRO 2'!W10,W11&gt;'CUADRO 2'!W11,W12&gt;'CUADRO 2'!W12,W13&gt;'CUADRO 2'!W13,W14&gt;'CUADRO 2'!W14,W15&gt;'CUADRO 2'!W15,W16&gt;'CUADRO 2'!W16,W17&gt;'CUADRO 2'!W17,W18&gt;'CUADRO 2'!W18,W19&gt;'CUADRO 2'!W19,W20&gt;'CUADRO 2'!W20),"XX","")</f>
        <v/>
      </c>
    </row>
    <row r="22" spans="1:26" ht="27.75" customHeight="1">
      <c r="A22" s="323"/>
      <c r="B22" s="323"/>
      <c r="C22" s="323"/>
      <c r="D22" s="323"/>
      <c r="F22" s="857" t="str">
        <f>IF(OR(G21="XX",H21="XX",J21="XX",K21="XX",M21="XX",N21="XX",P21="XX",Q21="XX",S21="XX",T21="XX",V21="XX",W21="XX"),"El dato de repitentes es mayor a la cifra de matrícula reportada en el Cuadro 2.","")</f>
        <v/>
      </c>
      <c r="G22" s="857"/>
      <c r="H22" s="857"/>
      <c r="I22" s="857"/>
      <c r="J22" s="857"/>
      <c r="K22" s="857"/>
      <c r="L22" s="857"/>
      <c r="M22" s="857"/>
      <c r="N22" s="857"/>
      <c r="O22" s="857"/>
      <c r="P22" s="857"/>
      <c r="Q22" s="857"/>
      <c r="R22" s="857"/>
      <c r="S22" s="857"/>
      <c r="T22" s="857"/>
      <c r="U22" s="617"/>
      <c r="V22" s="617"/>
      <c r="W22" s="617"/>
      <c r="X22" s="55"/>
      <c r="Y22" s="254"/>
      <c r="Z22" s="254"/>
    </row>
    <row r="24" spans="1:26" ht="27.75" customHeight="1">
      <c r="F24" s="857" t="str">
        <f>IF(AND('CUADRO 1'!G6=0,'CUADRO 3'!C21&gt;0),"Debe indicar datos en el Cuadro 1",IF(AND('CUADRO 1'!G6&gt;0,'CUADRO 3'!C21=0),"Indicó datos en el Cuadro 1, debe indicar datos en este Cuadro",""))</f>
        <v/>
      </c>
      <c r="G24" s="857"/>
      <c r="H24" s="857"/>
      <c r="I24" s="857"/>
      <c r="J24" s="857"/>
      <c r="K24" s="857"/>
      <c r="L24" s="857"/>
      <c r="M24" s="857"/>
      <c r="N24" s="857"/>
      <c r="O24" s="857"/>
      <c r="P24" s="857"/>
      <c r="Q24" s="857"/>
      <c r="R24" s="857"/>
      <c r="S24" s="857"/>
      <c r="T24" s="857"/>
    </row>
    <row r="25" spans="1:26" ht="15.75">
      <c r="B25" s="523" t="s">
        <v>290</v>
      </c>
      <c r="C25" s="585"/>
      <c r="D25" s="585"/>
      <c r="E25" s="585"/>
      <c r="F25" s="585"/>
      <c r="G25" s="585"/>
      <c r="H25" s="585"/>
    </row>
    <row r="26" spans="1:26">
      <c r="B26" s="810"/>
      <c r="C26" s="811"/>
      <c r="D26" s="811"/>
      <c r="E26" s="811"/>
      <c r="F26" s="811"/>
      <c r="G26" s="811"/>
      <c r="H26" s="811"/>
      <c r="I26" s="811"/>
      <c r="J26" s="811"/>
      <c r="K26" s="811"/>
      <c r="L26" s="811"/>
      <c r="M26" s="811"/>
      <c r="N26" s="811"/>
      <c r="O26" s="811"/>
      <c r="P26" s="811"/>
      <c r="Q26" s="811"/>
      <c r="R26" s="811"/>
      <c r="S26" s="811"/>
      <c r="T26" s="811"/>
      <c r="U26" s="811"/>
      <c r="V26" s="811"/>
      <c r="W26" s="812"/>
    </row>
    <row r="27" spans="1:26">
      <c r="B27" s="813"/>
      <c r="C27" s="814"/>
      <c r="D27" s="814"/>
      <c r="E27" s="814"/>
      <c r="F27" s="814"/>
      <c r="G27" s="814"/>
      <c r="H27" s="814"/>
      <c r="I27" s="814"/>
      <c r="J27" s="814"/>
      <c r="K27" s="814"/>
      <c r="L27" s="814"/>
      <c r="M27" s="814"/>
      <c r="N27" s="814"/>
      <c r="O27" s="814"/>
      <c r="P27" s="814"/>
      <c r="Q27" s="814"/>
      <c r="R27" s="814"/>
      <c r="S27" s="814"/>
      <c r="T27" s="814"/>
      <c r="U27" s="814"/>
      <c r="V27" s="814"/>
      <c r="W27" s="815"/>
    </row>
    <row r="28" spans="1:26">
      <c r="B28" s="813"/>
      <c r="C28" s="814"/>
      <c r="D28" s="814"/>
      <c r="E28" s="814"/>
      <c r="F28" s="814"/>
      <c r="G28" s="814"/>
      <c r="H28" s="814"/>
      <c r="I28" s="814"/>
      <c r="J28" s="814"/>
      <c r="K28" s="814"/>
      <c r="L28" s="814"/>
      <c r="M28" s="814"/>
      <c r="N28" s="814"/>
      <c r="O28" s="814"/>
      <c r="P28" s="814"/>
      <c r="Q28" s="814"/>
      <c r="R28" s="814"/>
      <c r="S28" s="814"/>
      <c r="T28" s="814"/>
      <c r="U28" s="814"/>
      <c r="V28" s="814"/>
      <c r="W28" s="815"/>
    </row>
    <row r="29" spans="1:26">
      <c r="B29" s="813"/>
      <c r="C29" s="814"/>
      <c r="D29" s="814"/>
      <c r="E29" s="814"/>
      <c r="F29" s="814"/>
      <c r="G29" s="814"/>
      <c r="H29" s="814"/>
      <c r="I29" s="814"/>
      <c r="J29" s="814"/>
      <c r="K29" s="814"/>
      <c r="L29" s="814"/>
      <c r="M29" s="814"/>
      <c r="N29" s="814"/>
      <c r="O29" s="814"/>
      <c r="P29" s="814"/>
      <c r="Q29" s="814"/>
      <c r="R29" s="814"/>
      <c r="S29" s="814"/>
      <c r="T29" s="814"/>
      <c r="U29" s="814"/>
      <c r="V29" s="814"/>
      <c r="W29" s="815"/>
    </row>
    <row r="30" spans="1:26">
      <c r="B30" s="816"/>
      <c r="C30" s="817"/>
      <c r="D30" s="817"/>
      <c r="E30" s="817"/>
      <c r="F30" s="817"/>
      <c r="G30" s="817"/>
      <c r="H30" s="817"/>
      <c r="I30" s="817"/>
      <c r="J30" s="817"/>
      <c r="K30" s="817"/>
      <c r="L30" s="817"/>
      <c r="M30" s="817"/>
      <c r="N30" s="817"/>
      <c r="O30" s="817"/>
      <c r="P30" s="817"/>
      <c r="Q30" s="817"/>
      <c r="R30" s="817"/>
      <c r="S30" s="817"/>
      <c r="T30" s="817"/>
      <c r="U30" s="817"/>
      <c r="V30" s="817"/>
      <c r="W30" s="818"/>
    </row>
  </sheetData>
  <sheetProtection algorithmName="SHA-512" hashValue="fhBQbe7NNTUZ1y7LXo40KSs9qY2MhknS/AQ+g0WQ8tA0a7AvVwbNT2TA3/BTeoJfUQ0J+0QHj7E0/gj71cwNSw==" saltValue="t6//xSJSmMXebmnzAZCQZA==" spinCount="100000" sheet="1" objects="1" scenarios="1"/>
  <mergeCells count="15">
    <mergeCell ref="V1:W1"/>
    <mergeCell ref="O9:W9"/>
    <mergeCell ref="F22:T22"/>
    <mergeCell ref="B26:W30"/>
    <mergeCell ref="B3:B5"/>
    <mergeCell ref="C3:E4"/>
    <mergeCell ref="F3:W3"/>
    <mergeCell ref="F4:H4"/>
    <mergeCell ref="I4:K4"/>
    <mergeCell ref="L4:N4"/>
    <mergeCell ref="O4:Q4"/>
    <mergeCell ref="R4:T4"/>
    <mergeCell ref="U4:W4"/>
    <mergeCell ref="F24:T24"/>
    <mergeCell ref="F19:N19"/>
  </mergeCells>
  <conditionalFormatting sqref="C6:F6 I6 L6 O6 R6 U6 R15:R19 U15:U19 O15:O19 C15:F19 L15:L18 I15:I18">
    <cfRule type="cellIs" dxfId="252" priority="217" operator="equal">
      <formula>0</formula>
    </cfRule>
  </conditionalFormatting>
  <conditionalFormatting sqref="F22">
    <cfRule type="notContainsBlanks" dxfId="251" priority="215">
      <formula>LEN(TRIM(F22))&gt;0</formula>
    </cfRule>
  </conditionalFormatting>
  <conditionalFormatting sqref="U7:U8 R7:R8 O7:O14 L7:L14 I7:I14 C7:F14 R10:R14 U10:U14">
    <cfRule type="cellIs" dxfId="250" priority="214" operator="equal">
      <formula>0</formula>
    </cfRule>
  </conditionalFormatting>
  <conditionalFormatting sqref="L20 I20 C20:F20 R20 U20 O20">
    <cfRule type="cellIs" dxfId="249" priority="12" operator="equal">
      <formula>0</formula>
    </cfRule>
  </conditionalFormatting>
  <conditionalFormatting sqref="F24">
    <cfRule type="notContainsBlanks" dxfId="248" priority="1">
      <formula>LEN(TRIM(F24))&gt;0</formula>
    </cfRule>
  </conditionalFormatting>
  <dataValidations count="1">
    <dataValidation type="whole" operator="greaterThanOrEqual" allowBlank="1" showInputMessage="1" showErrorMessage="1" sqref="C6:F20 O6:W20 G6:N18 G20:N20">
      <formula1>0</formula1>
    </dataValidation>
  </dataValidations>
  <printOptions horizontalCentered="1" verticalCentered="1"/>
  <pageMargins left="0" right="0.17" top="0.23622047244094491" bottom="0.19685039370078741" header="0.43307086614173229" footer="0.19685039370078741"/>
  <pageSetup scale="65" orientation="landscape" r:id="rId1"/>
  <headerFooter scaleWithDoc="0">
    <oddFooter>&amp;R&amp;"Goudy,Negrita Cursiva"Técnica Diurna&amp;"Goudy,Cursiva", página 4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16" id="{A7E77AD3-A7CA-4108-A438-C0DE41E8B78C}">
            <xm:f>G6&gt;'CUADRO 2'!G6</xm:f>
            <x14:dxf>
              <font>
                <color rgb="FFFF0000"/>
              </font>
              <fill>
                <patternFill>
                  <bgColor theme="5" tint="0.79998168889431442"/>
                </patternFill>
              </fill>
            </x14:dxf>
          </x14:cfRule>
          <xm:sqref>P6:Q8 S6:T8 V6:W8 J6:K18 M6:N18 G6:H18 P10:Q20 S10:T20 V10:W20 G20:H20 M20:N20 J20:K20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pageSetUpPr fitToPage="1"/>
  </sheetPr>
  <dimension ref="A1:Q18"/>
  <sheetViews>
    <sheetView showGridLines="0" zoomScale="90" zoomScaleNormal="90" workbookViewId="0"/>
  </sheetViews>
  <sheetFormatPr baseColWidth="10" defaultRowHeight="14.25"/>
  <cols>
    <col min="1" max="1" width="5.85546875" style="212" customWidth="1"/>
    <col min="2" max="2" width="18" style="212" customWidth="1"/>
    <col min="3" max="17" width="8.140625" style="212" customWidth="1"/>
    <col min="18" max="16384" width="11.42578125" style="212"/>
  </cols>
  <sheetData>
    <row r="1" spans="1:17" ht="18">
      <c r="B1" s="621" t="s">
        <v>816</v>
      </c>
      <c r="C1" s="586"/>
      <c r="D1" s="586"/>
      <c r="E1" s="586"/>
      <c r="F1" s="586"/>
      <c r="G1" s="586"/>
      <c r="H1" s="586"/>
      <c r="I1" s="586"/>
      <c r="J1" s="587"/>
      <c r="L1" s="738"/>
      <c r="M1" s="738"/>
      <c r="N1" s="738"/>
      <c r="O1" s="738"/>
      <c r="P1" s="805" t="str">
        <f>+Portada!$M$2</f>
        <v/>
      </c>
      <c r="Q1" s="806"/>
    </row>
    <row r="2" spans="1:17" ht="18.75" thickBot="1">
      <c r="B2" s="671" t="s">
        <v>1798</v>
      </c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</row>
    <row r="3" spans="1:17" ht="21" customHeight="1" thickTop="1" thickBot="1">
      <c r="B3" s="843" t="s">
        <v>1799</v>
      </c>
      <c r="C3" s="858" t="s">
        <v>890</v>
      </c>
      <c r="D3" s="850"/>
      <c r="E3" s="850"/>
      <c r="F3" s="850"/>
      <c r="G3" s="850"/>
      <c r="H3" s="850"/>
      <c r="I3" s="850"/>
      <c r="J3" s="850"/>
      <c r="K3" s="850"/>
      <c r="L3" s="850"/>
      <c r="M3" s="850"/>
      <c r="N3" s="850"/>
      <c r="O3" s="850"/>
      <c r="P3" s="850"/>
      <c r="Q3" s="850"/>
    </row>
    <row r="4" spans="1:17" ht="18" customHeight="1">
      <c r="B4" s="844"/>
      <c r="C4" s="839" t="s">
        <v>886</v>
      </c>
      <c r="D4" s="840"/>
      <c r="E4" s="840"/>
      <c r="F4" s="839" t="s">
        <v>887</v>
      </c>
      <c r="G4" s="840"/>
      <c r="H4" s="840"/>
      <c r="I4" s="839" t="s">
        <v>875</v>
      </c>
      <c r="J4" s="840"/>
      <c r="K4" s="840"/>
      <c r="L4" s="839" t="s">
        <v>888</v>
      </c>
      <c r="M4" s="840"/>
      <c r="N4" s="840"/>
      <c r="O4" s="841" t="s">
        <v>889</v>
      </c>
      <c r="P4" s="842"/>
      <c r="Q4" s="842"/>
    </row>
    <row r="5" spans="1:17" ht="27.75" customHeight="1" thickBot="1">
      <c r="B5" s="845"/>
      <c r="C5" s="565" t="s">
        <v>0</v>
      </c>
      <c r="D5" s="563" t="s">
        <v>21</v>
      </c>
      <c r="E5" s="566" t="s">
        <v>20</v>
      </c>
      <c r="F5" s="565" t="s">
        <v>0</v>
      </c>
      <c r="G5" s="563" t="s">
        <v>21</v>
      </c>
      <c r="H5" s="566" t="s">
        <v>20</v>
      </c>
      <c r="I5" s="565" t="s">
        <v>0</v>
      </c>
      <c r="J5" s="563" t="s">
        <v>21</v>
      </c>
      <c r="K5" s="566" t="s">
        <v>20</v>
      </c>
      <c r="L5" s="565" t="s">
        <v>0</v>
      </c>
      <c r="M5" s="563" t="s">
        <v>21</v>
      </c>
      <c r="N5" s="566" t="s">
        <v>20</v>
      </c>
      <c r="O5" s="565" t="s">
        <v>0</v>
      </c>
      <c r="P5" s="563" t="s">
        <v>21</v>
      </c>
      <c r="Q5" s="567" t="s">
        <v>20</v>
      </c>
    </row>
    <row r="6" spans="1:17" ht="24.75" customHeight="1" thickTop="1">
      <c r="B6" s="401" t="s">
        <v>885</v>
      </c>
      <c r="C6" s="589">
        <f t="shared" ref="C6:C7" si="0">+D6+E6</f>
        <v>0</v>
      </c>
      <c r="D6" s="590"/>
      <c r="E6" s="590"/>
      <c r="F6" s="589">
        <f t="shared" ref="F6:F8" si="1">+G6+H6</f>
        <v>0</v>
      </c>
      <c r="G6" s="590"/>
      <c r="H6" s="591"/>
      <c r="I6" s="589">
        <f t="shared" ref="I6:I8" si="2">+J6+K6</f>
        <v>0</v>
      </c>
      <c r="J6" s="590"/>
      <c r="K6" s="591"/>
      <c r="L6" s="589">
        <f t="shared" ref="L6:L10" si="3">+M6+N6</f>
        <v>0</v>
      </c>
      <c r="M6" s="590"/>
      <c r="N6" s="591"/>
      <c r="O6" s="589">
        <f t="shared" ref="O6:O10" si="4">+P6+Q6</f>
        <v>0</v>
      </c>
      <c r="P6" s="590"/>
      <c r="Q6" s="592"/>
    </row>
    <row r="7" spans="1:17" ht="24.75" customHeight="1">
      <c r="B7" s="593" t="s">
        <v>886</v>
      </c>
      <c r="C7" s="594">
        <f t="shared" si="0"/>
        <v>0</v>
      </c>
      <c r="D7" s="595"/>
      <c r="E7" s="596"/>
      <c r="F7" s="425">
        <f t="shared" si="1"/>
        <v>0</v>
      </c>
      <c r="G7" s="315"/>
      <c r="H7" s="597"/>
      <c r="I7" s="425">
        <f t="shared" si="2"/>
        <v>0</v>
      </c>
      <c r="J7" s="315"/>
      <c r="K7" s="597"/>
      <c r="L7" s="425">
        <f t="shared" si="3"/>
        <v>0</v>
      </c>
      <c r="M7" s="315"/>
      <c r="N7" s="597"/>
      <c r="O7" s="425">
        <f t="shared" si="4"/>
        <v>0</v>
      </c>
      <c r="P7" s="315"/>
      <c r="Q7" s="166"/>
    </row>
    <row r="8" spans="1:17" ht="24.75" customHeight="1">
      <c r="B8" s="593" t="s">
        <v>887</v>
      </c>
      <c r="C8" s="160"/>
      <c r="D8" s="200"/>
      <c r="E8" s="598"/>
      <c r="F8" s="859">
        <f t="shared" si="1"/>
        <v>0</v>
      </c>
      <c r="G8" s="860"/>
      <c r="H8" s="861"/>
      <c r="I8" s="425">
        <f t="shared" si="2"/>
        <v>0</v>
      </c>
      <c r="J8" s="315"/>
      <c r="K8" s="597"/>
      <c r="L8" s="425">
        <f t="shared" si="3"/>
        <v>0</v>
      </c>
      <c r="M8" s="315"/>
      <c r="N8" s="597"/>
      <c r="O8" s="425">
        <f t="shared" si="4"/>
        <v>0</v>
      </c>
      <c r="P8" s="315"/>
      <c r="Q8" s="166"/>
    </row>
    <row r="9" spans="1:17" ht="24.75" customHeight="1">
      <c r="B9" s="593" t="s">
        <v>875</v>
      </c>
      <c r="C9" s="160"/>
      <c r="D9" s="200"/>
      <c r="E9" s="598"/>
      <c r="F9" s="862"/>
      <c r="G9" s="863"/>
      <c r="H9" s="864"/>
      <c r="I9" s="859">
        <f>+J10+K10</f>
        <v>0</v>
      </c>
      <c r="J9" s="860"/>
      <c r="K9" s="861"/>
      <c r="L9" s="425">
        <f t="shared" ref="L9" si="5">+M9+N9</f>
        <v>0</v>
      </c>
      <c r="M9" s="315"/>
      <c r="N9" s="597"/>
      <c r="O9" s="425">
        <f t="shared" ref="O9" si="6">+P9+Q9</f>
        <v>0</v>
      </c>
      <c r="P9" s="315"/>
      <c r="Q9" s="166"/>
    </row>
    <row r="10" spans="1:17" ht="24.75" customHeight="1" thickBot="1">
      <c r="B10" s="599" t="s">
        <v>888</v>
      </c>
      <c r="C10" s="318"/>
      <c r="D10" s="521"/>
      <c r="E10" s="600"/>
      <c r="F10" s="865"/>
      <c r="G10" s="866"/>
      <c r="H10" s="867"/>
      <c r="I10" s="865"/>
      <c r="J10" s="866"/>
      <c r="K10" s="867"/>
      <c r="L10" s="868">
        <f t="shared" si="3"/>
        <v>0</v>
      </c>
      <c r="M10" s="869"/>
      <c r="N10" s="870"/>
      <c r="O10" s="470">
        <f t="shared" si="4"/>
        <v>0</v>
      </c>
      <c r="P10" s="469"/>
      <c r="Q10" s="471"/>
    </row>
    <row r="11" spans="1:17" s="603" customFormat="1" ht="18.75" customHeight="1" thickTop="1">
      <c r="A11" s="601"/>
      <c r="B11" s="601"/>
      <c r="C11" s="602"/>
      <c r="D11" s="602"/>
      <c r="E11" s="602"/>
      <c r="F11" s="602"/>
      <c r="G11" s="602"/>
      <c r="H11" s="602"/>
      <c r="I11" s="602"/>
      <c r="J11" s="602"/>
      <c r="K11" s="602"/>
      <c r="L11" s="602"/>
      <c r="M11" s="602"/>
      <c r="N11" s="602"/>
      <c r="O11" s="602"/>
      <c r="P11" s="602"/>
      <c r="Q11" s="602"/>
    </row>
    <row r="12" spans="1:17" ht="19.5" customHeight="1"/>
    <row r="13" spans="1:17" ht="18.75" customHeight="1">
      <c r="B13" s="257" t="s">
        <v>290</v>
      </c>
    </row>
    <row r="14" spans="1:17" ht="18.75" customHeight="1">
      <c r="B14" s="810"/>
      <c r="C14" s="811"/>
      <c r="D14" s="811"/>
      <c r="E14" s="811"/>
      <c r="F14" s="811"/>
      <c r="G14" s="811"/>
      <c r="H14" s="811"/>
      <c r="I14" s="811"/>
      <c r="J14" s="811"/>
      <c r="K14" s="811"/>
      <c r="L14" s="811"/>
      <c r="M14" s="811"/>
      <c r="N14" s="811"/>
      <c r="O14" s="811"/>
      <c r="P14" s="811"/>
      <c r="Q14" s="812"/>
    </row>
    <row r="15" spans="1:17" ht="18.75" customHeight="1">
      <c r="B15" s="813"/>
      <c r="C15" s="814"/>
      <c r="D15" s="814"/>
      <c r="E15" s="814"/>
      <c r="F15" s="814"/>
      <c r="G15" s="814"/>
      <c r="H15" s="814"/>
      <c r="I15" s="814"/>
      <c r="J15" s="814"/>
      <c r="K15" s="814"/>
      <c r="L15" s="814"/>
      <c r="M15" s="814"/>
      <c r="N15" s="814"/>
      <c r="O15" s="814"/>
      <c r="P15" s="814"/>
      <c r="Q15" s="815"/>
    </row>
    <row r="16" spans="1:17" ht="18.75" customHeight="1">
      <c r="B16" s="813"/>
      <c r="C16" s="814"/>
      <c r="D16" s="814"/>
      <c r="E16" s="814"/>
      <c r="F16" s="814"/>
      <c r="G16" s="814"/>
      <c r="H16" s="814"/>
      <c r="I16" s="814"/>
      <c r="J16" s="814"/>
      <c r="K16" s="814"/>
      <c r="L16" s="814"/>
      <c r="M16" s="814"/>
      <c r="N16" s="814"/>
      <c r="O16" s="814"/>
      <c r="P16" s="814"/>
      <c r="Q16" s="815"/>
    </row>
    <row r="17" spans="2:17" ht="18.75" customHeight="1">
      <c r="B17" s="813"/>
      <c r="C17" s="814"/>
      <c r="D17" s="814"/>
      <c r="E17" s="814"/>
      <c r="F17" s="814"/>
      <c r="G17" s="814"/>
      <c r="H17" s="814"/>
      <c r="I17" s="814"/>
      <c r="J17" s="814"/>
      <c r="K17" s="814"/>
      <c r="L17" s="814"/>
      <c r="M17" s="814"/>
      <c r="N17" s="814"/>
      <c r="O17" s="814"/>
      <c r="P17" s="814"/>
      <c r="Q17" s="815"/>
    </row>
    <row r="18" spans="2:17" ht="18.75" customHeight="1">
      <c r="B18" s="816"/>
      <c r="C18" s="817"/>
      <c r="D18" s="817"/>
      <c r="E18" s="817"/>
      <c r="F18" s="817"/>
      <c r="G18" s="817"/>
      <c r="H18" s="817"/>
      <c r="I18" s="817"/>
      <c r="J18" s="817"/>
      <c r="K18" s="817"/>
      <c r="L18" s="817"/>
      <c r="M18" s="817"/>
      <c r="N18" s="817"/>
      <c r="O18" s="817"/>
      <c r="P18" s="817"/>
      <c r="Q18" s="818"/>
    </row>
  </sheetData>
  <sheetProtection algorithmName="SHA-512" hashValue="70jPS406ECbIvkP595JdLnPE7KfWy+lOyFGoVfGii9/9dHSRZAHnTNhqSRhYn4f5qEnfj9YWf4ltJqhxu7LqJg==" saltValue="SKaMw4n7u1FBtJmX2p1jug==" spinCount="100000" sheet="1" objects="1" scenarios="1"/>
  <mergeCells count="12">
    <mergeCell ref="P1:Q1"/>
    <mergeCell ref="B14:Q18"/>
    <mergeCell ref="C3:Q3"/>
    <mergeCell ref="F8:H10"/>
    <mergeCell ref="I9:K10"/>
    <mergeCell ref="L10:N10"/>
    <mergeCell ref="B3:B5"/>
    <mergeCell ref="C4:E4"/>
    <mergeCell ref="F4:H4"/>
    <mergeCell ref="I4:K4"/>
    <mergeCell ref="L4:N4"/>
    <mergeCell ref="O4:Q4"/>
  </mergeCells>
  <conditionalFormatting sqref="C6:C7 F6:F8 I6:I9 L6:L10 O6:O10">
    <cfRule type="cellIs" dxfId="246" priority="1" operator="equal">
      <formula>0</formula>
    </cfRule>
  </conditionalFormatting>
  <dataValidations count="1">
    <dataValidation type="whole" operator="greaterThanOrEqual" allowBlank="1" showInputMessage="1" showErrorMessage="1" sqref="C6:Q10">
      <formula1>0</formula1>
    </dataValidation>
  </dataValidations>
  <printOptions horizontalCentered="1" verticalCentered="1"/>
  <pageMargins left="0" right="0.17" top="0.23622047244094491" bottom="0.19685039370078741" header="0.43307086614173229" footer="0.19685039370078741"/>
  <pageSetup scale="98" orientation="landscape" r:id="rId1"/>
  <headerFooter scaleWithDoc="0">
    <oddFooter>&amp;R&amp;"Goudy,Negrita Cursiva"Técnica Diurna&amp;"Goudy,Cursiva", página 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1:P87"/>
  <sheetViews>
    <sheetView showGridLines="0" zoomScale="90" zoomScaleNormal="90" zoomScaleSheetLayoutView="90" workbookViewId="0">
      <selection activeCell="A2" sqref="A2"/>
    </sheetView>
  </sheetViews>
  <sheetFormatPr baseColWidth="10" defaultRowHeight="14.25"/>
  <cols>
    <col min="1" max="1" width="3.42578125" style="212" customWidth="1"/>
    <col min="2" max="2" width="67.140625" style="93" customWidth="1"/>
    <col min="3" max="14" width="7.85546875" style="212" customWidth="1"/>
    <col min="15" max="16384" width="11.42578125" style="212"/>
  </cols>
  <sheetData>
    <row r="1" spans="2:16" ht="18">
      <c r="B1" s="621" t="s">
        <v>818</v>
      </c>
      <c r="C1" s="560"/>
      <c r="D1" s="560"/>
      <c r="E1" s="560"/>
      <c r="F1" s="560"/>
      <c r="G1" s="560"/>
      <c r="H1" s="560"/>
      <c r="I1" s="738"/>
      <c r="J1" s="738"/>
      <c r="K1" s="738"/>
      <c r="L1" s="738"/>
      <c r="M1" s="805" t="str">
        <f>+Portada!$M$2</f>
        <v/>
      </c>
      <c r="N1" s="806"/>
    </row>
    <row r="2" spans="2:16" ht="18.75" thickBot="1">
      <c r="B2" s="671" t="s">
        <v>1962</v>
      </c>
      <c r="C2" s="561"/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561"/>
    </row>
    <row r="3" spans="2:16" ht="21" customHeight="1" thickTop="1" thickBot="1">
      <c r="B3" s="843" t="s">
        <v>1616</v>
      </c>
      <c r="C3" s="846" t="s">
        <v>0</v>
      </c>
      <c r="D3" s="822"/>
      <c r="E3" s="847"/>
      <c r="F3" s="850" t="s">
        <v>1746</v>
      </c>
      <c r="G3" s="850"/>
      <c r="H3" s="850"/>
      <c r="I3" s="850"/>
      <c r="J3" s="850"/>
      <c r="K3" s="850"/>
      <c r="L3" s="850"/>
      <c r="M3" s="850"/>
      <c r="N3" s="850"/>
    </row>
    <row r="4" spans="2:16" ht="18" customHeight="1">
      <c r="B4" s="844"/>
      <c r="C4" s="848"/>
      <c r="D4" s="840"/>
      <c r="E4" s="849"/>
      <c r="F4" s="839" t="s">
        <v>875</v>
      </c>
      <c r="G4" s="840"/>
      <c r="H4" s="840"/>
      <c r="I4" s="839" t="s">
        <v>888</v>
      </c>
      <c r="J4" s="840"/>
      <c r="K4" s="840"/>
      <c r="L4" s="841" t="s">
        <v>889</v>
      </c>
      <c r="M4" s="842"/>
      <c r="N4" s="842"/>
    </row>
    <row r="5" spans="2:16" ht="27.75" customHeight="1" thickBot="1">
      <c r="B5" s="845"/>
      <c r="C5" s="562" t="s">
        <v>0</v>
      </c>
      <c r="D5" s="563" t="s">
        <v>21</v>
      </c>
      <c r="E5" s="564" t="s">
        <v>20</v>
      </c>
      <c r="F5" s="565" t="s">
        <v>0</v>
      </c>
      <c r="G5" s="563" t="s">
        <v>21</v>
      </c>
      <c r="H5" s="566" t="s">
        <v>20</v>
      </c>
      <c r="I5" s="565" t="s">
        <v>0</v>
      </c>
      <c r="J5" s="563" t="s">
        <v>21</v>
      </c>
      <c r="K5" s="566" t="s">
        <v>20</v>
      </c>
      <c r="L5" s="565" t="s">
        <v>0</v>
      </c>
      <c r="M5" s="563" t="s">
        <v>21</v>
      </c>
      <c r="N5" s="567" t="s">
        <v>20</v>
      </c>
    </row>
    <row r="6" spans="2:16" ht="24.75" customHeight="1" thickTop="1" thickBot="1">
      <c r="B6" s="568" t="s">
        <v>2002</v>
      </c>
      <c r="C6" s="308">
        <f>+D6+E6</f>
        <v>0</v>
      </c>
      <c r="D6" s="216">
        <f>+G6+J6+M6</f>
        <v>0</v>
      </c>
      <c r="E6" s="309">
        <f>+H6+K6+N6</f>
        <v>0</v>
      </c>
      <c r="F6" s="569">
        <f>+G6+H6</f>
        <v>0</v>
      </c>
      <c r="G6" s="216">
        <f>+G8+G44+G73</f>
        <v>0</v>
      </c>
      <c r="H6" s="570">
        <f>+H8+H44+H73</f>
        <v>0</v>
      </c>
      <c r="I6" s="569">
        <f>+J6+K6</f>
        <v>0</v>
      </c>
      <c r="J6" s="216">
        <f>+J8+J44+J73</f>
        <v>0</v>
      </c>
      <c r="K6" s="570">
        <f>+K8+K44+K73</f>
        <v>0</v>
      </c>
      <c r="L6" s="569">
        <f>+M6+N6</f>
        <v>0</v>
      </c>
      <c r="M6" s="216">
        <f>+M8+M44+M73</f>
        <v>0</v>
      </c>
      <c r="N6" s="309">
        <f>+N8+N44+N73</f>
        <v>0</v>
      </c>
      <c r="O6" s="857" t="str">
        <f>IF(OR($C$7="*",$D$7="*",$E$7="*"),"¡VERIFICAR!.  No coincide con el Cuadro 1.","")</f>
        <v/>
      </c>
      <c r="P6" s="857"/>
    </row>
    <row r="7" spans="2:16" s="144" customFormat="1" ht="14.25" customHeight="1">
      <c r="B7" s="716"/>
      <c r="C7" s="717" t="str">
        <f>IF($C$6&gt;('CUADRO 1'!D9+'CUADRO 1'!D10+'CUADRO 1'!D11+'CUADRO 1'!D12),"*","")</f>
        <v/>
      </c>
      <c r="D7" s="717" t="str">
        <f>IF($D$6&gt;('CUADRO 1'!E9+'CUADRO 1'!E10+'CUADRO 1'!E11+'CUADRO 1'!E12),"*","")</f>
        <v/>
      </c>
      <c r="E7" s="717" t="str">
        <f>IF($E$6&gt;('CUADRO 1'!F9+'CUADRO 1'!F10+'CUADRO 1'!F11+'CUADRO 1'!F12),"*","")</f>
        <v/>
      </c>
      <c r="F7" s="718"/>
      <c r="G7" s="718"/>
      <c r="H7" s="718"/>
      <c r="I7" s="718"/>
      <c r="J7" s="718"/>
      <c r="K7" s="718"/>
      <c r="L7" s="718"/>
      <c r="M7" s="718"/>
      <c r="N7" s="718"/>
      <c r="O7" s="857"/>
      <c r="P7" s="857"/>
    </row>
    <row r="8" spans="2:16" ht="19.5" customHeight="1">
      <c r="B8" s="578" t="s">
        <v>1617</v>
      </c>
      <c r="C8" s="245">
        <f t="shared" ref="C8:C81" si="0">+D8+E8</f>
        <v>0</v>
      </c>
      <c r="D8" s="222">
        <f>G8+J8+M8</f>
        <v>0</v>
      </c>
      <c r="E8" s="275">
        <f>H8+K8+N8</f>
        <v>0</v>
      </c>
      <c r="F8" s="108">
        <f t="shared" ref="F8:F81" si="1">+G8+H8</f>
        <v>0</v>
      </c>
      <c r="G8" s="222">
        <f>SUM(G9:G43)</f>
        <v>0</v>
      </c>
      <c r="H8" s="579">
        <f>SUM(H9:H43)</f>
        <v>0</v>
      </c>
      <c r="I8" s="108">
        <f t="shared" ref="I8:I81" si="2">+J8+K8</f>
        <v>0</v>
      </c>
      <c r="J8" s="222">
        <f>SUM(J9:J43)</f>
        <v>0</v>
      </c>
      <c r="K8" s="579">
        <f>SUM(K9:K43)</f>
        <v>0</v>
      </c>
      <c r="L8" s="108">
        <f t="shared" ref="L8:L81" si="3">+M8+N8</f>
        <v>0</v>
      </c>
      <c r="M8" s="222">
        <f>SUM(M9:M43)</f>
        <v>0</v>
      </c>
      <c r="N8" s="275">
        <f>SUM(N9:N43)</f>
        <v>0</v>
      </c>
      <c r="O8" s="857"/>
      <c r="P8" s="857"/>
    </row>
    <row r="9" spans="2:16" ht="19.5" customHeight="1">
      <c r="B9" s="571" t="s">
        <v>1618</v>
      </c>
      <c r="C9" s="245">
        <f t="shared" si="0"/>
        <v>0</v>
      </c>
      <c r="D9" s="222">
        <f t="shared" ref="D9:E43" si="4">G9+J9+M9</f>
        <v>0</v>
      </c>
      <c r="E9" s="275">
        <f t="shared" si="4"/>
        <v>0</v>
      </c>
      <c r="F9" s="744">
        <f t="shared" si="1"/>
        <v>0</v>
      </c>
      <c r="G9" s="311"/>
      <c r="H9" s="572"/>
      <c r="I9" s="744">
        <f t="shared" si="2"/>
        <v>0</v>
      </c>
      <c r="J9" s="311"/>
      <c r="K9" s="572"/>
      <c r="L9" s="744">
        <f t="shared" si="3"/>
        <v>0</v>
      </c>
      <c r="M9" s="311"/>
      <c r="N9" s="312"/>
      <c r="O9" s="857"/>
      <c r="P9" s="857"/>
    </row>
    <row r="10" spans="2:16" ht="19.5" customHeight="1">
      <c r="B10" s="573" t="s">
        <v>1619</v>
      </c>
      <c r="C10" s="228">
        <f t="shared" si="0"/>
        <v>0</v>
      </c>
      <c r="D10" s="574">
        <f t="shared" si="4"/>
        <v>0</v>
      </c>
      <c r="E10" s="575">
        <f t="shared" si="4"/>
        <v>0</v>
      </c>
      <c r="F10" s="441">
        <f t="shared" si="1"/>
        <v>0</v>
      </c>
      <c r="G10" s="229"/>
      <c r="H10" s="576"/>
      <c r="I10" s="441">
        <f t="shared" si="2"/>
        <v>0</v>
      </c>
      <c r="J10" s="229"/>
      <c r="K10" s="576"/>
      <c r="L10" s="441">
        <f t="shared" si="3"/>
        <v>0</v>
      </c>
      <c r="M10" s="229"/>
      <c r="N10" s="276"/>
      <c r="O10" s="857"/>
      <c r="P10" s="857"/>
    </row>
    <row r="11" spans="2:16" ht="19.5" customHeight="1">
      <c r="B11" s="573" t="s">
        <v>1620</v>
      </c>
      <c r="C11" s="228">
        <f t="shared" si="0"/>
        <v>0</v>
      </c>
      <c r="D11" s="574">
        <f t="shared" si="4"/>
        <v>0</v>
      </c>
      <c r="E11" s="575">
        <f t="shared" si="4"/>
        <v>0</v>
      </c>
      <c r="F11" s="441">
        <f t="shared" si="1"/>
        <v>0</v>
      </c>
      <c r="G11" s="229"/>
      <c r="H11" s="576"/>
      <c r="I11" s="441">
        <f t="shared" si="2"/>
        <v>0</v>
      </c>
      <c r="J11" s="229"/>
      <c r="K11" s="576"/>
      <c r="L11" s="441">
        <f t="shared" si="3"/>
        <v>0</v>
      </c>
      <c r="M11" s="229"/>
      <c r="N11" s="276"/>
    </row>
    <row r="12" spans="2:16" ht="19.5" customHeight="1">
      <c r="B12" s="573" t="s">
        <v>1633</v>
      </c>
      <c r="C12" s="228">
        <f>+D12+E12</f>
        <v>0</v>
      </c>
      <c r="D12" s="574">
        <f>G12+J12+M12</f>
        <v>0</v>
      </c>
      <c r="E12" s="575">
        <f>H12+K12+N12</f>
        <v>0</v>
      </c>
      <c r="F12" s="441">
        <f>+G12+H12</f>
        <v>0</v>
      </c>
      <c r="G12" s="229"/>
      <c r="H12" s="576"/>
      <c r="I12" s="441">
        <f>+J12+K12</f>
        <v>0</v>
      </c>
      <c r="J12" s="229"/>
      <c r="K12" s="576"/>
      <c r="L12" s="441">
        <f>+M12+N12</f>
        <v>0</v>
      </c>
      <c r="M12" s="229"/>
      <c r="N12" s="276"/>
    </row>
    <row r="13" spans="2:16" ht="19.5" customHeight="1">
      <c r="B13" s="577" t="s">
        <v>1956</v>
      </c>
      <c r="C13" s="228">
        <f>+D13+E13</f>
        <v>0</v>
      </c>
      <c r="D13" s="574">
        <f>G13+J13+M13</f>
        <v>0</v>
      </c>
      <c r="E13" s="575">
        <f>H13+K13+N13</f>
        <v>0</v>
      </c>
      <c r="F13" s="441">
        <f>+G13+H13</f>
        <v>0</v>
      </c>
      <c r="G13" s="229"/>
      <c r="H13" s="576"/>
      <c r="I13" s="441">
        <f>+J13+K13</f>
        <v>0</v>
      </c>
      <c r="J13" s="229"/>
      <c r="K13" s="576"/>
      <c r="L13" s="441">
        <f>+M13+N13</f>
        <v>0</v>
      </c>
      <c r="M13" s="229"/>
      <c r="N13" s="276"/>
    </row>
    <row r="14" spans="2:16" ht="19.5" customHeight="1">
      <c r="B14" s="577" t="s">
        <v>1621</v>
      </c>
      <c r="C14" s="228">
        <f t="shared" si="0"/>
        <v>0</v>
      </c>
      <c r="D14" s="574">
        <f t="shared" si="4"/>
        <v>0</v>
      </c>
      <c r="E14" s="575">
        <f t="shared" si="4"/>
        <v>0</v>
      </c>
      <c r="F14" s="441">
        <f t="shared" si="1"/>
        <v>0</v>
      </c>
      <c r="G14" s="229"/>
      <c r="H14" s="576"/>
      <c r="I14" s="441">
        <f t="shared" si="2"/>
        <v>0</v>
      </c>
      <c r="J14" s="229"/>
      <c r="K14" s="576"/>
      <c r="L14" s="441">
        <f t="shared" si="3"/>
        <v>0</v>
      </c>
      <c r="M14" s="229"/>
      <c r="N14" s="276"/>
    </row>
    <row r="15" spans="2:16" ht="19.5" customHeight="1">
      <c r="B15" s="573" t="s">
        <v>2604</v>
      </c>
      <c r="C15" s="228">
        <f t="shared" si="0"/>
        <v>0</v>
      </c>
      <c r="D15" s="574">
        <f t="shared" si="4"/>
        <v>0</v>
      </c>
      <c r="E15" s="575">
        <f t="shared" si="4"/>
        <v>0</v>
      </c>
      <c r="F15" s="441">
        <f t="shared" si="1"/>
        <v>0</v>
      </c>
      <c r="G15" s="229"/>
      <c r="H15" s="576"/>
      <c r="I15" s="441">
        <f t="shared" si="2"/>
        <v>0</v>
      </c>
      <c r="J15" s="229"/>
      <c r="K15" s="576"/>
      <c r="L15" s="441">
        <f t="shared" si="3"/>
        <v>0</v>
      </c>
      <c r="M15" s="229"/>
      <c r="N15" s="276"/>
    </row>
    <row r="16" spans="2:16" ht="19.5" customHeight="1">
      <c r="B16" s="573" t="s">
        <v>2540</v>
      </c>
      <c r="C16" s="228">
        <f t="shared" si="0"/>
        <v>0</v>
      </c>
      <c r="D16" s="574">
        <f t="shared" si="4"/>
        <v>0</v>
      </c>
      <c r="E16" s="575">
        <f t="shared" si="4"/>
        <v>0</v>
      </c>
      <c r="F16" s="441">
        <f t="shared" si="1"/>
        <v>0</v>
      </c>
      <c r="G16" s="229"/>
      <c r="H16" s="576"/>
      <c r="I16" s="441">
        <f t="shared" si="2"/>
        <v>0</v>
      </c>
      <c r="J16" s="229"/>
      <c r="K16" s="576"/>
      <c r="L16" s="441">
        <f t="shared" si="3"/>
        <v>0</v>
      </c>
      <c r="M16" s="229"/>
      <c r="N16" s="276"/>
    </row>
    <row r="17" spans="2:14" ht="19.5" customHeight="1">
      <c r="B17" s="573" t="s">
        <v>1622</v>
      </c>
      <c r="C17" s="228">
        <f t="shared" si="0"/>
        <v>0</v>
      </c>
      <c r="D17" s="574">
        <f t="shared" si="4"/>
        <v>0</v>
      </c>
      <c r="E17" s="575">
        <f t="shared" si="4"/>
        <v>0</v>
      </c>
      <c r="F17" s="441">
        <f t="shared" si="1"/>
        <v>0</v>
      </c>
      <c r="G17" s="229"/>
      <c r="H17" s="576"/>
      <c r="I17" s="441">
        <f t="shared" si="2"/>
        <v>0</v>
      </c>
      <c r="J17" s="229"/>
      <c r="K17" s="576"/>
      <c r="L17" s="441">
        <f t="shared" si="3"/>
        <v>0</v>
      </c>
      <c r="M17" s="229"/>
      <c r="N17" s="276"/>
    </row>
    <row r="18" spans="2:14" ht="19.5" customHeight="1">
      <c r="B18" s="573" t="s">
        <v>1623</v>
      </c>
      <c r="C18" s="228">
        <f t="shared" si="0"/>
        <v>0</v>
      </c>
      <c r="D18" s="574">
        <f t="shared" si="4"/>
        <v>0</v>
      </c>
      <c r="E18" s="575">
        <f t="shared" si="4"/>
        <v>0</v>
      </c>
      <c r="F18" s="441">
        <f t="shared" si="1"/>
        <v>0</v>
      </c>
      <c r="G18" s="229"/>
      <c r="H18" s="576"/>
      <c r="I18" s="441">
        <f t="shared" si="2"/>
        <v>0</v>
      </c>
      <c r="J18" s="229"/>
      <c r="K18" s="576"/>
      <c r="L18" s="441">
        <f t="shared" si="3"/>
        <v>0</v>
      </c>
      <c r="M18" s="229"/>
      <c r="N18" s="276"/>
    </row>
    <row r="19" spans="2:14" ht="19.5" customHeight="1">
      <c r="B19" s="577" t="s">
        <v>1629</v>
      </c>
      <c r="C19" s="228">
        <f>+D19+E19</f>
        <v>0</v>
      </c>
      <c r="D19" s="574">
        <f t="shared" si="4"/>
        <v>0</v>
      </c>
      <c r="E19" s="575">
        <f t="shared" si="4"/>
        <v>0</v>
      </c>
      <c r="F19" s="441">
        <f>+G19+H19</f>
        <v>0</v>
      </c>
      <c r="G19" s="229"/>
      <c r="H19" s="576"/>
      <c r="I19" s="441">
        <f>+J19+K19</f>
        <v>0</v>
      </c>
      <c r="J19" s="229"/>
      <c r="K19" s="576"/>
      <c r="L19" s="441">
        <f>+M19+N19</f>
        <v>0</v>
      </c>
      <c r="M19" s="229"/>
      <c r="N19" s="276"/>
    </row>
    <row r="20" spans="2:14" ht="19.5" customHeight="1">
      <c r="B20" s="577" t="s">
        <v>1630</v>
      </c>
      <c r="C20" s="228">
        <f>+D20+E20</f>
        <v>0</v>
      </c>
      <c r="D20" s="574">
        <f t="shared" si="4"/>
        <v>0</v>
      </c>
      <c r="E20" s="575">
        <f t="shared" si="4"/>
        <v>0</v>
      </c>
      <c r="F20" s="441">
        <f>+G20+H20</f>
        <v>0</v>
      </c>
      <c r="G20" s="229"/>
      <c r="H20" s="576"/>
      <c r="I20" s="441">
        <f>+J20+K20</f>
        <v>0</v>
      </c>
      <c r="J20" s="229"/>
      <c r="K20" s="576"/>
      <c r="L20" s="441">
        <f>+M20+N20</f>
        <v>0</v>
      </c>
      <c r="M20" s="229"/>
      <c r="N20" s="276"/>
    </row>
    <row r="21" spans="2:14" ht="19.5" customHeight="1">
      <c r="B21" s="679" t="s">
        <v>1957</v>
      </c>
      <c r="C21" s="228">
        <f>+D21+E21</f>
        <v>0</v>
      </c>
      <c r="D21" s="574">
        <f t="shared" si="4"/>
        <v>0</v>
      </c>
      <c r="E21" s="575">
        <f t="shared" si="4"/>
        <v>0</v>
      </c>
      <c r="F21" s="441">
        <f>+G21+H21</f>
        <v>0</v>
      </c>
      <c r="G21" s="229"/>
      <c r="H21" s="576"/>
      <c r="I21" s="441">
        <f>+J21+K21</f>
        <v>0</v>
      </c>
      <c r="J21" s="229"/>
      <c r="K21" s="576"/>
      <c r="L21" s="441">
        <f>+M21+N21</f>
        <v>0</v>
      </c>
      <c r="M21" s="229"/>
      <c r="N21" s="276"/>
    </row>
    <row r="22" spans="2:14" ht="19.5" customHeight="1">
      <c r="B22" s="573" t="s">
        <v>2600</v>
      </c>
      <c r="C22" s="228">
        <f>+D22+E22</f>
        <v>0</v>
      </c>
      <c r="D22" s="574">
        <f>G22+J22+M22</f>
        <v>0</v>
      </c>
      <c r="E22" s="575">
        <f>H22+K22+N22</f>
        <v>0</v>
      </c>
      <c r="F22" s="441">
        <f>+G22+H22</f>
        <v>0</v>
      </c>
      <c r="G22" s="229"/>
      <c r="H22" s="576"/>
      <c r="I22" s="441">
        <f>+J22+K22</f>
        <v>0</v>
      </c>
      <c r="J22" s="229"/>
      <c r="K22" s="576"/>
      <c r="L22" s="441">
        <f>+M22+N22</f>
        <v>0</v>
      </c>
      <c r="M22" s="229"/>
      <c r="N22" s="276"/>
    </row>
    <row r="23" spans="2:14" ht="19.5" customHeight="1">
      <c r="B23" s="573" t="s">
        <v>1624</v>
      </c>
      <c r="C23" s="228">
        <f t="shared" si="0"/>
        <v>0</v>
      </c>
      <c r="D23" s="574">
        <f t="shared" si="4"/>
        <v>0</v>
      </c>
      <c r="E23" s="575">
        <f t="shared" si="4"/>
        <v>0</v>
      </c>
      <c r="F23" s="441">
        <f t="shared" si="1"/>
        <v>0</v>
      </c>
      <c r="G23" s="229"/>
      <c r="H23" s="576"/>
      <c r="I23" s="441">
        <f t="shared" si="2"/>
        <v>0</v>
      </c>
      <c r="J23" s="229"/>
      <c r="K23" s="576"/>
      <c r="L23" s="441">
        <f t="shared" si="3"/>
        <v>0</v>
      </c>
      <c r="M23" s="229"/>
      <c r="N23" s="276"/>
    </row>
    <row r="24" spans="2:14" ht="19.5" customHeight="1">
      <c r="B24" s="573" t="s">
        <v>2605</v>
      </c>
      <c r="C24" s="228">
        <f>+D24+E24</f>
        <v>0</v>
      </c>
      <c r="D24" s="574">
        <f>G24+J24+M24</f>
        <v>0</v>
      </c>
      <c r="E24" s="575">
        <f>H24+K24+N24</f>
        <v>0</v>
      </c>
      <c r="F24" s="441">
        <f>+G24+H24</f>
        <v>0</v>
      </c>
      <c r="G24" s="229"/>
      <c r="H24" s="576"/>
      <c r="I24" s="441">
        <f>+J24+K24</f>
        <v>0</v>
      </c>
      <c r="J24" s="229"/>
      <c r="K24" s="576"/>
      <c r="L24" s="441">
        <f>+M24+N24</f>
        <v>0</v>
      </c>
      <c r="M24" s="229"/>
      <c r="N24" s="276"/>
    </row>
    <row r="25" spans="2:14" ht="19.5" customHeight="1">
      <c r="B25" s="573" t="s">
        <v>2538</v>
      </c>
      <c r="C25" s="228">
        <f t="shared" si="0"/>
        <v>0</v>
      </c>
      <c r="D25" s="574">
        <f t="shared" si="4"/>
        <v>0</v>
      </c>
      <c r="E25" s="575">
        <f t="shared" si="4"/>
        <v>0</v>
      </c>
      <c r="F25" s="441">
        <f t="shared" si="1"/>
        <v>0</v>
      </c>
      <c r="G25" s="229"/>
      <c r="H25" s="576"/>
      <c r="I25" s="441">
        <f t="shared" si="2"/>
        <v>0</v>
      </c>
      <c r="J25" s="229"/>
      <c r="K25" s="576"/>
      <c r="L25" s="441">
        <f t="shared" si="3"/>
        <v>0</v>
      </c>
      <c r="M25" s="229"/>
      <c r="N25" s="276"/>
    </row>
    <row r="26" spans="2:14" ht="19.5" customHeight="1">
      <c r="B26" s="573" t="s">
        <v>2539</v>
      </c>
      <c r="C26" s="228">
        <f t="shared" si="0"/>
        <v>0</v>
      </c>
      <c r="D26" s="574">
        <f t="shared" si="4"/>
        <v>0</v>
      </c>
      <c r="E26" s="575">
        <f t="shared" si="4"/>
        <v>0</v>
      </c>
      <c r="F26" s="441">
        <f t="shared" si="1"/>
        <v>0</v>
      </c>
      <c r="G26" s="229"/>
      <c r="H26" s="576"/>
      <c r="I26" s="441">
        <f t="shared" si="2"/>
        <v>0</v>
      </c>
      <c r="J26" s="229"/>
      <c r="K26" s="576"/>
      <c r="L26" s="441">
        <f t="shared" si="3"/>
        <v>0</v>
      </c>
      <c r="M26" s="229"/>
      <c r="N26" s="276"/>
    </row>
    <row r="27" spans="2:14" ht="19.5" customHeight="1">
      <c r="B27" s="573" t="s">
        <v>2606</v>
      </c>
      <c r="C27" s="228">
        <f t="shared" si="0"/>
        <v>0</v>
      </c>
      <c r="D27" s="574">
        <f t="shared" si="4"/>
        <v>0</v>
      </c>
      <c r="E27" s="575">
        <f t="shared" si="4"/>
        <v>0</v>
      </c>
      <c r="F27" s="441">
        <f t="shared" si="1"/>
        <v>0</v>
      </c>
      <c r="G27" s="229"/>
      <c r="H27" s="576"/>
      <c r="I27" s="441">
        <f t="shared" si="2"/>
        <v>0</v>
      </c>
      <c r="J27" s="229"/>
      <c r="K27" s="576"/>
      <c r="L27" s="441">
        <f t="shared" si="3"/>
        <v>0</v>
      </c>
      <c r="M27" s="229"/>
      <c r="N27" s="276"/>
    </row>
    <row r="28" spans="2:14" ht="19.5" customHeight="1">
      <c r="B28" s="573" t="s">
        <v>1625</v>
      </c>
      <c r="C28" s="228">
        <f t="shared" si="0"/>
        <v>0</v>
      </c>
      <c r="D28" s="574">
        <f t="shared" si="4"/>
        <v>0</v>
      </c>
      <c r="E28" s="575">
        <f t="shared" si="4"/>
        <v>0</v>
      </c>
      <c r="F28" s="441">
        <f t="shared" si="1"/>
        <v>0</v>
      </c>
      <c r="G28" s="229"/>
      <c r="H28" s="576"/>
      <c r="I28" s="441">
        <f t="shared" si="2"/>
        <v>0</v>
      </c>
      <c r="J28" s="229"/>
      <c r="K28" s="576"/>
      <c r="L28" s="441">
        <f t="shared" si="3"/>
        <v>0</v>
      </c>
      <c r="M28" s="229"/>
      <c r="N28" s="276"/>
    </row>
    <row r="29" spans="2:14" ht="19.5" customHeight="1">
      <c r="B29" s="573" t="s">
        <v>1626</v>
      </c>
      <c r="C29" s="228">
        <f t="shared" si="0"/>
        <v>0</v>
      </c>
      <c r="D29" s="574">
        <f t="shared" si="4"/>
        <v>0</v>
      </c>
      <c r="E29" s="575">
        <f t="shared" si="4"/>
        <v>0</v>
      </c>
      <c r="F29" s="441">
        <f t="shared" si="1"/>
        <v>0</v>
      </c>
      <c r="G29" s="229"/>
      <c r="H29" s="576"/>
      <c r="I29" s="441">
        <f t="shared" si="2"/>
        <v>0</v>
      </c>
      <c r="J29" s="229"/>
      <c r="K29" s="576"/>
      <c r="L29" s="441">
        <f t="shared" si="3"/>
        <v>0</v>
      </c>
      <c r="M29" s="229"/>
      <c r="N29" s="276"/>
    </row>
    <row r="30" spans="2:14" ht="19.5" customHeight="1">
      <c r="B30" s="577" t="s">
        <v>2607</v>
      </c>
      <c r="C30" s="228">
        <f t="shared" si="0"/>
        <v>0</v>
      </c>
      <c r="D30" s="574">
        <f t="shared" si="4"/>
        <v>0</v>
      </c>
      <c r="E30" s="575">
        <f t="shared" si="4"/>
        <v>0</v>
      </c>
      <c r="F30" s="441">
        <f t="shared" si="1"/>
        <v>0</v>
      </c>
      <c r="G30" s="229"/>
      <c r="H30" s="576"/>
      <c r="I30" s="441">
        <f t="shared" si="2"/>
        <v>0</v>
      </c>
      <c r="J30" s="229"/>
      <c r="K30" s="576"/>
      <c r="L30" s="441">
        <f t="shared" si="3"/>
        <v>0</v>
      </c>
      <c r="M30" s="229"/>
      <c r="N30" s="276"/>
    </row>
    <row r="31" spans="2:14" ht="19.5" customHeight="1">
      <c r="B31" s="577" t="s">
        <v>1958</v>
      </c>
      <c r="C31" s="228">
        <f t="shared" si="0"/>
        <v>0</v>
      </c>
      <c r="D31" s="574">
        <f t="shared" si="4"/>
        <v>0</v>
      </c>
      <c r="E31" s="575">
        <f t="shared" si="4"/>
        <v>0</v>
      </c>
      <c r="F31" s="441">
        <f t="shared" si="1"/>
        <v>0</v>
      </c>
      <c r="G31" s="229"/>
      <c r="H31" s="576"/>
      <c r="I31" s="441">
        <f t="shared" si="2"/>
        <v>0</v>
      </c>
      <c r="J31" s="229"/>
      <c r="K31" s="576"/>
      <c r="L31" s="441">
        <f t="shared" si="3"/>
        <v>0</v>
      </c>
      <c r="M31" s="229"/>
      <c r="N31" s="276"/>
    </row>
    <row r="32" spans="2:14" ht="19.5" customHeight="1">
      <c r="B32" s="573" t="s">
        <v>1627</v>
      </c>
      <c r="C32" s="228">
        <f t="shared" si="0"/>
        <v>0</v>
      </c>
      <c r="D32" s="574">
        <f t="shared" si="4"/>
        <v>0</v>
      </c>
      <c r="E32" s="575">
        <f t="shared" si="4"/>
        <v>0</v>
      </c>
      <c r="F32" s="441">
        <f t="shared" si="1"/>
        <v>0</v>
      </c>
      <c r="G32" s="229"/>
      <c r="H32" s="576"/>
      <c r="I32" s="441">
        <f t="shared" si="2"/>
        <v>0</v>
      </c>
      <c r="J32" s="229"/>
      <c r="K32" s="576"/>
      <c r="L32" s="441">
        <f t="shared" si="3"/>
        <v>0</v>
      </c>
      <c r="M32" s="229"/>
      <c r="N32" s="276"/>
    </row>
    <row r="33" spans="2:14" ht="19.5" customHeight="1">
      <c r="B33" s="573" t="s">
        <v>1628</v>
      </c>
      <c r="C33" s="228">
        <f t="shared" si="0"/>
        <v>0</v>
      </c>
      <c r="D33" s="574">
        <f t="shared" si="4"/>
        <v>0</v>
      </c>
      <c r="E33" s="575">
        <f t="shared" si="4"/>
        <v>0</v>
      </c>
      <c r="F33" s="441">
        <f t="shared" si="1"/>
        <v>0</v>
      </c>
      <c r="G33" s="229"/>
      <c r="H33" s="576"/>
      <c r="I33" s="441">
        <f t="shared" si="2"/>
        <v>0</v>
      </c>
      <c r="J33" s="229"/>
      <c r="K33" s="576"/>
      <c r="L33" s="441">
        <f t="shared" si="3"/>
        <v>0</v>
      </c>
      <c r="M33" s="229"/>
      <c r="N33" s="276"/>
    </row>
    <row r="34" spans="2:14" ht="19.5" customHeight="1">
      <c r="B34" s="577" t="s">
        <v>2601</v>
      </c>
      <c r="C34" s="228">
        <f t="shared" si="0"/>
        <v>0</v>
      </c>
      <c r="D34" s="574">
        <f t="shared" si="4"/>
        <v>0</v>
      </c>
      <c r="E34" s="575">
        <f t="shared" si="4"/>
        <v>0</v>
      </c>
      <c r="F34" s="441">
        <f t="shared" si="1"/>
        <v>0</v>
      </c>
      <c r="G34" s="229"/>
      <c r="H34" s="576"/>
      <c r="I34" s="441">
        <f t="shared" si="2"/>
        <v>0</v>
      </c>
      <c r="J34" s="229"/>
      <c r="K34" s="576"/>
      <c r="L34" s="441">
        <f t="shared" si="3"/>
        <v>0</v>
      </c>
      <c r="M34" s="229"/>
      <c r="N34" s="276"/>
    </row>
    <row r="35" spans="2:14" ht="19.5" customHeight="1">
      <c r="B35" s="577" t="s">
        <v>2537</v>
      </c>
      <c r="C35" s="228">
        <f t="shared" si="0"/>
        <v>0</v>
      </c>
      <c r="D35" s="574">
        <f t="shared" si="4"/>
        <v>0</v>
      </c>
      <c r="E35" s="575">
        <f t="shared" si="4"/>
        <v>0</v>
      </c>
      <c r="F35" s="441">
        <f t="shared" si="1"/>
        <v>0</v>
      </c>
      <c r="G35" s="229"/>
      <c r="H35" s="576"/>
      <c r="I35" s="441">
        <f t="shared" si="2"/>
        <v>0</v>
      </c>
      <c r="J35" s="229"/>
      <c r="K35" s="576"/>
      <c r="L35" s="441">
        <f t="shared" si="3"/>
        <v>0</v>
      </c>
      <c r="M35" s="229"/>
      <c r="N35" s="276"/>
    </row>
    <row r="36" spans="2:14" ht="19.5" customHeight="1">
      <c r="B36" s="573" t="s">
        <v>2541</v>
      </c>
      <c r="C36" s="228">
        <f t="shared" si="0"/>
        <v>0</v>
      </c>
      <c r="D36" s="574">
        <f t="shared" si="4"/>
        <v>0</v>
      </c>
      <c r="E36" s="575">
        <f t="shared" si="4"/>
        <v>0</v>
      </c>
      <c r="F36" s="441">
        <f t="shared" si="1"/>
        <v>0</v>
      </c>
      <c r="G36" s="229"/>
      <c r="H36" s="576"/>
      <c r="I36" s="441">
        <f t="shared" si="2"/>
        <v>0</v>
      </c>
      <c r="J36" s="229"/>
      <c r="K36" s="576"/>
      <c r="L36" s="441">
        <f t="shared" si="3"/>
        <v>0</v>
      </c>
      <c r="M36" s="229"/>
      <c r="N36" s="276"/>
    </row>
    <row r="37" spans="2:14" ht="19.5" customHeight="1">
      <c r="B37" s="577" t="s">
        <v>1631</v>
      </c>
      <c r="C37" s="228">
        <f t="shared" si="0"/>
        <v>0</v>
      </c>
      <c r="D37" s="574">
        <f t="shared" si="4"/>
        <v>0</v>
      </c>
      <c r="E37" s="575">
        <f t="shared" si="4"/>
        <v>0</v>
      </c>
      <c r="F37" s="441">
        <f t="shared" si="1"/>
        <v>0</v>
      </c>
      <c r="G37" s="229"/>
      <c r="H37" s="576"/>
      <c r="I37" s="441">
        <f t="shared" si="2"/>
        <v>0</v>
      </c>
      <c r="J37" s="229"/>
      <c r="K37" s="576"/>
      <c r="L37" s="441">
        <f t="shared" si="3"/>
        <v>0</v>
      </c>
      <c r="M37" s="229"/>
      <c r="N37" s="276"/>
    </row>
    <row r="38" spans="2:14" ht="19.5" customHeight="1">
      <c r="B38" s="577" t="s">
        <v>1632</v>
      </c>
      <c r="C38" s="228">
        <f t="shared" si="0"/>
        <v>0</v>
      </c>
      <c r="D38" s="574">
        <f t="shared" si="4"/>
        <v>0</v>
      </c>
      <c r="E38" s="575">
        <f t="shared" si="4"/>
        <v>0</v>
      </c>
      <c r="F38" s="441">
        <f t="shared" si="1"/>
        <v>0</v>
      </c>
      <c r="G38" s="229"/>
      <c r="H38" s="576"/>
      <c r="I38" s="441">
        <f t="shared" si="2"/>
        <v>0</v>
      </c>
      <c r="J38" s="229"/>
      <c r="K38" s="576"/>
      <c r="L38" s="441">
        <f t="shared" si="3"/>
        <v>0</v>
      </c>
      <c r="M38" s="229"/>
      <c r="N38" s="276"/>
    </row>
    <row r="39" spans="2:14" ht="19.5" customHeight="1">
      <c r="B39" s="577" t="s">
        <v>1634</v>
      </c>
      <c r="C39" s="228">
        <f t="shared" si="0"/>
        <v>0</v>
      </c>
      <c r="D39" s="574">
        <f t="shared" si="4"/>
        <v>0</v>
      </c>
      <c r="E39" s="575">
        <f t="shared" si="4"/>
        <v>0</v>
      </c>
      <c r="F39" s="441">
        <f t="shared" si="1"/>
        <v>0</v>
      </c>
      <c r="G39" s="229"/>
      <c r="H39" s="576"/>
      <c r="I39" s="441">
        <f t="shared" si="2"/>
        <v>0</v>
      </c>
      <c r="J39" s="229"/>
      <c r="K39" s="576"/>
      <c r="L39" s="441">
        <f t="shared" si="3"/>
        <v>0</v>
      </c>
      <c r="M39" s="229"/>
      <c r="N39" s="276"/>
    </row>
    <row r="40" spans="2:14" ht="19.5" customHeight="1">
      <c r="B40" s="577" t="s">
        <v>2608</v>
      </c>
      <c r="C40" s="228">
        <f t="shared" si="0"/>
        <v>0</v>
      </c>
      <c r="D40" s="574">
        <f t="shared" si="4"/>
        <v>0</v>
      </c>
      <c r="E40" s="575">
        <f t="shared" si="4"/>
        <v>0</v>
      </c>
      <c r="F40" s="441">
        <f t="shared" si="1"/>
        <v>0</v>
      </c>
      <c r="G40" s="229"/>
      <c r="H40" s="576"/>
      <c r="I40" s="441">
        <f t="shared" si="2"/>
        <v>0</v>
      </c>
      <c r="J40" s="229"/>
      <c r="K40" s="576"/>
      <c r="L40" s="441">
        <f t="shared" si="3"/>
        <v>0</v>
      </c>
      <c r="M40" s="229"/>
      <c r="N40" s="276"/>
    </row>
    <row r="41" spans="2:14" ht="19.5" customHeight="1">
      <c r="B41" s="577" t="s">
        <v>1635</v>
      </c>
      <c r="C41" s="228">
        <f t="shared" si="0"/>
        <v>0</v>
      </c>
      <c r="D41" s="574">
        <f t="shared" si="4"/>
        <v>0</v>
      </c>
      <c r="E41" s="575">
        <f t="shared" si="4"/>
        <v>0</v>
      </c>
      <c r="F41" s="441">
        <f t="shared" si="1"/>
        <v>0</v>
      </c>
      <c r="G41" s="229"/>
      <c r="H41" s="576"/>
      <c r="I41" s="441">
        <f t="shared" si="2"/>
        <v>0</v>
      </c>
      <c r="J41" s="229"/>
      <c r="K41" s="576"/>
      <c r="L41" s="441">
        <f t="shared" si="3"/>
        <v>0</v>
      </c>
      <c r="M41" s="229"/>
      <c r="N41" s="276"/>
    </row>
    <row r="42" spans="2:14" ht="19.5" customHeight="1">
      <c r="B42" s="577" t="s">
        <v>1636</v>
      </c>
      <c r="C42" s="228">
        <f t="shared" si="0"/>
        <v>0</v>
      </c>
      <c r="D42" s="574">
        <f t="shared" si="4"/>
        <v>0</v>
      </c>
      <c r="E42" s="575">
        <f t="shared" si="4"/>
        <v>0</v>
      </c>
      <c r="F42" s="441">
        <f t="shared" si="1"/>
        <v>0</v>
      </c>
      <c r="G42" s="229"/>
      <c r="H42" s="576"/>
      <c r="I42" s="441">
        <f t="shared" si="2"/>
        <v>0</v>
      </c>
      <c r="J42" s="229"/>
      <c r="K42" s="576"/>
      <c r="L42" s="441">
        <f t="shared" si="3"/>
        <v>0</v>
      </c>
      <c r="M42" s="229"/>
      <c r="N42" s="276"/>
    </row>
    <row r="43" spans="2:14" ht="19.5" customHeight="1">
      <c r="B43" s="740" t="s">
        <v>2609</v>
      </c>
      <c r="C43" s="228">
        <f t="shared" si="0"/>
        <v>0</v>
      </c>
      <c r="D43" s="574">
        <f t="shared" si="4"/>
        <v>0</v>
      </c>
      <c r="E43" s="575">
        <f t="shared" si="4"/>
        <v>0</v>
      </c>
      <c r="F43" s="441">
        <f t="shared" si="1"/>
        <v>0</v>
      </c>
      <c r="G43" s="229"/>
      <c r="H43" s="576"/>
      <c r="I43" s="441">
        <f t="shared" si="2"/>
        <v>0</v>
      </c>
      <c r="J43" s="229"/>
      <c r="K43" s="576"/>
      <c r="L43" s="441">
        <f t="shared" si="3"/>
        <v>0</v>
      </c>
      <c r="M43" s="229"/>
      <c r="N43" s="276"/>
    </row>
    <row r="44" spans="2:14" ht="19.5" customHeight="1">
      <c r="B44" s="741" t="s">
        <v>1637</v>
      </c>
      <c r="C44" s="430">
        <f t="shared" si="0"/>
        <v>0</v>
      </c>
      <c r="D44" s="431">
        <f t="shared" ref="D44:E81" si="5">G44+J44+M44</f>
        <v>0</v>
      </c>
      <c r="E44" s="432">
        <f t="shared" si="5"/>
        <v>0</v>
      </c>
      <c r="F44" s="433">
        <f>+G44+H44</f>
        <v>0</v>
      </c>
      <c r="G44" s="431">
        <f>SUM(G45:G72)</f>
        <v>0</v>
      </c>
      <c r="H44" s="742">
        <f>SUM(H45:H72)</f>
        <v>0</v>
      </c>
      <c r="I44" s="433">
        <f>J44+K44</f>
        <v>0</v>
      </c>
      <c r="J44" s="431">
        <f>SUM(J45:J72)</f>
        <v>0</v>
      </c>
      <c r="K44" s="742">
        <f>SUM(K45:K72)</f>
        <v>0</v>
      </c>
      <c r="L44" s="433">
        <f>+M44+N44</f>
        <v>0</v>
      </c>
      <c r="M44" s="431">
        <f>SUM(M45:M72)</f>
        <v>0</v>
      </c>
      <c r="N44" s="432">
        <f>SUM(N45:N72)</f>
        <v>0</v>
      </c>
    </row>
    <row r="45" spans="2:14" ht="19.5" customHeight="1">
      <c r="B45" s="573" t="s">
        <v>1638</v>
      </c>
      <c r="C45" s="228">
        <f t="shared" si="0"/>
        <v>0</v>
      </c>
      <c r="D45" s="574">
        <f t="shared" si="5"/>
        <v>0</v>
      </c>
      <c r="E45" s="575">
        <f t="shared" si="5"/>
        <v>0</v>
      </c>
      <c r="F45" s="441">
        <f t="shared" ref="F45:F72" si="6">+G45+H45</f>
        <v>0</v>
      </c>
      <c r="G45" s="229"/>
      <c r="H45" s="576"/>
      <c r="I45" s="441">
        <f t="shared" ref="I45:I72" si="7">+J45+K45</f>
        <v>0</v>
      </c>
      <c r="J45" s="229"/>
      <c r="K45" s="576"/>
      <c r="L45" s="441">
        <f t="shared" ref="L45:L72" si="8">+M45+N45</f>
        <v>0</v>
      </c>
      <c r="M45" s="229"/>
      <c r="N45" s="276"/>
    </row>
    <row r="46" spans="2:14" ht="19.5" customHeight="1">
      <c r="B46" s="573" t="s">
        <v>2610</v>
      </c>
      <c r="C46" s="228">
        <f t="shared" si="0"/>
        <v>0</v>
      </c>
      <c r="D46" s="574">
        <f t="shared" si="5"/>
        <v>0</v>
      </c>
      <c r="E46" s="575">
        <f t="shared" si="5"/>
        <v>0</v>
      </c>
      <c r="F46" s="441">
        <f t="shared" si="6"/>
        <v>0</v>
      </c>
      <c r="G46" s="229"/>
      <c r="H46" s="576"/>
      <c r="I46" s="441">
        <f t="shared" si="7"/>
        <v>0</v>
      </c>
      <c r="J46" s="229"/>
      <c r="K46" s="576"/>
      <c r="L46" s="441">
        <f t="shared" si="8"/>
        <v>0</v>
      </c>
      <c r="M46" s="229"/>
      <c r="N46" s="276"/>
    </row>
    <row r="47" spans="2:14" ht="19.5" customHeight="1">
      <c r="B47" s="573" t="s">
        <v>1639</v>
      </c>
      <c r="C47" s="228">
        <f t="shared" si="0"/>
        <v>0</v>
      </c>
      <c r="D47" s="574">
        <f t="shared" si="5"/>
        <v>0</v>
      </c>
      <c r="E47" s="575">
        <f t="shared" si="5"/>
        <v>0</v>
      </c>
      <c r="F47" s="441">
        <f t="shared" si="6"/>
        <v>0</v>
      </c>
      <c r="G47" s="229"/>
      <c r="H47" s="576"/>
      <c r="I47" s="441">
        <f t="shared" si="7"/>
        <v>0</v>
      </c>
      <c r="J47" s="229"/>
      <c r="K47" s="576"/>
      <c r="L47" s="441">
        <f t="shared" si="8"/>
        <v>0</v>
      </c>
      <c r="M47" s="229"/>
      <c r="N47" s="276"/>
    </row>
    <row r="48" spans="2:14" ht="19.5" customHeight="1">
      <c r="B48" s="573" t="s">
        <v>1640</v>
      </c>
      <c r="C48" s="228">
        <f t="shared" si="0"/>
        <v>0</v>
      </c>
      <c r="D48" s="574">
        <f t="shared" si="5"/>
        <v>0</v>
      </c>
      <c r="E48" s="575">
        <f t="shared" si="5"/>
        <v>0</v>
      </c>
      <c r="F48" s="441">
        <f t="shared" si="6"/>
        <v>0</v>
      </c>
      <c r="G48" s="229"/>
      <c r="H48" s="576"/>
      <c r="I48" s="441">
        <f t="shared" si="7"/>
        <v>0</v>
      </c>
      <c r="J48" s="229"/>
      <c r="K48" s="576"/>
      <c r="L48" s="441">
        <f t="shared" si="8"/>
        <v>0</v>
      </c>
      <c r="M48" s="229"/>
      <c r="N48" s="276"/>
    </row>
    <row r="49" spans="2:14" ht="19.5" customHeight="1">
      <c r="B49" s="573" t="s">
        <v>2611</v>
      </c>
      <c r="C49" s="228">
        <f t="shared" si="0"/>
        <v>0</v>
      </c>
      <c r="D49" s="574">
        <f t="shared" si="5"/>
        <v>0</v>
      </c>
      <c r="E49" s="575">
        <f t="shared" si="5"/>
        <v>0</v>
      </c>
      <c r="F49" s="441">
        <f t="shared" si="6"/>
        <v>0</v>
      </c>
      <c r="G49" s="229"/>
      <c r="H49" s="576"/>
      <c r="I49" s="441">
        <f t="shared" si="7"/>
        <v>0</v>
      </c>
      <c r="J49" s="229"/>
      <c r="K49" s="576"/>
      <c r="L49" s="441">
        <f t="shared" si="8"/>
        <v>0</v>
      </c>
      <c r="M49" s="229"/>
      <c r="N49" s="276"/>
    </row>
    <row r="50" spans="2:14" ht="19.5" customHeight="1">
      <c r="B50" s="573" t="s">
        <v>2536</v>
      </c>
      <c r="C50" s="228">
        <f t="shared" si="0"/>
        <v>0</v>
      </c>
      <c r="D50" s="574">
        <f t="shared" si="5"/>
        <v>0</v>
      </c>
      <c r="E50" s="575">
        <f t="shared" si="5"/>
        <v>0</v>
      </c>
      <c r="F50" s="441">
        <f t="shared" si="6"/>
        <v>0</v>
      </c>
      <c r="G50" s="229"/>
      <c r="H50" s="576"/>
      <c r="I50" s="441">
        <f t="shared" si="7"/>
        <v>0</v>
      </c>
      <c r="J50" s="229"/>
      <c r="K50" s="576"/>
      <c r="L50" s="441">
        <f t="shared" si="8"/>
        <v>0</v>
      </c>
      <c r="M50" s="229"/>
      <c r="N50" s="276"/>
    </row>
    <row r="51" spans="2:14" ht="19.5" customHeight="1">
      <c r="B51" s="573" t="s">
        <v>1641</v>
      </c>
      <c r="C51" s="228">
        <f t="shared" si="0"/>
        <v>0</v>
      </c>
      <c r="D51" s="574">
        <f t="shared" si="5"/>
        <v>0</v>
      </c>
      <c r="E51" s="575">
        <f t="shared" si="5"/>
        <v>0</v>
      </c>
      <c r="F51" s="441">
        <f t="shared" si="6"/>
        <v>0</v>
      </c>
      <c r="G51" s="229"/>
      <c r="H51" s="576"/>
      <c r="I51" s="441">
        <f t="shared" si="7"/>
        <v>0</v>
      </c>
      <c r="J51" s="229"/>
      <c r="K51" s="576"/>
      <c r="L51" s="441">
        <f t="shared" si="8"/>
        <v>0</v>
      </c>
      <c r="M51" s="229"/>
      <c r="N51" s="276"/>
    </row>
    <row r="52" spans="2:14" ht="19.5" customHeight="1">
      <c r="B52" s="573" t="s">
        <v>1642</v>
      </c>
      <c r="C52" s="228">
        <f t="shared" si="0"/>
        <v>0</v>
      </c>
      <c r="D52" s="574">
        <f t="shared" si="5"/>
        <v>0</v>
      </c>
      <c r="E52" s="575">
        <f t="shared" si="5"/>
        <v>0</v>
      </c>
      <c r="F52" s="441">
        <f t="shared" si="6"/>
        <v>0</v>
      </c>
      <c r="G52" s="229"/>
      <c r="H52" s="576"/>
      <c r="I52" s="441">
        <f t="shared" si="7"/>
        <v>0</v>
      </c>
      <c r="J52" s="229"/>
      <c r="K52" s="576"/>
      <c r="L52" s="441">
        <f t="shared" si="8"/>
        <v>0</v>
      </c>
      <c r="M52" s="229"/>
      <c r="N52" s="276"/>
    </row>
    <row r="53" spans="2:14" ht="19.5" customHeight="1">
      <c r="B53" s="573" t="s">
        <v>1643</v>
      </c>
      <c r="C53" s="228">
        <f t="shared" si="0"/>
        <v>0</v>
      </c>
      <c r="D53" s="574">
        <f t="shared" si="5"/>
        <v>0</v>
      </c>
      <c r="E53" s="575">
        <f t="shared" si="5"/>
        <v>0</v>
      </c>
      <c r="F53" s="441">
        <f t="shared" si="6"/>
        <v>0</v>
      </c>
      <c r="G53" s="229"/>
      <c r="H53" s="576"/>
      <c r="I53" s="441">
        <f t="shared" si="7"/>
        <v>0</v>
      </c>
      <c r="J53" s="229"/>
      <c r="K53" s="576"/>
      <c r="L53" s="441">
        <f t="shared" si="8"/>
        <v>0</v>
      </c>
      <c r="M53" s="229"/>
      <c r="N53" s="276"/>
    </row>
    <row r="54" spans="2:14" ht="19.5" customHeight="1">
      <c r="B54" s="573" t="s">
        <v>1644</v>
      </c>
      <c r="C54" s="228">
        <f t="shared" si="0"/>
        <v>0</v>
      </c>
      <c r="D54" s="574">
        <f t="shared" si="5"/>
        <v>0</v>
      </c>
      <c r="E54" s="575">
        <f t="shared" si="5"/>
        <v>0</v>
      </c>
      <c r="F54" s="441">
        <f t="shared" si="6"/>
        <v>0</v>
      </c>
      <c r="G54" s="229"/>
      <c r="H54" s="576"/>
      <c r="I54" s="441">
        <f t="shared" si="7"/>
        <v>0</v>
      </c>
      <c r="J54" s="229"/>
      <c r="K54" s="576"/>
      <c r="L54" s="441">
        <f t="shared" si="8"/>
        <v>0</v>
      </c>
      <c r="M54" s="229"/>
      <c r="N54" s="276"/>
    </row>
    <row r="55" spans="2:14" ht="19.5" customHeight="1">
      <c r="B55" s="573" t="s">
        <v>1645</v>
      </c>
      <c r="C55" s="228">
        <f t="shared" si="0"/>
        <v>0</v>
      </c>
      <c r="D55" s="574">
        <f t="shared" si="5"/>
        <v>0</v>
      </c>
      <c r="E55" s="575">
        <f t="shared" si="5"/>
        <v>0</v>
      </c>
      <c r="F55" s="441">
        <f t="shared" si="6"/>
        <v>0</v>
      </c>
      <c r="G55" s="229"/>
      <c r="H55" s="576"/>
      <c r="I55" s="441">
        <f t="shared" si="7"/>
        <v>0</v>
      </c>
      <c r="J55" s="229"/>
      <c r="K55" s="576"/>
      <c r="L55" s="441">
        <f t="shared" si="8"/>
        <v>0</v>
      </c>
      <c r="M55" s="229"/>
      <c r="N55" s="276"/>
    </row>
    <row r="56" spans="2:14" ht="19.5" customHeight="1">
      <c r="B56" s="573" t="s">
        <v>1646</v>
      </c>
      <c r="C56" s="228">
        <f t="shared" si="0"/>
        <v>0</v>
      </c>
      <c r="D56" s="574">
        <f t="shared" si="5"/>
        <v>0</v>
      </c>
      <c r="E56" s="575">
        <f t="shared" si="5"/>
        <v>0</v>
      </c>
      <c r="F56" s="441">
        <f t="shared" si="6"/>
        <v>0</v>
      </c>
      <c r="G56" s="229"/>
      <c r="H56" s="576"/>
      <c r="I56" s="441">
        <f t="shared" si="7"/>
        <v>0</v>
      </c>
      <c r="J56" s="229"/>
      <c r="K56" s="576"/>
      <c r="L56" s="441">
        <f t="shared" si="8"/>
        <v>0</v>
      </c>
      <c r="M56" s="229"/>
      <c r="N56" s="276"/>
    </row>
    <row r="57" spans="2:14" ht="19.5" customHeight="1">
      <c r="B57" s="573" t="s">
        <v>1647</v>
      </c>
      <c r="C57" s="228">
        <f t="shared" si="0"/>
        <v>0</v>
      </c>
      <c r="D57" s="574">
        <f t="shared" si="5"/>
        <v>0</v>
      </c>
      <c r="E57" s="575">
        <f t="shared" si="5"/>
        <v>0</v>
      </c>
      <c r="F57" s="441">
        <f t="shared" si="6"/>
        <v>0</v>
      </c>
      <c r="G57" s="229"/>
      <c r="H57" s="576"/>
      <c r="I57" s="441">
        <f t="shared" si="7"/>
        <v>0</v>
      </c>
      <c r="J57" s="229"/>
      <c r="K57" s="576"/>
      <c r="L57" s="441">
        <f t="shared" si="8"/>
        <v>0</v>
      </c>
      <c r="M57" s="229"/>
      <c r="N57" s="276"/>
    </row>
    <row r="58" spans="2:14" ht="19.5" customHeight="1">
      <c r="B58" s="573" t="s">
        <v>1648</v>
      </c>
      <c r="C58" s="228">
        <f t="shared" si="0"/>
        <v>0</v>
      </c>
      <c r="D58" s="574">
        <f t="shared" si="5"/>
        <v>0</v>
      </c>
      <c r="E58" s="575">
        <f t="shared" si="5"/>
        <v>0</v>
      </c>
      <c r="F58" s="441">
        <f t="shared" si="6"/>
        <v>0</v>
      </c>
      <c r="G58" s="229"/>
      <c r="H58" s="576"/>
      <c r="I58" s="441">
        <f t="shared" si="7"/>
        <v>0</v>
      </c>
      <c r="J58" s="229"/>
      <c r="K58" s="576"/>
      <c r="L58" s="441">
        <f t="shared" si="8"/>
        <v>0</v>
      </c>
      <c r="M58" s="229"/>
      <c r="N58" s="276"/>
    </row>
    <row r="59" spans="2:14" ht="19.5" customHeight="1">
      <c r="B59" s="573" t="s">
        <v>1649</v>
      </c>
      <c r="C59" s="228">
        <f t="shared" si="0"/>
        <v>0</v>
      </c>
      <c r="D59" s="574">
        <f t="shared" si="5"/>
        <v>0</v>
      </c>
      <c r="E59" s="575">
        <f t="shared" si="5"/>
        <v>0</v>
      </c>
      <c r="F59" s="441">
        <f t="shared" si="6"/>
        <v>0</v>
      </c>
      <c r="G59" s="229"/>
      <c r="H59" s="576"/>
      <c r="I59" s="441">
        <f t="shared" si="7"/>
        <v>0</v>
      </c>
      <c r="J59" s="229"/>
      <c r="K59" s="576"/>
      <c r="L59" s="441">
        <f t="shared" si="8"/>
        <v>0</v>
      </c>
      <c r="M59" s="229"/>
      <c r="N59" s="276"/>
    </row>
    <row r="60" spans="2:14" ht="19.5" customHeight="1">
      <c r="B60" s="573" t="s">
        <v>2612</v>
      </c>
      <c r="C60" s="228">
        <f t="shared" si="0"/>
        <v>0</v>
      </c>
      <c r="D60" s="574">
        <f t="shared" si="5"/>
        <v>0</v>
      </c>
      <c r="E60" s="575">
        <f t="shared" si="5"/>
        <v>0</v>
      </c>
      <c r="F60" s="441">
        <f t="shared" si="6"/>
        <v>0</v>
      </c>
      <c r="G60" s="229"/>
      <c r="H60" s="576"/>
      <c r="I60" s="441">
        <f t="shared" si="7"/>
        <v>0</v>
      </c>
      <c r="J60" s="229"/>
      <c r="K60" s="576"/>
      <c r="L60" s="441">
        <f t="shared" si="8"/>
        <v>0</v>
      </c>
      <c r="M60" s="229"/>
      <c r="N60" s="276"/>
    </row>
    <row r="61" spans="2:14" ht="19.5" customHeight="1">
      <c r="B61" s="573" t="s">
        <v>2602</v>
      </c>
      <c r="C61" s="228">
        <f t="shared" si="0"/>
        <v>0</v>
      </c>
      <c r="D61" s="574">
        <f t="shared" si="5"/>
        <v>0</v>
      </c>
      <c r="E61" s="575">
        <f t="shared" si="5"/>
        <v>0</v>
      </c>
      <c r="F61" s="441">
        <f t="shared" si="6"/>
        <v>0</v>
      </c>
      <c r="G61" s="229"/>
      <c r="H61" s="576"/>
      <c r="I61" s="441">
        <f t="shared" si="7"/>
        <v>0</v>
      </c>
      <c r="J61" s="229"/>
      <c r="K61" s="576"/>
      <c r="L61" s="441">
        <f t="shared" si="8"/>
        <v>0</v>
      </c>
      <c r="M61" s="229"/>
      <c r="N61" s="276"/>
    </row>
    <row r="62" spans="2:14" ht="19.5" customHeight="1">
      <c r="B62" s="573" t="s">
        <v>1959</v>
      </c>
      <c r="C62" s="228">
        <f t="shared" si="0"/>
        <v>0</v>
      </c>
      <c r="D62" s="574">
        <f t="shared" si="5"/>
        <v>0</v>
      </c>
      <c r="E62" s="575">
        <f t="shared" si="5"/>
        <v>0</v>
      </c>
      <c r="F62" s="441">
        <f t="shared" si="6"/>
        <v>0</v>
      </c>
      <c r="G62" s="229"/>
      <c r="H62" s="576"/>
      <c r="I62" s="441">
        <f t="shared" si="7"/>
        <v>0</v>
      </c>
      <c r="J62" s="229"/>
      <c r="K62" s="576"/>
      <c r="L62" s="441">
        <f t="shared" si="8"/>
        <v>0</v>
      </c>
      <c r="M62" s="229"/>
      <c r="N62" s="276"/>
    </row>
    <row r="63" spans="2:14" ht="19.5" customHeight="1">
      <c r="B63" s="573" t="s">
        <v>2603</v>
      </c>
      <c r="C63" s="228">
        <f t="shared" si="0"/>
        <v>0</v>
      </c>
      <c r="D63" s="574">
        <f t="shared" si="5"/>
        <v>0</v>
      </c>
      <c r="E63" s="575">
        <f t="shared" si="5"/>
        <v>0</v>
      </c>
      <c r="F63" s="441">
        <f t="shared" si="6"/>
        <v>0</v>
      </c>
      <c r="G63" s="229"/>
      <c r="H63" s="576"/>
      <c r="I63" s="441">
        <f t="shared" si="7"/>
        <v>0</v>
      </c>
      <c r="J63" s="229"/>
      <c r="K63" s="576"/>
      <c r="L63" s="441">
        <f t="shared" si="8"/>
        <v>0</v>
      </c>
      <c r="M63" s="229"/>
      <c r="N63" s="276"/>
    </row>
    <row r="64" spans="2:14" ht="19.5" customHeight="1">
      <c r="B64" s="573" t="s">
        <v>1937</v>
      </c>
      <c r="C64" s="228">
        <f>+D64+E64</f>
        <v>0</v>
      </c>
      <c r="D64" s="574">
        <f>G64+J64+M64</f>
        <v>0</v>
      </c>
      <c r="E64" s="575">
        <f>H64+K64+N64</f>
        <v>0</v>
      </c>
      <c r="F64" s="441">
        <f>+G64+H64</f>
        <v>0</v>
      </c>
      <c r="G64" s="229"/>
      <c r="H64" s="576"/>
      <c r="I64" s="441">
        <f>+J64+K64</f>
        <v>0</v>
      </c>
      <c r="J64" s="229"/>
      <c r="K64" s="576"/>
      <c r="L64" s="441">
        <f>+M64+N64</f>
        <v>0</v>
      </c>
      <c r="M64" s="229"/>
      <c r="N64" s="276"/>
    </row>
    <row r="65" spans="2:14" ht="19.5" customHeight="1">
      <c r="B65" s="573" t="s">
        <v>1650</v>
      </c>
      <c r="C65" s="228">
        <f t="shared" si="0"/>
        <v>0</v>
      </c>
      <c r="D65" s="574">
        <f t="shared" si="5"/>
        <v>0</v>
      </c>
      <c r="E65" s="575">
        <f t="shared" si="5"/>
        <v>0</v>
      </c>
      <c r="F65" s="441">
        <f t="shared" si="6"/>
        <v>0</v>
      </c>
      <c r="G65" s="229"/>
      <c r="H65" s="576"/>
      <c r="I65" s="441">
        <f t="shared" si="7"/>
        <v>0</v>
      </c>
      <c r="J65" s="229"/>
      <c r="K65" s="576"/>
      <c r="L65" s="441">
        <f t="shared" si="8"/>
        <v>0</v>
      </c>
      <c r="M65" s="229"/>
      <c r="N65" s="276"/>
    </row>
    <row r="66" spans="2:14" ht="19.5" customHeight="1">
      <c r="B66" s="573" t="s">
        <v>1651</v>
      </c>
      <c r="C66" s="228">
        <f t="shared" si="0"/>
        <v>0</v>
      </c>
      <c r="D66" s="574">
        <f t="shared" si="5"/>
        <v>0</v>
      </c>
      <c r="E66" s="575">
        <f t="shared" si="5"/>
        <v>0</v>
      </c>
      <c r="F66" s="441">
        <f t="shared" si="6"/>
        <v>0</v>
      </c>
      <c r="G66" s="229"/>
      <c r="H66" s="576"/>
      <c r="I66" s="441">
        <f t="shared" si="7"/>
        <v>0</v>
      </c>
      <c r="J66" s="229"/>
      <c r="K66" s="576"/>
      <c r="L66" s="441">
        <f t="shared" si="8"/>
        <v>0</v>
      </c>
      <c r="M66" s="229"/>
      <c r="N66" s="276"/>
    </row>
    <row r="67" spans="2:14" ht="19.5" customHeight="1">
      <c r="B67" s="573" t="s">
        <v>1652</v>
      </c>
      <c r="C67" s="228">
        <f t="shared" si="0"/>
        <v>0</v>
      </c>
      <c r="D67" s="574">
        <f t="shared" si="5"/>
        <v>0</v>
      </c>
      <c r="E67" s="575">
        <f t="shared" si="5"/>
        <v>0</v>
      </c>
      <c r="F67" s="441">
        <f t="shared" si="6"/>
        <v>0</v>
      </c>
      <c r="G67" s="229"/>
      <c r="H67" s="576"/>
      <c r="I67" s="441">
        <f t="shared" si="7"/>
        <v>0</v>
      </c>
      <c r="J67" s="229"/>
      <c r="K67" s="576"/>
      <c r="L67" s="441">
        <f t="shared" si="8"/>
        <v>0</v>
      </c>
      <c r="M67" s="229"/>
      <c r="N67" s="276"/>
    </row>
    <row r="68" spans="2:14" ht="19.5" customHeight="1">
      <c r="B68" s="573" t="s">
        <v>1653</v>
      </c>
      <c r="C68" s="228">
        <f t="shared" si="0"/>
        <v>0</v>
      </c>
      <c r="D68" s="574">
        <f t="shared" si="5"/>
        <v>0</v>
      </c>
      <c r="E68" s="575">
        <f t="shared" si="5"/>
        <v>0</v>
      </c>
      <c r="F68" s="441">
        <f t="shared" si="6"/>
        <v>0</v>
      </c>
      <c r="G68" s="229"/>
      <c r="H68" s="576"/>
      <c r="I68" s="441">
        <f t="shared" si="7"/>
        <v>0</v>
      </c>
      <c r="J68" s="229"/>
      <c r="K68" s="576"/>
      <c r="L68" s="441">
        <f t="shared" si="8"/>
        <v>0</v>
      </c>
      <c r="M68" s="229"/>
      <c r="N68" s="276"/>
    </row>
    <row r="69" spans="2:14" ht="19.5" customHeight="1">
      <c r="B69" s="573" t="s">
        <v>2613</v>
      </c>
      <c r="C69" s="228">
        <f t="shared" si="0"/>
        <v>0</v>
      </c>
      <c r="D69" s="574">
        <f t="shared" si="5"/>
        <v>0</v>
      </c>
      <c r="E69" s="575">
        <f t="shared" si="5"/>
        <v>0</v>
      </c>
      <c r="F69" s="441">
        <f t="shared" si="6"/>
        <v>0</v>
      </c>
      <c r="G69" s="229"/>
      <c r="H69" s="576"/>
      <c r="I69" s="441">
        <f t="shared" si="7"/>
        <v>0</v>
      </c>
      <c r="J69" s="229"/>
      <c r="K69" s="576"/>
      <c r="L69" s="441">
        <f t="shared" si="8"/>
        <v>0</v>
      </c>
      <c r="M69" s="229"/>
      <c r="N69" s="276"/>
    </row>
    <row r="70" spans="2:14" ht="19.5" customHeight="1">
      <c r="B70" s="573" t="s">
        <v>1960</v>
      </c>
      <c r="C70" s="228">
        <f t="shared" si="0"/>
        <v>0</v>
      </c>
      <c r="D70" s="574">
        <f t="shared" si="5"/>
        <v>0</v>
      </c>
      <c r="E70" s="575">
        <f t="shared" si="5"/>
        <v>0</v>
      </c>
      <c r="F70" s="441">
        <f t="shared" si="6"/>
        <v>0</v>
      </c>
      <c r="G70" s="229"/>
      <c r="H70" s="576"/>
      <c r="I70" s="441">
        <f t="shared" si="7"/>
        <v>0</v>
      </c>
      <c r="J70" s="229"/>
      <c r="K70" s="576"/>
      <c r="L70" s="441">
        <f t="shared" si="8"/>
        <v>0</v>
      </c>
      <c r="M70" s="229"/>
      <c r="N70" s="276"/>
    </row>
    <row r="71" spans="2:14" ht="19.5" customHeight="1">
      <c r="B71" s="573" t="s">
        <v>1654</v>
      </c>
      <c r="C71" s="228">
        <f t="shared" si="0"/>
        <v>0</v>
      </c>
      <c r="D71" s="574">
        <f t="shared" si="5"/>
        <v>0</v>
      </c>
      <c r="E71" s="575">
        <f t="shared" si="5"/>
        <v>0</v>
      </c>
      <c r="F71" s="441">
        <f t="shared" si="6"/>
        <v>0</v>
      </c>
      <c r="G71" s="229"/>
      <c r="H71" s="576"/>
      <c r="I71" s="441">
        <f t="shared" si="7"/>
        <v>0</v>
      </c>
      <c r="J71" s="229"/>
      <c r="K71" s="576"/>
      <c r="L71" s="441">
        <f t="shared" si="8"/>
        <v>0</v>
      </c>
      <c r="M71" s="229"/>
      <c r="N71" s="276"/>
    </row>
    <row r="72" spans="2:14" ht="19.5" customHeight="1">
      <c r="B72" s="743" t="s">
        <v>1961</v>
      </c>
      <c r="C72" s="284">
        <f t="shared" si="0"/>
        <v>0</v>
      </c>
      <c r="D72" s="745">
        <f t="shared" si="5"/>
        <v>0</v>
      </c>
      <c r="E72" s="746">
        <f t="shared" si="5"/>
        <v>0</v>
      </c>
      <c r="F72" s="747">
        <f t="shared" si="6"/>
        <v>0</v>
      </c>
      <c r="G72" s="285"/>
      <c r="H72" s="748"/>
      <c r="I72" s="747">
        <f t="shared" si="7"/>
        <v>0</v>
      </c>
      <c r="J72" s="285"/>
      <c r="K72" s="748"/>
      <c r="L72" s="747">
        <f t="shared" si="8"/>
        <v>0</v>
      </c>
      <c r="M72" s="285"/>
      <c r="N72" s="290"/>
    </row>
    <row r="73" spans="2:14" ht="19.5" customHeight="1">
      <c r="B73" s="741" t="s">
        <v>1655</v>
      </c>
      <c r="C73" s="430">
        <f t="shared" si="0"/>
        <v>0</v>
      </c>
      <c r="D73" s="431">
        <f t="shared" si="5"/>
        <v>0</v>
      </c>
      <c r="E73" s="432">
        <f t="shared" si="5"/>
        <v>0</v>
      </c>
      <c r="F73" s="433">
        <f t="shared" si="1"/>
        <v>0</v>
      </c>
      <c r="G73" s="431">
        <f>SUM(G74:G81)</f>
        <v>0</v>
      </c>
      <c r="H73" s="742">
        <f>SUM(H74:H81)</f>
        <v>0</v>
      </c>
      <c r="I73" s="433">
        <f t="shared" si="2"/>
        <v>0</v>
      </c>
      <c r="J73" s="431">
        <f>SUM(J74:J81)</f>
        <v>0</v>
      </c>
      <c r="K73" s="742">
        <f>SUM(K74:K81)</f>
        <v>0</v>
      </c>
      <c r="L73" s="433">
        <f t="shared" si="3"/>
        <v>0</v>
      </c>
      <c r="M73" s="431">
        <f>SUM(M74:M81)</f>
        <v>0</v>
      </c>
      <c r="N73" s="432">
        <f>SUM(N74:N81)</f>
        <v>0</v>
      </c>
    </row>
    <row r="74" spans="2:14" ht="19.5" customHeight="1">
      <c r="B74" s="573" t="s">
        <v>1656</v>
      </c>
      <c r="C74" s="228">
        <f t="shared" si="0"/>
        <v>0</v>
      </c>
      <c r="D74" s="574">
        <f t="shared" si="5"/>
        <v>0</v>
      </c>
      <c r="E74" s="575">
        <f t="shared" si="5"/>
        <v>0</v>
      </c>
      <c r="F74" s="441">
        <f t="shared" si="1"/>
        <v>0</v>
      </c>
      <c r="G74" s="229"/>
      <c r="H74" s="576"/>
      <c r="I74" s="441">
        <f t="shared" si="2"/>
        <v>0</v>
      </c>
      <c r="J74" s="229"/>
      <c r="K74" s="576"/>
      <c r="L74" s="441">
        <f t="shared" si="3"/>
        <v>0</v>
      </c>
      <c r="M74" s="229"/>
      <c r="N74" s="276"/>
    </row>
    <row r="75" spans="2:14" ht="19.5" customHeight="1">
      <c r="B75" s="573" t="s">
        <v>1657</v>
      </c>
      <c r="C75" s="228">
        <f t="shared" si="0"/>
        <v>0</v>
      </c>
      <c r="D75" s="574">
        <f t="shared" si="5"/>
        <v>0</v>
      </c>
      <c r="E75" s="575">
        <f t="shared" si="5"/>
        <v>0</v>
      </c>
      <c r="F75" s="441">
        <f t="shared" si="1"/>
        <v>0</v>
      </c>
      <c r="G75" s="229"/>
      <c r="H75" s="576"/>
      <c r="I75" s="441">
        <f t="shared" si="2"/>
        <v>0</v>
      </c>
      <c r="J75" s="229"/>
      <c r="K75" s="576"/>
      <c r="L75" s="441">
        <f t="shared" si="3"/>
        <v>0</v>
      </c>
      <c r="M75" s="229"/>
      <c r="N75" s="276"/>
    </row>
    <row r="76" spans="2:14" ht="19.5" customHeight="1">
      <c r="B76" s="573" t="s">
        <v>1658</v>
      </c>
      <c r="C76" s="228">
        <f t="shared" si="0"/>
        <v>0</v>
      </c>
      <c r="D76" s="574">
        <f t="shared" si="5"/>
        <v>0</v>
      </c>
      <c r="E76" s="575">
        <f t="shared" si="5"/>
        <v>0</v>
      </c>
      <c r="F76" s="441">
        <f t="shared" si="1"/>
        <v>0</v>
      </c>
      <c r="G76" s="229"/>
      <c r="H76" s="576"/>
      <c r="I76" s="441">
        <f t="shared" si="2"/>
        <v>0</v>
      </c>
      <c r="J76" s="229"/>
      <c r="K76" s="576"/>
      <c r="L76" s="441">
        <f t="shared" si="3"/>
        <v>0</v>
      </c>
      <c r="M76" s="229"/>
      <c r="N76" s="276"/>
    </row>
    <row r="77" spans="2:14" ht="19.5" customHeight="1">
      <c r="B77" s="573" t="s">
        <v>1659</v>
      </c>
      <c r="C77" s="228">
        <f t="shared" si="0"/>
        <v>0</v>
      </c>
      <c r="D77" s="574">
        <f t="shared" si="5"/>
        <v>0</v>
      </c>
      <c r="E77" s="575">
        <f t="shared" si="5"/>
        <v>0</v>
      </c>
      <c r="F77" s="441">
        <f t="shared" si="1"/>
        <v>0</v>
      </c>
      <c r="G77" s="229"/>
      <c r="H77" s="576"/>
      <c r="I77" s="441">
        <f t="shared" si="2"/>
        <v>0</v>
      </c>
      <c r="J77" s="229"/>
      <c r="K77" s="576"/>
      <c r="L77" s="441">
        <f t="shared" si="3"/>
        <v>0</v>
      </c>
      <c r="M77" s="229"/>
      <c r="N77" s="276"/>
    </row>
    <row r="78" spans="2:14" ht="19.5" customHeight="1">
      <c r="B78" s="573" t="s">
        <v>2614</v>
      </c>
      <c r="C78" s="228">
        <f t="shared" si="0"/>
        <v>0</v>
      </c>
      <c r="D78" s="574">
        <f t="shared" si="5"/>
        <v>0</v>
      </c>
      <c r="E78" s="575">
        <f t="shared" si="5"/>
        <v>0</v>
      </c>
      <c r="F78" s="441">
        <f t="shared" si="1"/>
        <v>0</v>
      </c>
      <c r="G78" s="229"/>
      <c r="H78" s="576"/>
      <c r="I78" s="441">
        <f t="shared" si="2"/>
        <v>0</v>
      </c>
      <c r="J78" s="229"/>
      <c r="K78" s="576"/>
      <c r="L78" s="441">
        <f t="shared" si="3"/>
        <v>0</v>
      </c>
      <c r="M78" s="229"/>
      <c r="N78" s="276"/>
    </row>
    <row r="79" spans="2:14" ht="19.5" customHeight="1">
      <c r="B79" s="573" t="s">
        <v>2615</v>
      </c>
      <c r="C79" s="228">
        <f t="shared" si="0"/>
        <v>0</v>
      </c>
      <c r="D79" s="574">
        <f t="shared" si="5"/>
        <v>0</v>
      </c>
      <c r="E79" s="575">
        <f t="shared" si="5"/>
        <v>0</v>
      </c>
      <c r="F79" s="441">
        <f t="shared" si="1"/>
        <v>0</v>
      </c>
      <c r="G79" s="229"/>
      <c r="H79" s="576"/>
      <c r="I79" s="441">
        <f t="shared" si="2"/>
        <v>0</v>
      </c>
      <c r="J79" s="229"/>
      <c r="K79" s="576"/>
      <c r="L79" s="441">
        <f t="shared" si="3"/>
        <v>0</v>
      </c>
      <c r="M79" s="229"/>
      <c r="N79" s="276"/>
    </row>
    <row r="80" spans="2:14" ht="19.5" customHeight="1">
      <c r="B80" s="573" t="s">
        <v>2535</v>
      </c>
      <c r="C80" s="228">
        <f t="shared" si="0"/>
        <v>0</v>
      </c>
      <c r="D80" s="574">
        <f t="shared" si="5"/>
        <v>0</v>
      </c>
      <c r="E80" s="575">
        <f t="shared" si="5"/>
        <v>0</v>
      </c>
      <c r="F80" s="441">
        <f t="shared" si="1"/>
        <v>0</v>
      </c>
      <c r="G80" s="229"/>
      <c r="H80" s="576"/>
      <c r="I80" s="441">
        <f t="shared" si="2"/>
        <v>0</v>
      </c>
      <c r="J80" s="229"/>
      <c r="K80" s="576"/>
      <c r="L80" s="441">
        <f t="shared" si="3"/>
        <v>0</v>
      </c>
      <c r="M80" s="229"/>
      <c r="N80" s="276"/>
    </row>
    <row r="81" spans="2:14" ht="19.5" customHeight="1" thickBot="1">
      <c r="B81" s="580" t="s">
        <v>1660</v>
      </c>
      <c r="C81" s="248">
        <f t="shared" si="0"/>
        <v>0</v>
      </c>
      <c r="D81" s="581">
        <f t="shared" si="5"/>
        <v>0</v>
      </c>
      <c r="E81" s="582">
        <f t="shared" si="5"/>
        <v>0</v>
      </c>
      <c r="F81" s="583">
        <f t="shared" si="1"/>
        <v>0</v>
      </c>
      <c r="G81" s="249"/>
      <c r="H81" s="584"/>
      <c r="I81" s="583">
        <f t="shared" si="2"/>
        <v>0</v>
      </c>
      <c r="J81" s="249"/>
      <c r="K81" s="584"/>
      <c r="L81" s="583">
        <f t="shared" si="3"/>
        <v>0</v>
      </c>
      <c r="M81" s="249"/>
      <c r="N81" s="295"/>
    </row>
    <row r="82" spans="2:14" ht="18.75" thickTop="1">
      <c r="B82" s="728" t="s">
        <v>290</v>
      </c>
      <c r="C82" s="585"/>
      <c r="D82" s="585"/>
      <c r="E82" s="585"/>
      <c r="F82" s="299"/>
      <c r="G82" s="299"/>
      <c r="H82" s="299"/>
      <c r="I82" s="299"/>
      <c r="J82" s="299"/>
      <c r="K82" s="299"/>
      <c r="L82" s="299"/>
      <c r="M82" s="299"/>
      <c r="N82" s="299"/>
    </row>
    <row r="83" spans="2:14">
      <c r="B83" s="810"/>
      <c r="C83" s="811"/>
      <c r="D83" s="811"/>
      <c r="E83" s="811"/>
      <c r="F83" s="811"/>
      <c r="G83" s="811"/>
      <c r="H83" s="811"/>
      <c r="I83" s="811"/>
      <c r="J83" s="811"/>
      <c r="K83" s="811"/>
      <c r="L83" s="811"/>
      <c r="M83" s="811"/>
      <c r="N83" s="812"/>
    </row>
    <row r="84" spans="2:14">
      <c r="B84" s="813"/>
      <c r="C84" s="814"/>
      <c r="D84" s="814"/>
      <c r="E84" s="814"/>
      <c r="F84" s="814"/>
      <c r="G84" s="814"/>
      <c r="H84" s="814"/>
      <c r="I84" s="814"/>
      <c r="J84" s="814"/>
      <c r="K84" s="814"/>
      <c r="L84" s="814"/>
      <c r="M84" s="814"/>
      <c r="N84" s="815"/>
    </row>
    <row r="85" spans="2:14">
      <c r="B85" s="813"/>
      <c r="C85" s="814"/>
      <c r="D85" s="814"/>
      <c r="E85" s="814"/>
      <c r="F85" s="814"/>
      <c r="G85" s="814"/>
      <c r="H85" s="814"/>
      <c r="I85" s="814"/>
      <c r="J85" s="814"/>
      <c r="K85" s="814"/>
      <c r="L85" s="814"/>
      <c r="M85" s="814"/>
      <c r="N85" s="815"/>
    </row>
    <row r="86" spans="2:14">
      <c r="B86" s="813"/>
      <c r="C86" s="814"/>
      <c r="D86" s="814"/>
      <c r="E86" s="814"/>
      <c r="F86" s="814"/>
      <c r="G86" s="814"/>
      <c r="H86" s="814"/>
      <c r="I86" s="814"/>
      <c r="J86" s="814"/>
      <c r="K86" s="814"/>
      <c r="L86" s="814"/>
      <c r="M86" s="814"/>
      <c r="N86" s="815"/>
    </row>
    <row r="87" spans="2:14">
      <c r="B87" s="816"/>
      <c r="C87" s="817"/>
      <c r="D87" s="817"/>
      <c r="E87" s="817"/>
      <c r="F87" s="817"/>
      <c r="G87" s="817"/>
      <c r="H87" s="817"/>
      <c r="I87" s="817"/>
      <c r="J87" s="817"/>
      <c r="K87" s="817"/>
      <c r="L87" s="817"/>
      <c r="M87" s="817"/>
      <c r="N87" s="818"/>
    </row>
  </sheetData>
  <sheetProtection algorithmName="SHA-512" hashValue="IvbHV5FUSP07/RAIdkxKHuWfJBtcCaeX2mbj3E3G5zSpppI6dV5JPjqPmQwhJj85/Qje/TLdIWnc27q4Xwv7CA==" saltValue="rH4JgQERK9IKvqZEwYlzjg==" spinCount="100000" sheet="1" objects="1" scenarios="1"/>
  <sortState ref="B57:B63">
    <sortCondition ref="B57"/>
  </sortState>
  <mergeCells count="9">
    <mergeCell ref="M1:N1"/>
    <mergeCell ref="O6:P10"/>
    <mergeCell ref="B83:N87"/>
    <mergeCell ref="B3:B5"/>
    <mergeCell ref="C3:E4"/>
    <mergeCell ref="F3:N3"/>
    <mergeCell ref="F4:H4"/>
    <mergeCell ref="I4:K4"/>
    <mergeCell ref="L4:N4"/>
  </mergeCells>
  <conditionalFormatting sqref="I44 L44 C44:F44">
    <cfRule type="cellIs" dxfId="245" priority="61" operator="equal">
      <formula>0</formula>
    </cfRule>
  </conditionalFormatting>
  <conditionalFormatting sqref="C44:N44">
    <cfRule type="cellIs" dxfId="244" priority="60" operator="equal">
      <formula>0</formula>
    </cfRule>
  </conditionalFormatting>
  <conditionalFormatting sqref="I73 L73 C73:F73">
    <cfRule type="cellIs" dxfId="243" priority="59" operator="equal">
      <formula>0</formula>
    </cfRule>
  </conditionalFormatting>
  <conditionalFormatting sqref="C73:N73">
    <cfRule type="cellIs" dxfId="242" priority="58" operator="equal">
      <formula>0</formula>
    </cfRule>
  </conditionalFormatting>
  <conditionalFormatting sqref="I8 L8 C6:N6 C8:F8">
    <cfRule type="cellIs" dxfId="241" priority="67" operator="equal">
      <formula>0</formula>
    </cfRule>
  </conditionalFormatting>
  <conditionalFormatting sqref="B44">
    <cfRule type="cellIs" dxfId="240" priority="65" operator="equal">
      <formula>0</formula>
    </cfRule>
  </conditionalFormatting>
  <conditionalFormatting sqref="B73">
    <cfRule type="cellIs" dxfId="239" priority="64" operator="equal">
      <formula>0</formula>
    </cfRule>
  </conditionalFormatting>
  <conditionalFormatting sqref="B73">
    <cfRule type="cellIs" dxfId="238" priority="63" operator="equal">
      <formula>0</formula>
    </cfRule>
  </conditionalFormatting>
  <conditionalFormatting sqref="C8:N8">
    <cfRule type="cellIs" dxfId="237" priority="62" operator="equal">
      <formula>0</formula>
    </cfRule>
  </conditionalFormatting>
  <conditionalFormatting sqref="C7:N7">
    <cfRule type="cellIs" dxfId="236" priority="51" operator="equal">
      <formula>0</formula>
    </cfRule>
  </conditionalFormatting>
  <conditionalFormatting sqref="C81:E81 C74:E79">
    <cfRule type="cellIs" dxfId="235" priority="35" operator="equal">
      <formula>0</formula>
    </cfRule>
  </conditionalFormatting>
  <conditionalFormatting sqref="L81 I81 F81 F74:F79 I74:I79 L74:L79">
    <cfRule type="cellIs" dxfId="234" priority="34" operator="equal">
      <formula>0</formula>
    </cfRule>
  </conditionalFormatting>
  <conditionalFormatting sqref="C80:E80">
    <cfRule type="cellIs" dxfId="233" priority="33" operator="equal">
      <formula>0</formula>
    </cfRule>
  </conditionalFormatting>
  <conditionalFormatting sqref="F80 I80 L80">
    <cfRule type="cellIs" dxfId="232" priority="32" operator="equal">
      <formula>0</formula>
    </cfRule>
  </conditionalFormatting>
  <conditionalFormatting sqref="I51:I59 L51:L59 C51:F59 C61:F62 L61:L62 I61:I62 C47:F48 I47:I48 L47:L48 C45:F45 I45 L45">
    <cfRule type="cellIs" dxfId="231" priority="30" operator="equal">
      <formula>0</formula>
    </cfRule>
  </conditionalFormatting>
  <conditionalFormatting sqref="C64:F64 L64 I64">
    <cfRule type="cellIs" dxfId="230" priority="29" operator="equal">
      <formula>0</formula>
    </cfRule>
  </conditionalFormatting>
  <conditionalFormatting sqref="I71 L71 C71:F71">
    <cfRule type="cellIs" dxfId="229" priority="28" operator="equal">
      <formula>0</formula>
    </cfRule>
  </conditionalFormatting>
  <conditionalFormatting sqref="I70 L70 C70:F70">
    <cfRule type="cellIs" dxfId="228" priority="27" operator="equal">
      <formula>0</formula>
    </cfRule>
  </conditionalFormatting>
  <conditionalFormatting sqref="I65:I68 L65:L68 C65:F68 C72:F72 L72 I72">
    <cfRule type="cellIs" dxfId="227" priority="31" operator="equal">
      <formula>0</formula>
    </cfRule>
  </conditionalFormatting>
  <conditionalFormatting sqref="I50 L50 C50:F50">
    <cfRule type="cellIs" dxfId="226" priority="26" operator="equal">
      <formula>0</formula>
    </cfRule>
  </conditionalFormatting>
  <conditionalFormatting sqref="I63 L63 C63:F63">
    <cfRule type="cellIs" dxfId="225" priority="25" operator="equal">
      <formula>0</formula>
    </cfRule>
  </conditionalFormatting>
  <conditionalFormatting sqref="I69 L69 C69:F69">
    <cfRule type="cellIs" dxfId="224" priority="24" operator="equal">
      <formula>0</formula>
    </cfRule>
  </conditionalFormatting>
  <conditionalFormatting sqref="C60:F60 L60 I60">
    <cfRule type="cellIs" dxfId="223" priority="23" operator="equal">
      <formula>0</formula>
    </cfRule>
  </conditionalFormatting>
  <conditionalFormatting sqref="I49 L49 C49:F49">
    <cfRule type="cellIs" dxfId="222" priority="22" operator="equal">
      <formula>0</formula>
    </cfRule>
  </conditionalFormatting>
  <conditionalFormatting sqref="C46:F46 I46 L46">
    <cfRule type="cellIs" dxfId="221" priority="21" operator="equal">
      <formula>0</formula>
    </cfRule>
  </conditionalFormatting>
  <conditionalFormatting sqref="L28:L29 I28:I29 C28:F29 L37:L39 I37:I39 C37:F39 C43:F43 I43 L43 C41:F41 I41 L41 C31:F33 I31:I33 L31:L33">
    <cfRule type="cellIs" dxfId="220" priority="18" operator="equal">
      <formula>0</formula>
    </cfRule>
  </conditionalFormatting>
  <conditionalFormatting sqref="L13 I13 C13:F13">
    <cfRule type="cellIs" dxfId="219" priority="17" operator="equal">
      <formula>0</formula>
    </cfRule>
  </conditionalFormatting>
  <conditionalFormatting sqref="L21 I21 C21:F21">
    <cfRule type="cellIs" dxfId="218" priority="16" operator="equal">
      <formula>0</formula>
    </cfRule>
  </conditionalFormatting>
  <conditionalFormatting sqref="I9 L9 C9:F9 L12 I12 C12:F12 L14 I14 C14:F14 C23:F23 I23 L23 C17:F20 I17:I20 L17:L20 C11:E11">
    <cfRule type="cellIs" dxfId="217" priority="20" operator="equal">
      <formula>0</formula>
    </cfRule>
  </conditionalFormatting>
  <conditionalFormatting sqref="L11 I11 F11">
    <cfRule type="cellIs" dxfId="216" priority="19" operator="equal">
      <formula>0</formula>
    </cfRule>
  </conditionalFormatting>
  <conditionalFormatting sqref="C35:F35 I35 L35">
    <cfRule type="cellIs" dxfId="215" priority="15" operator="equal">
      <formula>0</formula>
    </cfRule>
  </conditionalFormatting>
  <conditionalFormatting sqref="L25 I25 C25:F25">
    <cfRule type="cellIs" dxfId="214" priority="14" operator="equal">
      <formula>0</formula>
    </cfRule>
  </conditionalFormatting>
  <conditionalFormatting sqref="L26 I26 C26:F26">
    <cfRule type="cellIs" dxfId="213" priority="13" operator="equal">
      <formula>0</formula>
    </cfRule>
  </conditionalFormatting>
  <conditionalFormatting sqref="C16:F16 I16 L16">
    <cfRule type="cellIs" dxfId="212" priority="12" operator="equal">
      <formula>0</formula>
    </cfRule>
  </conditionalFormatting>
  <conditionalFormatting sqref="C36:F36 I36 L36">
    <cfRule type="cellIs" dxfId="211" priority="11" operator="equal">
      <formula>0</formula>
    </cfRule>
  </conditionalFormatting>
  <conditionalFormatting sqref="C10:E10">
    <cfRule type="cellIs" dxfId="210" priority="10" operator="equal">
      <formula>0</formula>
    </cfRule>
  </conditionalFormatting>
  <conditionalFormatting sqref="F10 I10 L10">
    <cfRule type="cellIs" dxfId="209" priority="9" operator="equal">
      <formula>0</formula>
    </cfRule>
  </conditionalFormatting>
  <conditionalFormatting sqref="L34 I34 C34:F34">
    <cfRule type="cellIs" dxfId="208" priority="8" operator="equal">
      <formula>0</formula>
    </cfRule>
  </conditionalFormatting>
  <conditionalFormatting sqref="C22:F22 I22 L22">
    <cfRule type="cellIs" dxfId="207" priority="7" operator="equal">
      <formula>0</formula>
    </cfRule>
  </conditionalFormatting>
  <conditionalFormatting sqref="C42:F42 I42 L42">
    <cfRule type="cellIs" dxfId="206" priority="6" operator="equal">
      <formula>0</formula>
    </cfRule>
  </conditionalFormatting>
  <conditionalFormatting sqref="C40:F40 I40 L40">
    <cfRule type="cellIs" dxfId="205" priority="5" operator="equal">
      <formula>0</formula>
    </cfRule>
  </conditionalFormatting>
  <conditionalFormatting sqref="C30:F30 I30 L30">
    <cfRule type="cellIs" dxfId="204" priority="4" operator="equal">
      <formula>0</formula>
    </cfRule>
  </conditionalFormatting>
  <conditionalFormatting sqref="L27 I27 C27:F27">
    <cfRule type="cellIs" dxfId="203" priority="3" operator="equal">
      <formula>0</formula>
    </cfRule>
  </conditionalFormatting>
  <conditionalFormatting sqref="C24:F24 I24 L24">
    <cfRule type="cellIs" dxfId="202" priority="2" operator="equal">
      <formula>0</formula>
    </cfRule>
  </conditionalFormatting>
  <conditionalFormatting sqref="C15:F15 I15 L15">
    <cfRule type="cellIs" dxfId="201" priority="1" operator="equal">
      <formula>0</formula>
    </cfRule>
  </conditionalFormatting>
  <dataValidations count="2">
    <dataValidation type="whole" operator="greaterThanOrEqual" allowBlank="1" showInputMessage="1" showErrorMessage="1" sqref="C6:N6 C73:N73 C8:N8 C44:N44">
      <formula1>0</formula1>
    </dataValidation>
    <dataValidation type="whole" operator="greaterThanOrEqual" allowBlank="1" showInputMessage="1" showErrorMessage="1" sqref="C74:N81 C45:N72 C9:N43">
      <formula1>0</formula1>
    </dataValidation>
  </dataValidations>
  <printOptions horizontalCentered="1" verticalCentered="1"/>
  <pageMargins left="0" right="0.15748031496062992" top="0.23622047244094491" bottom="7.874015748031496E-2" header="0.19685039370078741" footer="7.874015748031496E-2"/>
  <pageSetup scale="69" fitToHeight="0" orientation="landscape" r:id="rId1"/>
  <headerFooter scaleWithDoc="0">
    <oddFooter>&amp;R&amp;"Goudy,Negrita Cursiva"Técnica Diurna&amp;"Goudy,Cursiva", página 6-7</oddFooter>
  </headerFooter>
  <rowBreaks count="1" manualBreakCount="1">
    <brk id="43" min="1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B1:H39"/>
  <sheetViews>
    <sheetView showGridLines="0" zoomScale="90" zoomScaleNormal="90" workbookViewId="0"/>
  </sheetViews>
  <sheetFormatPr baseColWidth="10" defaultRowHeight="14.25"/>
  <cols>
    <col min="1" max="1" width="5.7109375" style="526" customWidth="1"/>
    <col min="2" max="2" width="83.28515625" style="526" customWidth="1"/>
    <col min="3" max="3" width="8.28515625" style="526" customWidth="1"/>
    <col min="4" max="4" width="4.28515625" style="526" customWidth="1"/>
    <col min="5" max="5" width="5.28515625" style="535" customWidth="1"/>
    <col min="6" max="6" width="12.28515625" style="526" customWidth="1"/>
    <col min="7" max="8" width="16.28515625" style="526" customWidth="1"/>
    <col min="9" max="16384" width="11.42578125" style="526"/>
  </cols>
  <sheetData>
    <row r="1" spans="2:8" ht="18" customHeight="1">
      <c r="B1" s="672" t="s">
        <v>880</v>
      </c>
      <c r="E1" s="805" t="str">
        <f>+Portada!$M$2</f>
        <v/>
      </c>
      <c r="F1" s="806"/>
      <c r="G1" s="739"/>
      <c r="H1" s="739"/>
    </row>
    <row r="2" spans="2:8" ht="18">
      <c r="B2" s="101" t="s">
        <v>1735</v>
      </c>
      <c r="C2" s="527"/>
      <c r="D2" s="527"/>
      <c r="E2" s="528"/>
      <c r="F2" s="527"/>
      <c r="G2" s="212"/>
      <c r="H2" s="212"/>
    </row>
    <row r="3" spans="2:8" ht="18.75" thickBot="1">
      <c r="B3" s="101" t="s">
        <v>2550</v>
      </c>
      <c r="C3" s="142"/>
      <c r="D3" s="142"/>
      <c r="E3" s="529"/>
      <c r="F3" s="142"/>
      <c r="G3" s="212"/>
      <c r="H3" s="212"/>
    </row>
    <row r="4" spans="2:8" ht="19.5" customHeight="1" thickTop="1">
      <c r="B4" s="822" t="s">
        <v>817</v>
      </c>
      <c r="C4" s="822"/>
      <c r="D4" s="709"/>
      <c r="E4" s="530"/>
      <c r="F4" s="872" t="s">
        <v>815</v>
      </c>
      <c r="G4" s="212"/>
      <c r="H4" s="212"/>
    </row>
    <row r="5" spans="2:8" s="533" customFormat="1" ht="20.25" customHeight="1" thickBot="1">
      <c r="B5" s="823"/>
      <c r="C5" s="823"/>
      <c r="D5" s="710"/>
      <c r="E5" s="531"/>
      <c r="F5" s="873"/>
      <c r="G5" s="532"/>
      <c r="H5" s="532"/>
    </row>
    <row r="6" spans="2:8" s="535" customFormat="1" ht="22.5" customHeight="1" thickTop="1">
      <c r="B6" s="874" t="s">
        <v>182</v>
      </c>
      <c r="C6" s="874"/>
      <c r="D6" s="874"/>
      <c r="E6" s="875"/>
      <c r="F6" s="534">
        <f>SUM(F7:F32)</f>
        <v>0</v>
      </c>
      <c r="G6" s="857" t="str">
        <f>IF($F$6='CUADRO 1'!D6,"","¡VERIFICAR!.  El total no coincide con el total del Cuadro 1.")</f>
        <v/>
      </c>
      <c r="H6" s="857"/>
    </row>
    <row r="7" spans="2:8" s="535" customFormat="1" ht="16.5" customHeight="1">
      <c r="B7" s="536"/>
      <c r="C7" s="62" t="str">
        <f>IFERROR(VLOOKUP(B7,ubicac,2,0),"")</f>
        <v/>
      </c>
      <c r="D7" s="719"/>
      <c r="E7" s="537" t="str">
        <f t="shared" ref="E7:E12" si="0">IF(AND(OR(F7&gt;0),(B7="")),"*",IF(AND(B7&lt;&gt;"",(F7=0)),"***",""))</f>
        <v/>
      </c>
      <c r="F7" s="538"/>
      <c r="G7" s="857"/>
      <c r="H7" s="857"/>
    </row>
    <row r="8" spans="2:8" s="535" customFormat="1" ht="16.5" customHeight="1">
      <c r="B8" s="539"/>
      <c r="C8" s="540" t="str">
        <f t="shared" ref="C8:C32" si="1">IFERROR(VLOOKUP(B8,ubicac,2,0),"")</f>
        <v/>
      </c>
      <c r="D8" s="497" t="str">
        <f>IF(C8="","",IF(OR(C8=C7),"R",""))</f>
        <v/>
      </c>
      <c r="E8" s="541" t="str">
        <f t="shared" si="0"/>
        <v/>
      </c>
      <c r="F8" s="542"/>
      <c r="G8" s="857"/>
      <c r="H8" s="857"/>
    </row>
    <row r="9" spans="2:8" s="535" customFormat="1" ht="16.5" customHeight="1">
      <c r="B9" s="539"/>
      <c r="C9" s="540" t="str">
        <f t="shared" si="1"/>
        <v/>
      </c>
      <c r="D9" s="497" t="str">
        <f>IF(C9="","",IF(OR(C9=C8,C9=C7),"R",""))</f>
        <v/>
      </c>
      <c r="E9" s="541" t="str">
        <f t="shared" si="0"/>
        <v/>
      </c>
      <c r="F9" s="542"/>
      <c r="G9" s="543"/>
      <c r="H9" s="543"/>
    </row>
    <row r="10" spans="2:8" s="535" customFormat="1" ht="16.5" customHeight="1">
      <c r="B10" s="539"/>
      <c r="C10" s="540" t="str">
        <f t="shared" si="1"/>
        <v/>
      </c>
      <c r="D10" s="497" t="str">
        <f>IF(C10="","",IF(OR(C10=C9,C10=C8,C10=C7),"R",""))</f>
        <v/>
      </c>
      <c r="E10" s="541" t="str">
        <f t="shared" si="0"/>
        <v/>
      </c>
      <c r="F10" s="542"/>
      <c r="G10" s="871" t="str">
        <f>IF(OR(E7="*",E8="*",E9="*",E10="*",E11="*",E12="*",E13="*",E14="*",E15="*",E16="*",E17="*",E18="*",E19="*",E20="*",E21="*",E22="*",E23="*",E24="*",E25="*",E26="*",E27="*",E28="*",E29="*",E30="*",E31="*",E32="*"),"* No ha seleccionado Provincia/Cantón/Distrito","")</f>
        <v/>
      </c>
      <c r="H10" s="871"/>
    </row>
    <row r="11" spans="2:8" s="535" customFormat="1" ht="16.5" customHeight="1">
      <c r="B11" s="539"/>
      <c r="C11" s="540" t="str">
        <f t="shared" si="1"/>
        <v/>
      </c>
      <c r="D11" s="497" t="str">
        <f>IF(C11="","",IF(OR(C11=C10,C11=C9,C11=C8,C11=C7),"R",""))</f>
        <v/>
      </c>
      <c r="E11" s="544" t="str">
        <f t="shared" si="0"/>
        <v/>
      </c>
      <c r="F11" s="542"/>
      <c r="G11" s="871"/>
      <c r="H11" s="871"/>
    </row>
    <row r="12" spans="2:8" s="535" customFormat="1" ht="16.5" customHeight="1">
      <c r="B12" s="539"/>
      <c r="C12" s="540" t="str">
        <f t="shared" si="1"/>
        <v/>
      </c>
      <c r="D12" s="497" t="str">
        <f>IF(C12="","",IF(OR(C12=C11,C12=C10,C12=C9,C12=C8,C12=C7),"R",""))</f>
        <v/>
      </c>
      <c r="E12" s="541" t="str">
        <f t="shared" si="0"/>
        <v/>
      </c>
      <c r="F12" s="542"/>
      <c r="G12" s="871"/>
      <c r="H12" s="871"/>
    </row>
    <row r="13" spans="2:8" s="535" customFormat="1" ht="16.5" customHeight="1">
      <c r="B13" s="539"/>
      <c r="C13" s="540" t="str">
        <f t="shared" si="1"/>
        <v/>
      </c>
      <c r="D13" s="497" t="str">
        <f>IF(C13="","",IF(OR(C13=C12,C13=C11,C13=C10,C13=C9,C13=C8,C13=C7),"R",""))</f>
        <v/>
      </c>
      <c r="E13" s="541" t="str">
        <f>IF(AND(OR(F13&gt;0),(B13="")),"*",IF(AND(B13&lt;&gt;"",(F13=0)),"***",""))</f>
        <v/>
      </c>
      <c r="F13" s="542"/>
      <c r="H13" s="680"/>
    </row>
    <row r="14" spans="2:8" s="535" customFormat="1" ht="16.5" customHeight="1">
      <c r="B14" s="539"/>
      <c r="C14" s="540" t="str">
        <f t="shared" si="1"/>
        <v/>
      </c>
      <c r="D14" s="497" t="str">
        <f>IF(C14="","",IF(OR(C14=C13,C14=C12,C14=C11,C14=C10,C14=C9,C14=C8,C14=C7),"R",""))</f>
        <v/>
      </c>
      <c r="E14" s="541" t="str">
        <f t="shared" ref="E14:E32" si="2">IF(AND(OR(F14&gt;0),(B14="")),"*",IF(AND(B14&lt;&gt;"",(F14=0)),"***",""))</f>
        <v/>
      </c>
      <c r="F14" s="542"/>
      <c r="G14" s="876" t="str">
        <f>IF(OR(E7="***",E8="***",E9="***",E10="***",E11="***",E12="***",E13="***",E14="***",E15="***",E16="***",E17="***",E18="***",E19="***",E20="***",E21="***",E22="***",E23="***",E24="***",E25="***",E26="***",E27="***",E28="***",E29="***",E30="***",E31="***",E32="***"),"*** Digite la matrícula","")</f>
        <v/>
      </c>
      <c r="H14" s="876"/>
    </row>
    <row r="15" spans="2:8" s="535" customFormat="1" ht="16.5" customHeight="1">
      <c r="B15" s="539"/>
      <c r="C15" s="540" t="str">
        <f t="shared" si="1"/>
        <v/>
      </c>
      <c r="D15" s="497" t="str">
        <f>IF(C15="","",IF(OR(C15=C14,C15=C13,C15=C12,C15=C11,C15=C10,C15=C9,C15=C8,C15=C7),"R",""))</f>
        <v/>
      </c>
      <c r="E15" s="541" t="str">
        <f t="shared" si="2"/>
        <v/>
      </c>
      <c r="F15" s="542"/>
      <c r="G15" s="876"/>
      <c r="H15" s="876"/>
    </row>
    <row r="16" spans="2:8" s="535" customFormat="1" ht="16.5" customHeight="1">
      <c r="B16" s="539"/>
      <c r="C16" s="540" t="str">
        <f t="shared" si="1"/>
        <v/>
      </c>
      <c r="D16" s="497" t="str">
        <f>IF(C16="","",IF(OR(C16=C15,C16=C14,C16=C13,C16=C12,C16=C11,C16=C10,C16=C9,C16=C8,C16=C7),"R",""))</f>
        <v/>
      </c>
      <c r="E16" s="541" t="str">
        <f t="shared" si="2"/>
        <v/>
      </c>
      <c r="F16" s="542"/>
      <c r="G16" s="545"/>
      <c r="H16" s="545"/>
    </row>
    <row r="17" spans="2:8" s="535" customFormat="1" ht="16.5" customHeight="1">
      <c r="B17" s="539"/>
      <c r="C17" s="540" t="str">
        <f t="shared" si="1"/>
        <v/>
      </c>
      <c r="D17" s="497" t="str">
        <f>IF(C17="","",IF(OR(C17=C16,C17=C15,C17=C14,C17=C13,C17=C12,C17=C11,C17=C10,C17=C9,C17=C8,C17=C7),"R",""))</f>
        <v/>
      </c>
      <c r="E17" s="541" t="str">
        <f t="shared" si="2"/>
        <v/>
      </c>
      <c r="F17" s="542"/>
      <c r="G17" s="876" t="str">
        <f>IF(OR(D7="R",D8="R",D9="R",D10="R",D11="R",D12="R",D13="R",D14="R",D15="R",D16="R",D17="R",D18="R",D19="R",D20="R",D21="R",D22="R",D23="R",D24="R",D25="R",D26="R",D27="R",D28="R",D29="R",D30="R",D31="R",D32="R"),"R = Líneas repetidas","")</f>
        <v/>
      </c>
      <c r="H17" s="876"/>
    </row>
    <row r="18" spans="2:8" s="535" customFormat="1" ht="16.5" customHeight="1">
      <c r="B18" s="539"/>
      <c r="C18" s="540" t="str">
        <f t="shared" si="1"/>
        <v/>
      </c>
      <c r="D18" s="497" t="str">
        <f>IF(C18="","",IF(OR(C18=C17,C18=C16,C18=C15,C18=C14,C18=C13,C18=C12,C18=C11,C18=C10,C18=C9,C18=C8,C18=C7),"R",""))</f>
        <v/>
      </c>
      <c r="E18" s="541" t="str">
        <f t="shared" si="2"/>
        <v/>
      </c>
      <c r="F18" s="542"/>
      <c r="G18" s="876"/>
      <c r="H18" s="876"/>
    </row>
    <row r="19" spans="2:8" s="535" customFormat="1" ht="16.5" customHeight="1">
      <c r="B19" s="539"/>
      <c r="C19" s="540" t="str">
        <f t="shared" si="1"/>
        <v/>
      </c>
      <c r="D19" s="497" t="str">
        <f>IF(C19="","",IF(OR(C19=C18,C19=C17,C19=C16,C19=C15,C19=C14,C19=C13,C19=C12,C19=C11,C19=C10,C19=C9,C19=C8,C19=C7),"R",""))</f>
        <v/>
      </c>
      <c r="E19" s="541" t="str">
        <f t="shared" si="2"/>
        <v/>
      </c>
      <c r="F19" s="542"/>
      <c r="G19" s="546"/>
      <c r="H19" s="546"/>
    </row>
    <row r="20" spans="2:8" s="535" customFormat="1" ht="16.5" customHeight="1">
      <c r="B20" s="539"/>
      <c r="C20" s="540" t="str">
        <f t="shared" si="1"/>
        <v/>
      </c>
      <c r="D20" s="497" t="str">
        <f>IF(C20="","",IF(OR(C20=C19,C20=C18,C20=C17,C20=C16,C20=C15,C20=C14,C20=C13,C20=C12,C20=C11,C20=C10,C20=C9,C20=C8,C20=C7),"R",""))</f>
        <v/>
      </c>
      <c r="E20" s="541" t="str">
        <f t="shared" si="2"/>
        <v/>
      </c>
      <c r="F20" s="542"/>
      <c r="G20" s="547"/>
      <c r="H20" s="547"/>
    </row>
    <row r="21" spans="2:8" s="535" customFormat="1" ht="16.5" customHeight="1">
      <c r="B21" s="539"/>
      <c r="C21" s="540" t="str">
        <f t="shared" si="1"/>
        <v/>
      </c>
      <c r="D21" s="497" t="str">
        <f>IF(C21="","",IF(OR(C21=C20,C21=C19,C21=C18,C21=C17,C21=C16,C21=C15,C21=C14,C21=C13,C21=C12,C21=C11,C21=C10,C21=C9,C21=C8,C21=C7),"R",""))</f>
        <v/>
      </c>
      <c r="E21" s="541" t="str">
        <f t="shared" si="2"/>
        <v/>
      </c>
      <c r="F21" s="542"/>
      <c r="G21" s="546"/>
      <c r="H21" s="546"/>
    </row>
    <row r="22" spans="2:8" s="535" customFormat="1" ht="16.5" customHeight="1">
      <c r="B22" s="539"/>
      <c r="C22" s="540" t="str">
        <f t="shared" si="1"/>
        <v/>
      </c>
      <c r="D22" s="497" t="str">
        <f>IF(C22="","",IF(OR(C22=C21,C22=C20,C22=C19,C22=C18,C22=C17,C22=C16,C22=C15,C22=C14,C22=C13,C22=C12,C22=C11,C22=C10,C22=C9,C22=C8,C22=C7),"R",""))</f>
        <v/>
      </c>
      <c r="E22" s="541" t="str">
        <f t="shared" si="2"/>
        <v/>
      </c>
      <c r="F22" s="542"/>
      <c r="G22" s="546"/>
      <c r="H22" s="546"/>
    </row>
    <row r="23" spans="2:8" s="535" customFormat="1" ht="16.5" customHeight="1">
      <c r="B23" s="539"/>
      <c r="C23" s="540" t="str">
        <f t="shared" si="1"/>
        <v/>
      </c>
      <c r="D23" s="497" t="str">
        <f>IF(C23="","",IF(OR(C23=C22,C23=C21,C23=C20,C23=C19,C23=C18,C23=C17,C23=C16,C23=C15,C23=C14,C23=C13,C23=C12,C23=C11,C23=C10,C23=C9,C23=C8,C23=C7),"R",""))</f>
        <v/>
      </c>
      <c r="E23" s="541" t="str">
        <f t="shared" si="2"/>
        <v/>
      </c>
      <c r="F23" s="542"/>
      <c r="G23" s="546"/>
      <c r="H23" s="546"/>
    </row>
    <row r="24" spans="2:8" s="535" customFormat="1" ht="16.5" customHeight="1">
      <c r="B24" s="539"/>
      <c r="C24" s="540" t="str">
        <f t="shared" si="1"/>
        <v/>
      </c>
      <c r="D24" s="497" t="str">
        <f>IF(C24="","",IF(OR(C24=C23,C24=C22,C24=C21,C24=C20,C24=C19,C24=C18,C24=C17,C24=C16,C24=C15,C24=C14,C24=C13,C24=C12,C24=C11,C24=C10,C24=C9,C24=C8,C24=C7),"R",""))</f>
        <v/>
      </c>
      <c r="E24" s="541" t="str">
        <f t="shared" si="2"/>
        <v/>
      </c>
      <c r="F24" s="542"/>
      <c r="G24" s="546"/>
      <c r="H24" s="546"/>
    </row>
    <row r="25" spans="2:8" s="535" customFormat="1" ht="16.5" customHeight="1">
      <c r="B25" s="539"/>
      <c r="C25" s="540" t="str">
        <f t="shared" si="1"/>
        <v/>
      </c>
      <c r="D25" s="497" t="str">
        <f>IF(C25="","",IF(OR(C25=C24,C25=C23,C25=C22,C25=C21,C25=C20,C25=C19,C25=C18,C25=C17,C25=C16,C25=C15,C25=C14,C25=C13,C25=C12,C25=C11,C25=C10,C25=C9,C25=C8,C25=C7),"R",""))</f>
        <v/>
      </c>
      <c r="E25" s="541" t="str">
        <f t="shared" si="2"/>
        <v/>
      </c>
      <c r="F25" s="542"/>
      <c r="G25" s="546"/>
      <c r="H25" s="546"/>
    </row>
    <row r="26" spans="2:8" s="535" customFormat="1" ht="16.5" customHeight="1">
      <c r="B26" s="539"/>
      <c r="C26" s="540" t="str">
        <f t="shared" si="1"/>
        <v/>
      </c>
      <c r="D26" s="497" t="str">
        <f>IF(C26="","",IF(OR(C26=C25,C26=C24,C26=C23,C26=C22,C26=C21,C26=C20,C26=C19,C26=C18,C26=C17,C26=C16,C26=C15,C26=C14,C26=C13,C26=C12,C26=C11,C26=C10,C26=C9,C26=C8,C26=C7),"R",""))</f>
        <v/>
      </c>
      <c r="E26" s="541" t="str">
        <f t="shared" si="2"/>
        <v/>
      </c>
      <c r="F26" s="542"/>
      <c r="G26" s="546"/>
      <c r="H26" s="546"/>
    </row>
    <row r="27" spans="2:8" s="535" customFormat="1" ht="16.5" customHeight="1">
      <c r="B27" s="539"/>
      <c r="C27" s="540" t="str">
        <f t="shared" si="1"/>
        <v/>
      </c>
      <c r="D27" s="497" t="str">
        <f>IF(C27="","",IF(OR(C27=C26,C27=C25,C27=C24,C27=C23,C27=C22,C27=C21,C27=C20,C27=C19,C27=C18,C27=C17,C27=C16,C27=C15,C27=C14,C27=C13,C27=C12,C27=C11,C27=C10,C27=C9,C27=C8,C27=C7),"R",""))</f>
        <v/>
      </c>
      <c r="E27" s="541" t="str">
        <f t="shared" si="2"/>
        <v/>
      </c>
      <c r="F27" s="542"/>
      <c r="G27" s="546"/>
      <c r="H27" s="546"/>
    </row>
    <row r="28" spans="2:8" s="535" customFormat="1" ht="16.5" customHeight="1">
      <c r="B28" s="539"/>
      <c r="C28" s="540" t="str">
        <f t="shared" si="1"/>
        <v/>
      </c>
      <c r="D28" s="497" t="str">
        <f>IF(C28="","",IF(OR(C28=C27,C28=C26,C28=C25,C28=C24,C28=C23,C28=C22,C28=C21,C28=C20,C28=C19,C28=C18,C28=C17,C28=C16,C28=C15,C28=C14,C28=C13,C28=C12,C28=C11,C28=C10,C28=C9,C28=C8,C28=C7),"R",""))</f>
        <v/>
      </c>
      <c r="E28" s="541" t="str">
        <f t="shared" si="2"/>
        <v/>
      </c>
      <c r="F28" s="542"/>
      <c r="G28" s="546"/>
      <c r="H28" s="546"/>
    </row>
    <row r="29" spans="2:8" ht="16.5" customHeight="1">
      <c r="B29" s="539"/>
      <c r="C29" s="540" t="str">
        <f t="shared" si="1"/>
        <v/>
      </c>
      <c r="D29" s="497" t="str">
        <f>IF(C29="","",IF(OR(C29=C28,C29=C27,C29=C26,C29=C25,C29=C24,C29=C23,C29=C22,C29=C21,C29=C20,C29=C19,C29=C18,C29=C17,C29=C16,C29=C15,C29=C14,C29=C13,C29=C12,C29=C11,C29=C10,C29=C9,C29=C8,C29=C7),"R",""))</f>
        <v/>
      </c>
      <c r="E29" s="541" t="str">
        <f t="shared" si="2"/>
        <v/>
      </c>
      <c r="F29" s="548"/>
      <c r="G29" s="549"/>
      <c r="H29" s="550"/>
    </row>
    <row r="30" spans="2:8" ht="16.5" customHeight="1">
      <c r="B30" s="539"/>
      <c r="C30" s="540" t="str">
        <f t="shared" si="1"/>
        <v/>
      </c>
      <c r="D30" s="497" t="str">
        <f>IF(C30="","",IF(OR(C30=C29,C30=C28,C30=C27,C30=C26,C30=C25,C30=C24,C30=C23,C30=C22,C30=C21,C30=C20,C30=C19,C30=C18,C30=C17,C30=C16,C30=C15,C30=C14,C30=C13,C30=C12,C30=C11,C30=C10,C30=C9,C30=C8,C30=C7),"R",""))</f>
        <v/>
      </c>
      <c r="E30" s="541" t="str">
        <f t="shared" si="2"/>
        <v/>
      </c>
      <c r="F30" s="548"/>
      <c r="G30" s="550"/>
      <c r="H30" s="550"/>
    </row>
    <row r="31" spans="2:8" ht="16.5" customHeight="1">
      <c r="B31" s="539"/>
      <c r="C31" s="540" t="str">
        <f t="shared" si="1"/>
        <v/>
      </c>
      <c r="D31" s="497" t="str">
        <f>IF(C31="","",IF(OR(C31=C30,C31=C29,C31=C28,C31=C27,C31=C26,C31=C25,C31=C24,C31=C23,C31=C22,C31=C21,C31=C20,C31=C19,C31=C18,C31=C17,C31=C16,C31=C15,C31=C14,C31=C13,C31=C12,C31=C11,C31=C10,C31=C9,C31=C8,C31=C7),"R",""))</f>
        <v/>
      </c>
      <c r="E31" s="541" t="str">
        <f t="shared" si="2"/>
        <v/>
      </c>
      <c r="F31" s="548"/>
      <c r="G31" s="550"/>
      <c r="H31" s="550"/>
    </row>
    <row r="32" spans="2:8" ht="16.5" customHeight="1" thickBot="1">
      <c r="B32" s="551"/>
      <c r="C32" s="552" t="str">
        <f t="shared" si="1"/>
        <v/>
      </c>
      <c r="D32" s="720" t="str">
        <f>IF(C32="","",IF(OR(C32=C31,C32=C30,C32=C29,C32=C28,C32=C27,C32=C26,C32=C25,C32=C24,C32=C23,C32=C22,C32=C21,C32=C20,C32=C19,C32=C18,C32=C17,C32=C16,C32=C15,C32=C14,C32=C13,C32=C12,C32=C11,C32=C10,C32=C9,C32=C8,C32=C7),"R",""))</f>
        <v/>
      </c>
      <c r="E32" s="553" t="str">
        <f t="shared" si="2"/>
        <v/>
      </c>
      <c r="F32" s="554"/>
      <c r="G32" s="550"/>
      <c r="H32" s="550"/>
    </row>
    <row r="33" spans="2:6" s="557" customFormat="1" ht="16.5" customHeight="1" thickTop="1">
      <c r="B33" s="162" t="s">
        <v>894</v>
      </c>
      <c r="C33" s="555"/>
      <c r="D33" s="555"/>
      <c r="E33" s="556"/>
      <c r="F33" s="556"/>
    </row>
    <row r="34" spans="2:6" s="557" customFormat="1" ht="16.5" customHeight="1">
      <c r="B34" s="558"/>
      <c r="C34" s="555"/>
      <c r="D34" s="555"/>
      <c r="E34" s="556"/>
      <c r="F34" s="556"/>
    </row>
    <row r="35" spans="2:6" ht="15.75">
      <c r="B35" s="523" t="s">
        <v>290</v>
      </c>
      <c r="C35" s="212"/>
      <c r="D35" s="212"/>
      <c r="E35" s="559"/>
      <c r="F35" s="212"/>
    </row>
    <row r="36" spans="2:6" ht="15" customHeight="1">
      <c r="B36" s="810"/>
      <c r="C36" s="811"/>
      <c r="D36" s="811"/>
      <c r="E36" s="811"/>
      <c r="F36" s="812"/>
    </row>
    <row r="37" spans="2:6" ht="15" customHeight="1">
      <c r="B37" s="813"/>
      <c r="C37" s="814"/>
      <c r="D37" s="814"/>
      <c r="E37" s="814"/>
      <c r="F37" s="815"/>
    </row>
    <row r="38" spans="2:6" ht="15" customHeight="1">
      <c r="B38" s="813"/>
      <c r="C38" s="814"/>
      <c r="D38" s="814"/>
      <c r="E38" s="814"/>
      <c r="F38" s="815"/>
    </row>
    <row r="39" spans="2:6" ht="18" customHeight="1">
      <c r="B39" s="816"/>
      <c r="C39" s="817"/>
      <c r="D39" s="817"/>
      <c r="E39" s="817"/>
      <c r="F39" s="818"/>
    </row>
  </sheetData>
  <sheetProtection sheet="1" objects="1" scenarios="1" insertRows="0" deleteRows="0"/>
  <mergeCells count="9">
    <mergeCell ref="E1:F1"/>
    <mergeCell ref="G10:H12"/>
    <mergeCell ref="B36:F39"/>
    <mergeCell ref="B4:C5"/>
    <mergeCell ref="F4:F5"/>
    <mergeCell ref="B6:E6"/>
    <mergeCell ref="G6:H8"/>
    <mergeCell ref="G14:H15"/>
    <mergeCell ref="G17:H18"/>
  </mergeCells>
  <conditionalFormatting sqref="F6">
    <cfRule type="cellIs" dxfId="200" priority="4" operator="equal">
      <formula>0</formula>
    </cfRule>
  </conditionalFormatting>
  <conditionalFormatting sqref="E7:E32">
    <cfRule type="cellIs" dxfId="199" priority="3" operator="equal">
      <formula>"Error!"</formula>
    </cfRule>
  </conditionalFormatting>
  <conditionalFormatting sqref="G14:H15 G10:H12 G6:H8">
    <cfRule type="notContainsBlanks" dxfId="198" priority="2">
      <formula>LEN(TRIM(G6))&gt;0</formula>
    </cfRule>
  </conditionalFormatting>
  <conditionalFormatting sqref="G17:H18">
    <cfRule type="notContainsBlanks" dxfId="197" priority="1">
      <formula>LEN(TRIM(G17))&gt;0</formula>
    </cfRule>
  </conditionalFormatting>
  <dataValidations count="2">
    <dataValidation type="list" allowBlank="1" showInputMessage="1" showErrorMessage="1" sqref="B7:B32">
      <formula1>ubic</formula1>
    </dataValidation>
    <dataValidation type="whole" operator="greaterThanOrEqual" allowBlank="1" showInputMessage="1" showErrorMessage="1" sqref="F6:F32">
      <formula1>0</formula1>
    </dataValidation>
  </dataValidations>
  <printOptions horizontalCentered="1" verticalCentered="1"/>
  <pageMargins left="0" right="0.17" top="0.23622047244094491" bottom="0.19685039370078741" header="0.43307086614173229" footer="0.19685039370078741"/>
  <pageSetup scale="88" orientation="landscape" r:id="rId1"/>
  <headerFooter scaleWithDoc="0">
    <oddFooter>&amp;R&amp;"Goudy,Negrita Cursiva"Técnica Diurna&amp;"Goudy,Cursiva", página 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26</vt:i4>
      </vt:variant>
    </vt:vector>
  </HeadingPairs>
  <TitlesOfParts>
    <vt:vector size="45" baseType="lpstr">
      <vt:lpstr>ubicacion</vt:lpstr>
      <vt:lpstr>Códigos Portada</vt:lpstr>
      <vt:lpstr>Portada</vt:lpstr>
      <vt:lpstr>CUADRO 1</vt:lpstr>
      <vt:lpstr>CUADRO 2</vt:lpstr>
      <vt:lpstr>CUADRO 3</vt:lpstr>
      <vt:lpstr>CUADRO 4</vt:lpstr>
      <vt:lpstr>CUADRO 5</vt:lpstr>
      <vt:lpstr>CUADRO 6</vt:lpstr>
      <vt:lpstr>CUADRO 7</vt:lpstr>
      <vt:lpstr>CUADRO 8</vt:lpstr>
      <vt:lpstr>CUADRO 9</vt:lpstr>
      <vt:lpstr>RenCT</vt:lpstr>
      <vt:lpstr>CUADRO 10</vt:lpstr>
      <vt:lpstr>CUADRO 11</vt:lpstr>
      <vt:lpstr>CUADRO 12</vt:lpstr>
      <vt:lpstr>CUADRO 13</vt:lpstr>
      <vt:lpstr>CUADRO 14</vt:lpstr>
      <vt:lpstr>CUADRO 15</vt:lpstr>
      <vt:lpstr>aplazados</vt:lpstr>
      <vt:lpstr>'CUADRO 1'!Área_de_impresión</vt:lpstr>
      <vt:lpstr>'CUADRO 10'!Área_de_impresión</vt:lpstr>
      <vt:lpstr>'CUADRO 11'!Área_de_impresión</vt:lpstr>
      <vt:lpstr>'CUADRO 12'!Área_de_impresión</vt:lpstr>
      <vt:lpstr>'CUADRO 13'!Área_de_impresión</vt:lpstr>
      <vt:lpstr>'CUADRO 14'!Área_de_impresión</vt:lpstr>
      <vt:lpstr>'CUADRO 15'!Área_de_impresión</vt:lpstr>
      <vt:lpstr>'CUADRO 2'!Área_de_impresión</vt:lpstr>
      <vt:lpstr>'CUADRO 3'!Área_de_impresión</vt:lpstr>
      <vt:lpstr>'CUADRO 4'!Área_de_impresión</vt:lpstr>
      <vt:lpstr>'CUADRO 5'!Área_de_impresión</vt:lpstr>
      <vt:lpstr>'CUADRO 6'!Área_de_impresión</vt:lpstr>
      <vt:lpstr>'CUADRO 7'!Área_de_impresión</vt:lpstr>
      <vt:lpstr>'CUADRO 8'!Área_de_impresión</vt:lpstr>
      <vt:lpstr>'CUADRO 9'!Área_de_impresión</vt:lpstr>
      <vt:lpstr>Portada!Área_de_impresión</vt:lpstr>
      <vt:lpstr>codigo</vt:lpstr>
      <vt:lpstr>datos</vt:lpstr>
      <vt:lpstr>MARCA</vt:lpstr>
      <vt:lpstr>prov</vt:lpstr>
      <vt:lpstr>SINO</vt:lpstr>
      <vt:lpstr>'CUADRO 5'!Títulos_a_imprimir</vt:lpstr>
      <vt:lpstr>'CUADRO 6'!Títulos_a_imprimir</vt:lpstr>
      <vt:lpstr>ubic</vt:lpstr>
      <vt:lpstr>ubicac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dbrenes</dc:creator>
  <cp:lastModifiedBy>Dixie Brenes Vindas</cp:lastModifiedBy>
  <cp:lastPrinted>2022-04-21T16:06:33Z</cp:lastPrinted>
  <dcterms:created xsi:type="dcterms:W3CDTF">2011-05-27T17:11:21Z</dcterms:created>
  <dcterms:modified xsi:type="dcterms:W3CDTF">2023-03-31T19:59:11Z</dcterms:modified>
</cp:coreProperties>
</file>