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23\Censo Escolar 2023--Informe INICIAL\FORMULARIOS\Colegios\"/>
    </mc:Choice>
  </mc:AlternateContent>
  <workbookProtection workbookAlgorithmName="SHA-512" workbookHashValue="83a9o23iHfPxGAkDwAURHCMiCFDWVU/5aXZ/TEXE7N31F/cioMCxcpk2QvNH6XcZu4u1fzUuuSolO9e1J4uQyw==" workbookSaltValue="SV09TubaK/6gtPDCaxiIsQ==" workbookSpinCount="100000" lockStructure="1"/>
  <bookViews>
    <workbookView xWindow="-45" yWindow="105" windowWidth="14415" windowHeight="8040" tabRatio="791" firstSheet="3" activeTab="3"/>
  </bookViews>
  <sheets>
    <sheet name="ubicacion" sheetId="80" state="hidden" r:id="rId1"/>
    <sheet name="Códigos Portada" sheetId="27" state="hidden" r:id="rId2"/>
    <sheet name="sincodigo" sheetId="82" state="hidden" r:id="rId3"/>
    <sheet name="Portada 1-con Código Presup." sheetId="12" r:id="rId4"/>
    <sheet name="Portada 2-sin Código Presup." sheetId="94" r:id="rId5"/>
    <sheet name="CUADRO 1" sheetId="96" r:id="rId6"/>
    <sheet name="CUADRO 2" sheetId="105" r:id="rId7"/>
    <sheet name="CUADRO 3" sheetId="61" r:id="rId8"/>
    <sheet name="CUADRO 4" sheetId="95" r:id="rId9"/>
    <sheet name="CUADRO 5" sheetId="99" r:id="rId10"/>
    <sheet name="CUADRO 6" sheetId="86" r:id="rId11"/>
    <sheet name="CUADRO 7" sheetId="87" r:id="rId12"/>
    <sheet name="CUADRO 8" sheetId="67" r:id="rId13"/>
    <sheet name="RenCT" sheetId="91" state="hidden" r:id="rId14"/>
    <sheet name="CUADRO 9" sheetId="90" r:id="rId15"/>
    <sheet name="CUADRO 10" sheetId="92" r:id="rId16"/>
    <sheet name="CUADRO 11" sheetId="76" r:id="rId17"/>
    <sheet name="CUADRO 12" sheetId="77" r:id="rId18"/>
    <sheet name="CUADRO 13" sheetId="78" r:id="rId19"/>
    <sheet name="CUADRO 14" sheetId="101" r:id="rId20"/>
    <sheet name="CUADRO 15" sheetId="102" r:id="rId21"/>
  </sheets>
  <definedNames>
    <definedName name="_xlnm._FilterDatabase" localSheetId="1" hidden="1">'Códigos Portada'!$A$2:$AI$470</definedName>
    <definedName name="_xlnm._FilterDatabase" localSheetId="13" hidden="1">RenCT!$A$2:$AH$700</definedName>
    <definedName name="_xlnm._FilterDatabase" localSheetId="2" hidden="1">sincodigo!$A$2:$AI$233</definedName>
    <definedName name="aplazados">RenCT!$A$3:$AH$700</definedName>
    <definedName name="_xlnm.Print_Area" localSheetId="5">'CUADRO 1'!$B$1:$N$34</definedName>
    <definedName name="_xlnm.Print_Area" localSheetId="15">'CUADRO 10'!$B$1:$W$33</definedName>
    <definedName name="_xlnm.Print_Area" localSheetId="16">'CUADRO 11'!$B$1:$I$17</definedName>
    <definedName name="_xlnm.Print_Area" localSheetId="17">'CUADRO 12'!$B$1:$J$42</definedName>
    <definedName name="_xlnm.Print_Area" localSheetId="18">'CUADRO 13'!$B$1:$L$47</definedName>
    <definedName name="_xlnm.Print_Area" localSheetId="19">'CUADRO 14'!$B$1:$Q$43</definedName>
    <definedName name="_xlnm.Print_Area" localSheetId="20">'CUADRO 15'!$A$1:$L$37</definedName>
    <definedName name="_xlnm.Print_Area" localSheetId="6">'CUADRO 2'!$B$1:$I$22</definedName>
    <definedName name="_xlnm.Print_Area" localSheetId="7">'CUADRO 3'!$B$1:$W$37</definedName>
    <definedName name="_xlnm.Print_Area" localSheetId="8">'CUADRO 4'!$B$1:$W$36</definedName>
    <definedName name="_xlnm.Print_Area" localSheetId="9">'CUADRO 5'!$B$1:$Q$18</definedName>
    <definedName name="_xlnm.Print_Area" localSheetId="10">'CUADRO 6'!$B$1:$H$40</definedName>
    <definedName name="_xlnm.Print_Area" localSheetId="11">'CUADRO 7'!$B$1:$N$41</definedName>
    <definedName name="_xlnm.Print_Area" localSheetId="12">'CUADRO 8'!$B$1:$T$38</definedName>
    <definedName name="_xlnm.Print_Area" localSheetId="14">'CUADRO 9'!$B$1:$H$22</definedName>
    <definedName name="_xlnm.Print_Area" localSheetId="3">'Portada 1-con Código Presup.'!$C$2:$Q$52</definedName>
    <definedName name="_xlnm.Print_Area" localSheetId="4">'Portada 2-sin Código Presup.'!$B$1:$O$51</definedName>
    <definedName name="codigo">'Códigos Portada'!$A$3:$B$468</definedName>
    <definedName name="datos" localSheetId="2">sincodigo!$E$3:$Z$233</definedName>
    <definedName name="datos">'Códigos Portada'!$D$3:$AI$468</definedName>
    <definedName name="lista">sincodigo!$B$3:$B$233</definedName>
    <definedName name="MARCA">'CUADRO 15'!$K$3</definedName>
    <definedName name="nombres">sincodigo!$B$3:$C$233</definedName>
    <definedName name="prov">ubicacion!$A$1:$B$489</definedName>
    <definedName name="sincod">sincodigo!$E$3:$AI$233</definedName>
    <definedName name="SINcodigo" localSheetId="2">sincodigo!$A$3:$C$233</definedName>
    <definedName name="sino">'Portada 1-con Código Presup.'!$B$48:$B$49</definedName>
    <definedName name="_xlnm.Print_Titles" localSheetId="10">'CUADRO 6'!$6:$6</definedName>
    <definedName name="ubic">ubicacion!$D$2:$D$489</definedName>
    <definedName name="ubicac">ubicacion!$D$2:$E$489</definedName>
  </definedNames>
  <calcPr calcId="152511"/>
</workbook>
</file>

<file path=xl/calcChain.xml><?xml version="1.0" encoding="utf-8"?>
<calcChain xmlns="http://schemas.openxmlformats.org/spreadsheetml/2006/main">
  <c r="M38" i="82" l="1"/>
  <c r="M106" i="82"/>
  <c r="M192" i="82"/>
  <c r="M37" i="82"/>
  <c r="M161" i="82"/>
  <c r="M138" i="82"/>
  <c r="M203" i="82"/>
  <c r="M72" i="82"/>
  <c r="M204" i="82"/>
  <c r="M164" i="82"/>
  <c r="M159" i="82"/>
  <c r="M61" i="82"/>
  <c r="M213" i="82"/>
  <c r="M136" i="82"/>
  <c r="M221" i="82"/>
  <c r="M129" i="82"/>
  <c r="M157" i="82"/>
  <c r="M183" i="82"/>
  <c r="M128" i="82"/>
  <c r="M199" i="82"/>
  <c r="M165" i="82"/>
  <c r="M202" i="82"/>
  <c r="M231" i="82"/>
  <c r="M55" i="82"/>
  <c r="M5" i="82"/>
  <c r="M189" i="82"/>
  <c r="M36" i="82"/>
  <c r="M93" i="82"/>
  <c r="M150" i="82"/>
  <c r="M229" i="82"/>
  <c r="M170" i="82"/>
  <c r="M74" i="82"/>
  <c r="M59" i="82"/>
  <c r="M217" i="82"/>
  <c r="M135" i="82"/>
  <c r="M31" i="82"/>
  <c r="M89" i="82"/>
  <c r="M126" i="82"/>
  <c r="M64" i="82"/>
  <c r="M57" i="82"/>
  <c r="M80" i="82"/>
  <c r="M105" i="82"/>
  <c r="M156" i="82"/>
  <c r="M104" i="82"/>
  <c r="M6" i="82"/>
  <c r="M88" i="82"/>
  <c r="M28" i="82"/>
  <c r="M132" i="82"/>
  <c r="M124" i="82"/>
  <c r="M191" i="82"/>
  <c r="M3" i="82"/>
  <c r="M140" i="82"/>
  <c r="M162" i="82"/>
  <c r="M114" i="82"/>
  <c r="M46" i="82"/>
  <c r="M58" i="82"/>
  <c r="M75" i="82"/>
  <c r="M120" i="82"/>
  <c r="M131" i="82"/>
  <c r="M19" i="82"/>
  <c r="M139" i="82"/>
  <c r="M4" i="82"/>
  <c r="M60" i="82"/>
  <c r="M25" i="82"/>
  <c r="M190" i="82"/>
  <c r="M29" i="82"/>
  <c r="M186" i="82"/>
  <c r="M65" i="82"/>
  <c r="M51" i="82"/>
  <c r="M125" i="82"/>
  <c r="M110" i="82"/>
  <c r="M15" i="82"/>
  <c r="M82" i="82"/>
  <c r="M163" i="82"/>
  <c r="M152" i="82"/>
  <c r="M222" i="82"/>
  <c r="M142" i="82"/>
  <c r="M94" i="82"/>
  <c r="M143" i="82"/>
  <c r="M216" i="82"/>
  <c r="M207" i="82"/>
  <c r="M76" i="82"/>
  <c r="M137" i="82"/>
  <c r="M147" i="82"/>
  <c r="M182" i="82"/>
  <c r="M53" i="82"/>
  <c r="M113" i="82"/>
  <c r="M201" i="82"/>
  <c r="M9" i="82"/>
  <c r="M198" i="82"/>
  <c r="M181" i="82"/>
  <c r="M180" i="82"/>
  <c r="M35" i="82"/>
  <c r="M178" i="82"/>
  <c r="M133" i="82"/>
  <c r="M78" i="82"/>
  <c r="M175" i="82"/>
  <c r="M118" i="82"/>
  <c r="M179" i="82"/>
  <c r="M16" i="82"/>
  <c r="M98" i="82"/>
  <c r="M66" i="82"/>
  <c r="M153" i="82"/>
  <c r="M208" i="82"/>
  <c r="M7" i="82"/>
  <c r="M45" i="82"/>
  <c r="M100" i="82"/>
  <c r="M27" i="82"/>
  <c r="M49" i="82"/>
  <c r="M22" i="82"/>
  <c r="M155" i="82"/>
  <c r="M215" i="82"/>
  <c r="M212" i="82"/>
  <c r="M119" i="82"/>
  <c r="M169" i="82"/>
  <c r="M79" i="82"/>
  <c r="M116" i="82"/>
  <c r="M220" i="82"/>
  <c r="M111" i="82"/>
  <c r="M233" i="82"/>
  <c r="M173" i="82"/>
  <c r="M158" i="82"/>
  <c r="M187" i="82"/>
  <c r="M194" i="82"/>
  <c r="M87" i="82"/>
  <c r="M73" i="82"/>
  <c r="M101" i="82"/>
  <c r="M39" i="82"/>
  <c r="M172" i="82"/>
  <c r="M174" i="82"/>
  <c r="M130" i="82"/>
  <c r="M81" i="82"/>
  <c r="M205" i="82"/>
  <c r="M151" i="82"/>
  <c r="M68" i="82"/>
  <c r="M210" i="82"/>
  <c r="M122" i="82"/>
  <c r="M71" i="82"/>
  <c r="M67" i="82"/>
  <c r="M171" i="82"/>
  <c r="M14" i="82"/>
  <c r="M195" i="82"/>
  <c r="M145" i="82"/>
  <c r="M230" i="82"/>
  <c r="M206" i="82"/>
  <c r="M185" i="82"/>
  <c r="M112" i="82"/>
  <c r="M33" i="82"/>
  <c r="M232" i="82"/>
  <c r="M228" i="82"/>
  <c r="M95" i="82"/>
  <c r="M91" i="82"/>
  <c r="M63" i="82"/>
  <c r="M108" i="82"/>
  <c r="M115" i="82"/>
  <c r="M177" i="82"/>
  <c r="M20" i="82"/>
  <c r="M18" i="82"/>
  <c r="M24" i="82"/>
  <c r="M52" i="82"/>
  <c r="M32" i="82"/>
  <c r="M23" i="82"/>
  <c r="M26" i="82"/>
  <c r="M30" i="82"/>
  <c r="M17" i="82"/>
  <c r="M50" i="82"/>
  <c r="M8" i="82"/>
  <c r="M62" i="82"/>
  <c r="M12" i="82"/>
  <c r="M219" i="82"/>
  <c r="M69" i="82"/>
  <c r="M134" i="82"/>
  <c r="M123" i="82"/>
  <c r="M196" i="82"/>
  <c r="M154" i="82"/>
  <c r="M117" i="82"/>
  <c r="M21" i="82"/>
  <c r="M160" i="82"/>
  <c r="M47" i="82"/>
  <c r="M54" i="82"/>
  <c r="M121" i="82"/>
  <c r="M83" i="82"/>
  <c r="M56" i="82"/>
  <c r="M146" i="82"/>
  <c r="M99" i="82"/>
  <c r="M70" i="82"/>
  <c r="M225" i="82"/>
  <c r="M141" i="82"/>
  <c r="M224" i="82"/>
  <c r="M48" i="82"/>
  <c r="M34" i="82"/>
  <c r="M44" i="82"/>
  <c r="M166" i="82"/>
  <c r="M41" i="82"/>
  <c r="M90" i="82"/>
  <c r="M209" i="82"/>
  <c r="M43" i="82"/>
  <c r="M103" i="82"/>
  <c r="M200" i="82"/>
  <c r="M227" i="82"/>
  <c r="M211" i="82"/>
  <c r="M218" i="82"/>
  <c r="M188" i="82"/>
  <c r="M226" i="82"/>
  <c r="M223" i="82"/>
  <c r="M96" i="82"/>
  <c r="M109" i="82"/>
  <c r="M40" i="82"/>
  <c r="M85" i="82"/>
  <c r="M127" i="82"/>
  <c r="M168" i="82"/>
  <c r="M148" i="82"/>
  <c r="M84" i="82"/>
  <c r="M11" i="82"/>
  <c r="M176" i="82"/>
  <c r="M107" i="82"/>
  <c r="M86" i="82"/>
  <c r="M102" i="82"/>
  <c r="M149" i="82"/>
  <c r="M214" i="82"/>
  <c r="M167" i="82"/>
  <c r="M92" i="82"/>
  <c r="M197" i="82"/>
  <c r="M97" i="82"/>
  <c r="M144" i="82"/>
  <c r="M193" i="82"/>
  <c r="M42" i="82"/>
  <c r="M184" i="82"/>
  <c r="M77" i="82"/>
  <c r="M13" i="82"/>
  <c r="M10" i="82"/>
  <c r="L332" i="27"/>
  <c r="L348" i="27"/>
  <c r="L221" i="27"/>
  <c r="L417" i="27"/>
  <c r="L67" i="27"/>
  <c r="L318" i="27"/>
  <c r="L401" i="27"/>
  <c r="L402" i="27"/>
  <c r="L109" i="27"/>
  <c r="L4" i="27"/>
  <c r="L114" i="27"/>
  <c r="L456" i="27"/>
  <c r="L414" i="27"/>
  <c r="L84" i="27"/>
  <c r="L107" i="27"/>
  <c r="L455" i="27"/>
  <c r="L123" i="27"/>
  <c r="L242" i="27"/>
  <c r="L368" i="27"/>
  <c r="L128" i="27"/>
  <c r="L466" i="27"/>
  <c r="L263" i="27"/>
  <c r="L331" i="27"/>
  <c r="L381" i="27"/>
  <c r="L178" i="27"/>
  <c r="L68" i="27"/>
  <c r="L213" i="27"/>
  <c r="L46" i="27"/>
  <c r="L130" i="27"/>
  <c r="L193" i="27"/>
  <c r="L430" i="27"/>
  <c r="L164" i="27"/>
  <c r="L469" i="27"/>
  <c r="L157" i="27"/>
  <c r="L422" i="27"/>
  <c r="L189" i="27"/>
  <c r="L106" i="27"/>
  <c r="L445" i="27"/>
  <c r="L152" i="27"/>
  <c r="L356" i="27"/>
  <c r="L183" i="27"/>
  <c r="L298" i="27"/>
  <c r="L93" i="27"/>
  <c r="L33" i="27"/>
  <c r="L176" i="27"/>
  <c r="L53" i="27"/>
  <c r="L407" i="27"/>
  <c r="L112" i="27"/>
  <c r="L367" i="27"/>
  <c r="L23" i="27"/>
  <c r="L253" i="27"/>
  <c r="L432" i="27"/>
  <c r="L51" i="27"/>
  <c r="L122" i="27"/>
  <c r="L312" i="27"/>
  <c r="L28" i="27"/>
  <c r="L181" i="27"/>
  <c r="L230" i="27"/>
  <c r="L171" i="27"/>
  <c r="L393" i="27"/>
  <c r="L334" i="27"/>
  <c r="L24" i="27"/>
  <c r="L165" i="27"/>
  <c r="L428" i="27"/>
  <c r="L212" i="27"/>
  <c r="L32" i="27"/>
  <c r="L380" i="27"/>
  <c r="L396" i="27"/>
  <c r="L299" i="27"/>
  <c r="L439" i="27"/>
  <c r="L464" i="27"/>
  <c r="L309" i="27"/>
  <c r="L264" i="27"/>
  <c r="L387" i="27"/>
  <c r="L468" i="27"/>
  <c r="L453" i="27"/>
  <c r="L457" i="27"/>
  <c r="L434" i="27"/>
  <c r="L338" i="27"/>
  <c r="L287" i="27"/>
  <c r="L277" i="27"/>
  <c r="L392" i="27"/>
  <c r="L302" i="27"/>
  <c r="L289" i="27"/>
  <c r="L254" i="27"/>
  <c r="L300" i="27"/>
  <c r="L311" i="27"/>
  <c r="L293" i="27"/>
  <c r="L370" i="27"/>
  <c r="L198" i="27"/>
  <c r="L210" i="27"/>
  <c r="L245" i="27"/>
  <c r="L365" i="27"/>
  <c r="L362" i="27"/>
  <c r="L319" i="27"/>
  <c r="L292" i="27"/>
  <c r="L433" i="27"/>
  <c r="L355" i="27"/>
  <c r="L266" i="27"/>
  <c r="L449" i="27"/>
  <c r="L438" i="27"/>
  <c r="L310" i="27"/>
  <c r="L410" i="27"/>
  <c r="L199" i="27"/>
  <c r="L419" i="27"/>
  <c r="L460" i="27"/>
  <c r="L234" i="27"/>
  <c r="L209" i="27"/>
  <c r="L373" i="27"/>
  <c r="L420" i="27"/>
  <c r="L470" i="27"/>
  <c r="L255" i="27"/>
  <c r="L286" i="27"/>
  <c r="L243" i="27"/>
  <c r="L306" i="27"/>
  <c r="L291" i="27"/>
  <c r="L202" i="27"/>
  <c r="L426" i="27"/>
  <c r="L314" i="27"/>
  <c r="L360" i="27"/>
  <c r="L304" i="27"/>
  <c r="L358" i="27"/>
  <c r="L240" i="27"/>
  <c r="L390" i="27"/>
  <c r="L451" i="27"/>
  <c r="L320" i="27"/>
  <c r="L333" i="27"/>
  <c r="L296" i="27"/>
  <c r="L345" i="27"/>
  <c r="L323" i="27"/>
  <c r="L232" i="27"/>
  <c r="L384" i="27"/>
  <c r="L281" i="27"/>
  <c r="L351" i="27"/>
  <c r="L290" i="27"/>
  <c r="L435" i="27"/>
  <c r="L413" i="27"/>
  <c r="L389" i="27"/>
  <c r="L315" i="27"/>
  <c r="L208" i="27"/>
  <c r="L406" i="27"/>
  <c r="L454" i="27"/>
  <c r="L375" i="27"/>
  <c r="L235" i="27"/>
  <c r="L416" i="27"/>
  <c r="L201" i="27"/>
  <c r="L197" i="27"/>
  <c r="L344" i="27"/>
  <c r="L450" i="27"/>
  <c r="L250" i="27"/>
  <c r="L391" i="27"/>
  <c r="L265" i="27"/>
  <c r="L200" i="27"/>
  <c r="L341" i="27"/>
  <c r="L349" i="27"/>
  <c r="L313" i="27"/>
  <c r="L294" i="27"/>
  <c r="L359" i="27"/>
  <c r="L249" i="27"/>
  <c r="L220" i="27"/>
  <c r="L421" i="27"/>
  <c r="L337" i="27"/>
  <c r="L316" i="27"/>
  <c r="L418" i="27"/>
  <c r="L447" i="27"/>
  <c r="L229" i="27"/>
  <c r="L423" i="27"/>
  <c r="L339" i="27"/>
  <c r="L324" i="27"/>
  <c r="L366" i="27"/>
  <c r="L236" i="27"/>
  <c r="L258" i="27"/>
  <c r="L270" i="27"/>
  <c r="L322" i="27"/>
  <c r="L267" i="27"/>
  <c r="L275" i="27"/>
  <c r="L364" i="27"/>
  <c r="L219" i="27"/>
  <c r="L195" i="27"/>
  <c r="L369" i="27"/>
  <c r="L211" i="27"/>
  <c r="L448" i="27"/>
  <c r="L354" i="27"/>
  <c r="L361" i="27"/>
  <c r="L440" i="27"/>
  <c r="L363" i="27"/>
  <c r="L276" i="27"/>
  <c r="L188" i="27"/>
  <c r="L10" i="27"/>
  <c r="L16" i="27"/>
  <c r="L140" i="27"/>
  <c r="L17" i="27"/>
  <c r="L88" i="27"/>
  <c r="L372" i="27"/>
  <c r="L395" i="27"/>
  <c r="L116" i="27"/>
  <c r="L237" i="27"/>
  <c r="L231" i="27"/>
  <c r="L326" i="27"/>
  <c r="L173" i="27"/>
  <c r="L55" i="27"/>
  <c r="L397" i="27"/>
  <c r="L382" i="27"/>
  <c r="L137" i="27"/>
  <c r="L52" i="27"/>
  <c r="L399" i="27"/>
  <c r="L462" i="27"/>
  <c r="L180" i="27"/>
  <c r="L271" i="27"/>
  <c r="L31" i="27"/>
  <c r="L22" i="27"/>
  <c r="L95" i="27"/>
  <c r="L37" i="27"/>
  <c r="L96" i="27"/>
  <c r="L136" i="27"/>
  <c r="L118" i="27"/>
  <c r="L89" i="27"/>
  <c r="L103" i="27"/>
  <c r="L138" i="27"/>
  <c r="L226" i="27"/>
  <c r="L13" i="27"/>
  <c r="L105" i="27"/>
  <c r="L269" i="27"/>
  <c r="L427" i="27"/>
  <c r="L415" i="27"/>
  <c r="L262" i="27"/>
  <c r="L58" i="27"/>
  <c r="L386" i="27"/>
  <c r="L203" i="27"/>
  <c r="L238" i="27"/>
  <c r="L377" i="27"/>
  <c r="L394" i="27"/>
  <c r="L38" i="27"/>
  <c r="L91" i="27"/>
  <c r="L127" i="27"/>
  <c r="L204" i="27"/>
  <c r="L153" i="27"/>
  <c r="L274" i="27"/>
  <c r="L343" i="27"/>
  <c r="L374" i="27"/>
  <c r="L247" i="27"/>
  <c r="L371" i="27"/>
  <c r="L179" i="27"/>
  <c r="L162" i="27"/>
  <c r="L278" i="27"/>
  <c r="L12" i="27"/>
  <c r="L41" i="27"/>
  <c r="L257" i="27"/>
  <c r="L79" i="27"/>
  <c r="L76" i="27"/>
  <c r="L85" i="27"/>
  <c r="L353" i="27"/>
  <c r="L385" i="27"/>
  <c r="L241" i="27"/>
  <c r="L72" i="27"/>
  <c r="L252" i="27"/>
  <c r="L45" i="27"/>
  <c r="L251" i="27"/>
  <c r="L216" i="27"/>
  <c r="L148" i="27"/>
  <c r="L120" i="27"/>
  <c r="L256" i="27"/>
  <c r="L246" i="27"/>
  <c r="L284" i="27"/>
  <c r="L328" i="27"/>
  <c r="L335" i="27"/>
  <c r="L115" i="27"/>
  <c r="L376" i="27"/>
  <c r="L15" i="27"/>
  <c r="L170" i="27"/>
  <c r="L11" i="27"/>
  <c r="L215" i="27"/>
  <c r="L98" i="27"/>
  <c r="L29" i="27"/>
  <c r="L383" i="27"/>
  <c r="L6" i="27"/>
  <c r="L283" i="27"/>
  <c r="L54" i="27"/>
  <c r="L431" i="27"/>
  <c r="L154" i="27"/>
  <c r="L350" i="27"/>
  <c r="L26" i="27"/>
  <c r="L190" i="27"/>
  <c r="L139" i="27"/>
  <c r="L461" i="27"/>
  <c r="L184" i="27"/>
  <c r="L83" i="27"/>
  <c r="L5" i="27"/>
  <c r="L86" i="27"/>
  <c r="L64" i="27"/>
  <c r="L303" i="27"/>
  <c r="L150" i="27"/>
  <c r="L260" i="27"/>
  <c r="L273" i="27"/>
  <c r="L25" i="27"/>
  <c r="L217" i="27"/>
  <c r="L62" i="27"/>
  <c r="L14" i="27"/>
  <c r="L71" i="27"/>
  <c r="L92" i="27"/>
  <c r="L40" i="27"/>
  <c r="L101" i="27"/>
  <c r="L378" i="27"/>
  <c r="L77" i="27"/>
  <c r="L279" i="27"/>
  <c r="L465" i="27"/>
  <c r="L124" i="27"/>
  <c r="L156" i="27"/>
  <c r="L100" i="27"/>
  <c r="L18" i="27"/>
  <c r="L44" i="27"/>
  <c r="L121" i="27"/>
  <c r="L8" i="27"/>
  <c r="L166" i="27"/>
  <c r="L35" i="27"/>
  <c r="L129" i="27"/>
  <c r="L126" i="27"/>
  <c r="L132" i="27"/>
  <c r="L134" i="27"/>
  <c r="L272" i="27"/>
  <c r="L110" i="27"/>
  <c r="L20" i="27"/>
  <c r="L327" i="27"/>
  <c r="L59" i="27"/>
  <c r="L27" i="27"/>
  <c r="L65" i="27"/>
  <c r="L388" i="27"/>
  <c r="L280" i="27"/>
  <c r="L336" i="27"/>
  <c r="L224" i="27"/>
  <c r="L295" i="27"/>
  <c r="L446" i="27"/>
  <c r="L268" i="27"/>
  <c r="L228" i="27"/>
  <c r="L308" i="27"/>
  <c r="L307" i="27"/>
  <c r="L102" i="27"/>
  <c r="L172" i="27"/>
  <c r="L99" i="27"/>
  <c r="L158" i="27"/>
  <c r="L196" i="27"/>
  <c r="L214" i="27"/>
  <c r="L261" i="27"/>
  <c r="L205" i="27"/>
  <c r="L223" i="27"/>
  <c r="L405" i="27"/>
  <c r="L74" i="27"/>
  <c r="L163" i="27"/>
  <c r="L168" i="27"/>
  <c r="L222" i="27"/>
  <c r="L329" i="27"/>
  <c r="L146" i="27"/>
  <c r="L233" i="27"/>
  <c r="L346" i="27"/>
  <c r="L321" i="27"/>
  <c r="L108" i="27"/>
  <c r="L43" i="27"/>
  <c r="L218" i="27"/>
  <c r="L357" i="27"/>
  <c r="L34" i="27"/>
  <c r="L161" i="27"/>
  <c r="L342" i="27"/>
  <c r="L288" i="27"/>
  <c r="L56" i="27"/>
  <c r="L90" i="27"/>
  <c r="L36" i="27"/>
  <c r="L50" i="27"/>
  <c r="L403" i="27"/>
  <c r="L411" i="27"/>
  <c r="L404" i="27"/>
  <c r="L429" i="27"/>
  <c r="L412" i="27"/>
  <c r="L398" i="27"/>
  <c r="L400" i="27"/>
  <c r="L135" i="27"/>
  <c r="L192" i="27"/>
  <c r="L352" i="27"/>
  <c r="L347" i="27"/>
  <c r="L149" i="27"/>
  <c r="L379" i="27"/>
  <c r="L305" i="27"/>
  <c r="L144" i="27"/>
  <c r="L61" i="27"/>
  <c r="L151" i="27"/>
  <c r="L187" i="27"/>
  <c r="L285" i="27"/>
  <c r="L97" i="27"/>
  <c r="L117" i="27"/>
  <c r="L87" i="27"/>
  <c r="L142" i="27"/>
  <c r="L80" i="27"/>
  <c r="L111" i="27"/>
  <c r="L175" i="27"/>
  <c r="L7" i="27"/>
  <c r="L119" i="27"/>
  <c r="L70" i="27"/>
  <c r="L282" i="27"/>
  <c r="L82" i="27"/>
  <c r="L206" i="27"/>
  <c r="L155" i="27"/>
  <c r="L177" i="27"/>
  <c r="L317" i="27"/>
  <c r="L69" i="27"/>
  <c r="L458" i="27"/>
  <c r="L131" i="27"/>
  <c r="L66" i="27"/>
  <c r="L81" i="27"/>
  <c r="L3" i="27"/>
  <c r="L186" i="27"/>
  <c r="L48" i="27"/>
  <c r="L424" i="27"/>
  <c r="L297" i="27"/>
  <c r="L437" i="27"/>
  <c r="L21" i="27"/>
  <c r="L425" i="27"/>
  <c r="L39" i="27"/>
  <c r="L57" i="27"/>
  <c r="L227" i="27"/>
  <c r="L30" i="27"/>
  <c r="L259" i="27"/>
  <c r="L113" i="27"/>
  <c r="L147" i="27"/>
  <c r="L244" i="27"/>
  <c r="L248" i="27"/>
  <c r="L444" i="27"/>
  <c r="L436" i="27"/>
  <c r="L409" i="27"/>
  <c r="L49" i="27"/>
  <c r="L167" i="27"/>
  <c r="L442" i="27"/>
  <c r="L408" i="27"/>
  <c r="L143" i="27"/>
  <c r="L75" i="27"/>
  <c r="L9" i="27"/>
  <c r="L47" i="27"/>
  <c r="L452" i="27"/>
  <c r="L225" i="27"/>
  <c r="L73" i="27"/>
  <c r="L467" i="27"/>
  <c r="L63" i="27"/>
  <c r="L141" i="27"/>
  <c r="L207" i="27"/>
  <c r="L159" i="27"/>
  <c r="L463" i="27"/>
  <c r="L182" i="27"/>
  <c r="L443" i="27"/>
  <c r="L60" i="27"/>
  <c r="L104" i="27"/>
  <c r="L459" i="27"/>
  <c r="L169" i="27"/>
  <c r="L441" i="27"/>
  <c r="L19" i="27"/>
  <c r="L94" i="27"/>
  <c r="L78" i="27"/>
  <c r="L42" i="27"/>
  <c r="L185" i="27"/>
  <c r="L301" i="27"/>
  <c r="L160" i="27"/>
  <c r="L194" i="27"/>
  <c r="L174" i="27"/>
  <c r="L191" i="27"/>
  <c r="L133" i="27"/>
  <c r="L340" i="27"/>
  <c r="L239" i="27"/>
  <c r="L145" i="27"/>
  <c r="L325" i="27"/>
  <c r="L125" i="27"/>
  <c r="L330" i="27"/>
  <c r="AC692" i="91"/>
  <c r="AD692" i="91"/>
  <c r="AE692" i="91"/>
  <c r="AF692" i="91"/>
  <c r="AG692" i="91"/>
  <c r="AH692" i="91"/>
  <c r="AC693" i="91"/>
  <c r="AD693" i="91"/>
  <c r="AE693" i="91"/>
  <c r="AF693" i="91"/>
  <c r="AG693" i="91"/>
  <c r="AH693" i="91"/>
  <c r="AC694" i="91"/>
  <c r="AD694" i="91"/>
  <c r="AE694" i="91"/>
  <c r="AF694" i="91"/>
  <c r="AG694" i="91"/>
  <c r="AH694" i="91"/>
  <c r="AC695" i="91"/>
  <c r="AD695" i="91"/>
  <c r="AE695" i="91"/>
  <c r="AF695" i="91"/>
  <c r="AG695" i="91"/>
  <c r="AH695" i="91"/>
  <c r="AC696" i="91"/>
  <c r="AD696" i="91"/>
  <c r="AE696" i="91"/>
  <c r="AF696" i="91"/>
  <c r="AG696" i="91"/>
  <c r="AH696" i="91"/>
  <c r="AC697" i="91"/>
  <c r="AD697" i="91"/>
  <c r="AE697" i="91"/>
  <c r="AF697" i="91"/>
  <c r="AG697" i="91"/>
  <c r="AH697" i="91"/>
  <c r="AC698" i="91"/>
  <c r="AD698" i="91"/>
  <c r="AE698" i="91"/>
  <c r="AF698" i="91"/>
  <c r="AG698" i="91"/>
  <c r="AH698" i="91"/>
  <c r="AC699" i="91"/>
  <c r="AD699" i="91"/>
  <c r="AE699" i="91"/>
  <c r="AF699" i="91"/>
  <c r="AG699" i="91"/>
  <c r="AH699" i="91"/>
  <c r="AC700" i="91"/>
  <c r="AD700" i="91"/>
  <c r="AE700" i="91"/>
  <c r="AF700" i="91"/>
  <c r="AG700" i="91"/>
  <c r="AH700" i="91"/>
  <c r="H36" i="94" l="1"/>
  <c r="I37" i="12"/>
  <c r="N27" i="101" l="1"/>
  <c r="N21" i="101" l="1"/>
  <c r="M29" i="101" s="1"/>
  <c r="E37" i="101" l="1"/>
  <c r="B37" i="102" l="1"/>
  <c r="B36" i="102"/>
  <c r="B35" i="102"/>
  <c r="B34" i="102"/>
  <c r="B33" i="102"/>
  <c r="B32" i="102"/>
  <c r="B29" i="102"/>
  <c r="B28" i="102"/>
  <c r="L27" i="102"/>
  <c r="B27" i="102"/>
  <c r="L26" i="102"/>
  <c r="B26" i="102"/>
  <c r="L25" i="102"/>
  <c r="B25" i="102"/>
  <c r="K24" i="102"/>
  <c r="J24" i="102"/>
  <c r="B24" i="102"/>
  <c r="L23" i="102"/>
  <c r="L22" i="102"/>
  <c r="L21" i="102"/>
  <c r="B21" i="102"/>
  <c r="K20" i="102"/>
  <c r="J20" i="102"/>
  <c r="B20" i="102"/>
  <c r="L19" i="102"/>
  <c r="B19" i="102"/>
  <c r="L18" i="102"/>
  <c r="B18" i="102"/>
  <c r="L17" i="102"/>
  <c r="B17" i="102"/>
  <c r="L16" i="102"/>
  <c r="K16" i="102"/>
  <c r="J16" i="102"/>
  <c r="B16" i="102"/>
  <c r="L15" i="102"/>
  <c r="B15" i="102"/>
  <c r="L14" i="102"/>
  <c r="B14" i="102"/>
  <c r="L13" i="102"/>
  <c r="B13" i="102"/>
  <c r="K12" i="102"/>
  <c r="J12" i="102"/>
  <c r="B12" i="102"/>
  <c r="L11" i="102"/>
  <c r="B11" i="102"/>
  <c r="L10" i="102"/>
  <c r="L9" i="102"/>
  <c r="L8" i="102"/>
  <c r="B8" i="102"/>
  <c r="K7" i="102"/>
  <c r="J7" i="102"/>
  <c r="B7" i="102"/>
  <c r="B6" i="102"/>
  <c r="B5" i="102"/>
  <c r="F41" i="101"/>
  <c r="F40" i="101"/>
  <c r="D40" i="101"/>
  <c r="F39" i="101"/>
  <c r="D39" i="101"/>
  <c r="F38" i="101"/>
  <c r="D38" i="101"/>
  <c r="M30" i="101" s="1"/>
  <c r="C37" i="101"/>
  <c r="E30" i="101"/>
  <c r="C30" i="101"/>
  <c r="Q28" i="101"/>
  <c r="Q27" i="101"/>
  <c r="Q26" i="101"/>
  <c r="Q25" i="101"/>
  <c r="Q24" i="101"/>
  <c r="Q23" i="101"/>
  <c r="J23" i="101"/>
  <c r="I23" i="101"/>
  <c r="H23" i="101"/>
  <c r="G23" i="101"/>
  <c r="Q22" i="101"/>
  <c r="Q21" i="101"/>
  <c r="Q20" i="101"/>
  <c r="Q19" i="101"/>
  <c r="Q18" i="101"/>
  <c r="Q17" i="101"/>
  <c r="Q16" i="101"/>
  <c r="Q15" i="101"/>
  <c r="C15" i="101"/>
  <c r="Q14" i="101"/>
  <c r="C14" i="101"/>
  <c r="Q13" i="101"/>
  <c r="C13" i="101"/>
  <c r="Q12" i="101"/>
  <c r="C12" i="101"/>
  <c r="Q11" i="101"/>
  <c r="P10" i="101"/>
  <c r="O10" i="101"/>
  <c r="O7" i="101" s="1"/>
  <c r="Q9" i="101"/>
  <c r="C9" i="101"/>
  <c r="Q8" i="101"/>
  <c r="P7" i="101"/>
  <c r="D41" i="78"/>
  <c r="D42" i="78" s="1"/>
  <c r="D40" i="78"/>
  <c r="C40" i="78"/>
  <c r="D39" i="78"/>
  <c r="C39" i="78"/>
  <c r="D38" i="78"/>
  <c r="C38" i="78"/>
  <c r="D37" i="78"/>
  <c r="C37" i="78"/>
  <c r="D36" i="78"/>
  <c r="C36" i="78"/>
  <c r="D35" i="78"/>
  <c r="C35" i="78"/>
  <c r="D34" i="78"/>
  <c r="C34" i="78"/>
  <c r="D33" i="78"/>
  <c r="C33" i="78"/>
  <c r="D32" i="78"/>
  <c r="C32" i="78"/>
  <c r="D31" i="78"/>
  <c r="C31" i="78"/>
  <c r="L30" i="78"/>
  <c r="K30" i="78"/>
  <c r="J30" i="78"/>
  <c r="I30" i="78"/>
  <c r="H30" i="78"/>
  <c r="G30" i="78"/>
  <c r="F30" i="78"/>
  <c r="E30" i="78"/>
  <c r="D30" i="78"/>
  <c r="D6" i="78" s="1"/>
  <c r="D29" i="78"/>
  <c r="C29" i="78"/>
  <c r="D28" i="78"/>
  <c r="C28" i="78"/>
  <c r="D27" i="78"/>
  <c r="C27" i="78"/>
  <c r="D26" i="78"/>
  <c r="C26" i="78"/>
  <c r="D25" i="78"/>
  <c r="C25" i="78"/>
  <c r="D24" i="78"/>
  <c r="C24" i="78"/>
  <c r="D23" i="78"/>
  <c r="C23" i="78"/>
  <c r="D22" i="78"/>
  <c r="C22" i="78"/>
  <c r="D21" i="78"/>
  <c r="C21" i="78"/>
  <c r="D20" i="78"/>
  <c r="C20" i="78"/>
  <c r="D19" i="78"/>
  <c r="C19" i="78"/>
  <c r="D18" i="78"/>
  <c r="C18" i="78"/>
  <c r="D17" i="78"/>
  <c r="C17" i="78"/>
  <c r="D16" i="78"/>
  <c r="C16" i="78"/>
  <c r="D15" i="78"/>
  <c r="C15" i="78"/>
  <c r="D14" i="78"/>
  <c r="C14" i="78"/>
  <c r="D13" i="78"/>
  <c r="C13" i="78"/>
  <c r="D12" i="78"/>
  <c r="C12" i="78"/>
  <c r="D11" i="78"/>
  <c r="C11" i="78"/>
  <c r="D10" i="78"/>
  <c r="C10" i="78"/>
  <c r="D9" i="78"/>
  <c r="C9" i="78"/>
  <c r="D8" i="78"/>
  <c r="C8" i="78"/>
  <c r="L7" i="78"/>
  <c r="K7" i="78"/>
  <c r="J7" i="78"/>
  <c r="I7" i="78"/>
  <c r="H7" i="78"/>
  <c r="G7" i="78"/>
  <c r="F7" i="78"/>
  <c r="E7" i="78"/>
  <c r="D7" i="78"/>
  <c r="L6" i="78"/>
  <c r="K6" i="78"/>
  <c r="J6" i="78"/>
  <c r="I6" i="78"/>
  <c r="H6" i="78"/>
  <c r="G6" i="78"/>
  <c r="F6" i="78"/>
  <c r="E6" i="78"/>
  <c r="C36" i="77"/>
  <c r="C35" i="77"/>
  <c r="H34" i="77"/>
  <c r="C34" i="77"/>
  <c r="H33" i="77"/>
  <c r="C33" i="77"/>
  <c r="H32" i="77"/>
  <c r="C32" i="77"/>
  <c r="H31" i="77"/>
  <c r="C31" i="77"/>
  <c r="H30" i="77"/>
  <c r="C30" i="77"/>
  <c r="H29" i="77"/>
  <c r="C29" i="77"/>
  <c r="H28" i="77"/>
  <c r="C28" i="77"/>
  <c r="H27" i="77"/>
  <c r="C27" i="77"/>
  <c r="H26" i="77"/>
  <c r="C26" i="77"/>
  <c r="H25" i="77"/>
  <c r="C25" i="77"/>
  <c r="H24" i="77"/>
  <c r="C24" i="77"/>
  <c r="H23" i="77"/>
  <c r="C23" i="77"/>
  <c r="H22" i="77"/>
  <c r="C22" i="77"/>
  <c r="H21" i="77"/>
  <c r="C21" i="77"/>
  <c r="J20" i="77"/>
  <c r="I20" i="77"/>
  <c r="H20" i="77"/>
  <c r="C20" i="77"/>
  <c r="H19" i="77"/>
  <c r="C19" i="77"/>
  <c r="H18" i="77"/>
  <c r="C18" i="77"/>
  <c r="H17" i="77"/>
  <c r="E17" i="77"/>
  <c r="D17" i="77"/>
  <c r="C17" i="77"/>
  <c r="H16" i="77"/>
  <c r="C16" i="77"/>
  <c r="H15" i="77"/>
  <c r="C15" i="77"/>
  <c r="H14" i="77"/>
  <c r="C14" i="77"/>
  <c r="H13" i="77"/>
  <c r="C13" i="77"/>
  <c r="H12" i="77"/>
  <c r="E12" i="77"/>
  <c r="D12" i="77"/>
  <c r="C12" i="77"/>
  <c r="H11" i="77"/>
  <c r="C11" i="77"/>
  <c r="H10" i="77"/>
  <c r="C10" i="77"/>
  <c r="J9" i="77"/>
  <c r="I9" i="77"/>
  <c r="H9" i="77"/>
  <c r="C9" i="77"/>
  <c r="H8" i="77"/>
  <c r="C8" i="77"/>
  <c r="H7" i="77"/>
  <c r="C7" i="77"/>
  <c r="H6" i="77"/>
  <c r="E6" i="77"/>
  <c r="D6" i="77"/>
  <c r="C6" i="77"/>
  <c r="E5" i="77"/>
  <c r="D5" i="77"/>
  <c r="C5" i="77"/>
  <c r="D10" i="76"/>
  <c r="D9" i="76"/>
  <c r="D8" i="76"/>
  <c r="D7" i="76"/>
  <c r="D6" i="76"/>
  <c r="F5" i="76"/>
  <c r="E5" i="76"/>
  <c r="D5" i="76"/>
  <c r="U26" i="92"/>
  <c r="R26" i="92"/>
  <c r="O26" i="92"/>
  <c r="L26" i="92"/>
  <c r="I26" i="92"/>
  <c r="F26" i="92"/>
  <c r="E26" i="92"/>
  <c r="D26" i="92"/>
  <c r="C26" i="92"/>
  <c r="U25" i="92"/>
  <c r="R25" i="92"/>
  <c r="O25" i="92"/>
  <c r="L25" i="92"/>
  <c r="I25" i="92"/>
  <c r="F25" i="92"/>
  <c r="E25" i="92"/>
  <c r="D25" i="92"/>
  <c r="C25" i="92"/>
  <c r="U24" i="92"/>
  <c r="R24" i="92"/>
  <c r="O24" i="92"/>
  <c r="L24" i="92"/>
  <c r="I24" i="92"/>
  <c r="F24" i="92"/>
  <c r="E24" i="92"/>
  <c r="D24" i="92"/>
  <c r="C24" i="92"/>
  <c r="U23" i="92"/>
  <c r="R23" i="92"/>
  <c r="O23" i="92"/>
  <c r="L23" i="92"/>
  <c r="I23" i="92"/>
  <c r="F23" i="92"/>
  <c r="E23" i="92"/>
  <c r="D23" i="92"/>
  <c r="C23" i="92"/>
  <c r="U22" i="92"/>
  <c r="R22" i="92"/>
  <c r="O22" i="92"/>
  <c r="L22" i="92"/>
  <c r="I22" i="92"/>
  <c r="F22" i="92"/>
  <c r="E22" i="92"/>
  <c r="D22" i="92"/>
  <c r="C22" i="92"/>
  <c r="U21" i="92"/>
  <c r="R21" i="92"/>
  <c r="O21" i="92"/>
  <c r="L21" i="92"/>
  <c r="I21" i="92"/>
  <c r="F21" i="92"/>
  <c r="E21" i="92"/>
  <c r="D21" i="92"/>
  <c r="C21" i="92"/>
  <c r="U20" i="92"/>
  <c r="R20" i="92"/>
  <c r="O20" i="92"/>
  <c r="L20" i="92"/>
  <c r="I20" i="92"/>
  <c r="F20" i="92"/>
  <c r="E20" i="92"/>
  <c r="D20" i="92"/>
  <c r="C20" i="92"/>
  <c r="U19" i="92"/>
  <c r="R19" i="92"/>
  <c r="O19" i="92"/>
  <c r="L19" i="92"/>
  <c r="I19" i="92"/>
  <c r="F19" i="92"/>
  <c r="E19" i="92"/>
  <c r="D19" i="92"/>
  <c r="C19" i="92"/>
  <c r="U18" i="92"/>
  <c r="R18" i="92"/>
  <c r="O18" i="92"/>
  <c r="L18" i="92"/>
  <c r="I18" i="92"/>
  <c r="F18" i="92"/>
  <c r="E18" i="92"/>
  <c r="D18" i="92"/>
  <c r="C18" i="92"/>
  <c r="U17" i="92"/>
  <c r="R17" i="92"/>
  <c r="O17" i="92"/>
  <c r="L17" i="92"/>
  <c r="I17" i="92"/>
  <c r="F17" i="92"/>
  <c r="E17" i="92"/>
  <c r="D17" i="92"/>
  <c r="C17" i="92"/>
  <c r="U16" i="92"/>
  <c r="R16" i="92"/>
  <c r="O16" i="92"/>
  <c r="L16" i="92"/>
  <c r="I16" i="92"/>
  <c r="F16" i="92"/>
  <c r="E16" i="92"/>
  <c r="D16" i="92"/>
  <c r="C16" i="92"/>
  <c r="U15" i="92"/>
  <c r="R15" i="92"/>
  <c r="O15" i="92"/>
  <c r="L15" i="92"/>
  <c r="I15" i="92"/>
  <c r="F15" i="92"/>
  <c r="E15" i="92"/>
  <c r="D15" i="92"/>
  <c r="C15" i="92"/>
  <c r="U14" i="92"/>
  <c r="R14" i="92"/>
  <c r="O14" i="92"/>
  <c r="L14" i="92"/>
  <c r="I14" i="92"/>
  <c r="F14" i="92"/>
  <c r="E14" i="92"/>
  <c r="D14" i="92"/>
  <c r="C14" i="92"/>
  <c r="U13" i="92"/>
  <c r="R13" i="92"/>
  <c r="O13" i="92"/>
  <c r="L13" i="92"/>
  <c r="I13" i="92"/>
  <c r="F13" i="92"/>
  <c r="E13" i="92"/>
  <c r="D13" i="92"/>
  <c r="C13" i="92"/>
  <c r="U12" i="92"/>
  <c r="R12" i="92"/>
  <c r="O12" i="92"/>
  <c r="L12" i="92"/>
  <c r="I12" i="92"/>
  <c r="F12" i="92"/>
  <c r="E12" i="92"/>
  <c r="C12" i="92" s="1"/>
  <c r="D12" i="92"/>
  <c r="U11" i="92"/>
  <c r="R11" i="92"/>
  <c r="O11" i="92"/>
  <c r="L11" i="92"/>
  <c r="I11" i="92"/>
  <c r="F11" i="92"/>
  <c r="E11" i="92"/>
  <c r="D11" i="92"/>
  <c r="C11" i="92"/>
  <c r="U10" i="92"/>
  <c r="R10" i="92"/>
  <c r="O10" i="92"/>
  <c r="L10" i="92"/>
  <c r="I10" i="92"/>
  <c r="F10" i="92"/>
  <c r="E10" i="92"/>
  <c r="D10" i="92"/>
  <c r="C10" i="92"/>
  <c r="U9" i="92"/>
  <c r="R9" i="92"/>
  <c r="O9" i="92"/>
  <c r="L9" i="92"/>
  <c r="I9" i="92"/>
  <c r="F9" i="92"/>
  <c r="E9" i="92"/>
  <c r="D9" i="92"/>
  <c r="C9" i="92"/>
  <c r="U8" i="92"/>
  <c r="R8" i="92"/>
  <c r="O8" i="92"/>
  <c r="L8" i="92"/>
  <c r="I8" i="92"/>
  <c r="F8" i="92"/>
  <c r="E8" i="92"/>
  <c r="D8" i="92"/>
  <c r="C8" i="92"/>
  <c r="U7" i="92"/>
  <c r="R7" i="92"/>
  <c r="O7" i="92"/>
  <c r="L7" i="92"/>
  <c r="I7" i="92"/>
  <c r="F7" i="92"/>
  <c r="E7" i="92"/>
  <c r="D7" i="92"/>
  <c r="C7" i="92"/>
  <c r="U6" i="92"/>
  <c r="R6" i="92"/>
  <c r="O6" i="92"/>
  <c r="L6" i="92"/>
  <c r="I6" i="92"/>
  <c r="F6" i="92"/>
  <c r="E6" i="92"/>
  <c r="D6" i="92"/>
  <c r="C6" i="92"/>
  <c r="C13" i="90"/>
  <c r="C12" i="90"/>
  <c r="C11" i="90"/>
  <c r="C10" i="90"/>
  <c r="C9" i="90"/>
  <c r="C8" i="90"/>
  <c r="F7" i="90"/>
  <c r="D7" i="90"/>
  <c r="AH691" i="91"/>
  <c r="AG691" i="91"/>
  <c r="AF691" i="91"/>
  <c r="AE691" i="91"/>
  <c r="AD691" i="91"/>
  <c r="AC691" i="91"/>
  <c r="AH690" i="91"/>
  <c r="AG690" i="91"/>
  <c r="AF690" i="91"/>
  <c r="AE690" i="91"/>
  <c r="AD690" i="91"/>
  <c r="AC690" i="91"/>
  <c r="AH689" i="91"/>
  <c r="AG689" i="91"/>
  <c r="AF689" i="91"/>
  <c r="AE689" i="91"/>
  <c r="AD689" i="91"/>
  <c r="AC689" i="91"/>
  <c r="AH688" i="91"/>
  <c r="AG688" i="91"/>
  <c r="AF688" i="91"/>
  <c r="AE688" i="91"/>
  <c r="AD688" i="91"/>
  <c r="AC688" i="91"/>
  <c r="AH687" i="91"/>
  <c r="AG687" i="91"/>
  <c r="AF687" i="91"/>
  <c r="AE687" i="91"/>
  <c r="AD687" i="91"/>
  <c r="AC687" i="91"/>
  <c r="AH686" i="91"/>
  <c r="AG686" i="91"/>
  <c r="AF686" i="91"/>
  <c r="AE686" i="91"/>
  <c r="AD686" i="91"/>
  <c r="AC686" i="91"/>
  <c r="AH685" i="91"/>
  <c r="AG685" i="91"/>
  <c r="AF685" i="91"/>
  <c r="AE685" i="91"/>
  <c r="AD685" i="91"/>
  <c r="AC685" i="91"/>
  <c r="AH684" i="91"/>
  <c r="AG684" i="91"/>
  <c r="AF684" i="91"/>
  <c r="AE684" i="91"/>
  <c r="AD684" i="91"/>
  <c r="AC684" i="91"/>
  <c r="AH683" i="91"/>
  <c r="AG683" i="91"/>
  <c r="AF683" i="91"/>
  <c r="AE683" i="91"/>
  <c r="AD683" i="91"/>
  <c r="AC683" i="91"/>
  <c r="AH682" i="91"/>
  <c r="AG682" i="91"/>
  <c r="AF682" i="91"/>
  <c r="AE682" i="91"/>
  <c r="AD682" i="91"/>
  <c r="AC682" i="91"/>
  <c r="AH681" i="91"/>
  <c r="AG681" i="91"/>
  <c r="AF681" i="91"/>
  <c r="AE681" i="91"/>
  <c r="AD681" i="91"/>
  <c r="AC681" i="91"/>
  <c r="AH680" i="91"/>
  <c r="AG680" i="91"/>
  <c r="AF680" i="91"/>
  <c r="AE680" i="91"/>
  <c r="AD680" i="91"/>
  <c r="AC680" i="91"/>
  <c r="AH679" i="91"/>
  <c r="AG679" i="91"/>
  <c r="AF679" i="91"/>
  <c r="AE679" i="91"/>
  <c r="AD679" i="91"/>
  <c r="AC679" i="91"/>
  <c r="AH678" i="91"/>
  <c r="AG678" i="91"/>
  <c r="AF678" i="91"/>
  <c r="AE678" i="91"/>
  <c r="AD678" i="91"/>
  <c r="AC678" i="91"/>
  <c r="AH677" i="91"/>
  <c r="AG677" i="91"/>
  <c r="AF677" i="91"/>
  <c r="AE677" i="91"/>
  <c r="AD677" i="91"/>
  <c r="AC677" i="91"/>
  <c r="AH676" i="91"/>
  <c r="AG676" i="91"/>
  <c r="AF676" i="91"/>
  <c r="AE676" i="91"/>
  <c r="AD676" i="91"/>
  <c r="AC676" i="91"/>
  <c r="AH675" i="91"/>
  <c r="AG675" i="91"/>
  <c r="AF675" i="91"/>
  <c r="AE675" i="91"/>
  <c r="AD675" i="91"/>
  <c r="AC675" i="91"/>
  <c r="AH674" i="91"/>
  <c r="AG674" i="91"/>
  <c r="AF674" i="91"/>
  <c r="AE674" i="91"/>
  <c r="AD674" i="91"/>
  <c r="AC674" i="91"/>
  <c r="AH673" i="91"/>
  <c r="AG673" i="91"/>
  <c r="AF673" i="91"/>
  <c r="AE673" i="91"/>
  <c r="AD673" i="91"/>
  <c r="AC673" i="91"/>
  <c r="AH672" i="91"/>
  <c r="AG672" i="91"/>
  <c r="AF672" i="91"/>
  <c r="AE672" i="91"/>
  <c r="AD672" i="91"/>
  <c r="AC672" i="91"/>
  <c r="AH671" i="91"/>
  <c r="AG671" i="91"/>
  <c r="AF671" i="91"/>
  <c r="AE671" i="91"/>
  <c r="AD671" i="91"/>
  <c r="AC671" i="91"/>
  <c r="AH670" i="91"/>
  <c r="AG670" i="91"/>
  <c r="AF670" i="91"/>
  <c r="AE670" i="91"/>
  <c r="AD670" i="91"/>
  <c r="AC670" i="91"/>
  <c r="AH669" i="91"/>
  <c r="AG669" i="91"/>
  <c r="AF669" i="91"/>
  <c r="AE669" i="91"/>
  <c r="AD669" i="91"/>
  <c r="AC669" i="91"/>
  <c r="AH668" i="91"/>
  <c r="AG668" i="91"/>
  <c r="AF668" i="91"/>
  <c r="AE668" i="91"/>
  <c r="AD668" i="91"/>
  <c r="AC668" i="91"/>
  <c r="AH667" i="91"/>
  <c r="AG667" i="91"/>
  <c r="AF667" i="91"/>
  <c r="AE667" i="91"/>
  <c r="AD667" i="91"/>
  <c r="AC667" i="91"/>
  <c r="AH666" i="91"/>
  <c r="AG666" i="91"/>
  <c r="AF666" i="91"/>
  <c r="AE666" i="91"/>
  <c r="AD666" i="91"/>
  <c r="AC666" i="91"/>
  <c r="AH665" i="91"/>
  <c r="AG665" i="91"/>
  <c r="AF665" i="91"/>
  <c r="AE665" i="91"/>
  <c r="AD665" i="91"/>
  <c r="AC665" i="91"/>
  <c r="AH664" i="91"/>
  <c r="AG664" i="91"/>
  <c r="AF664" i="91"/>
  <c r="AE664" i="91"/>
  <c r="AD664" i="91"/>
  <c r="AC664" i="91"/>
  <c r="AH663" i="91"/>
  <c r="AG663" i="91"/>
  <c r="AF663" i="91"/>
  <c r="AE663" i="91"/>
  <c r="AD663" i="91"/>
  <c r="AC663" i="91"/>
  <c r="AH662" i="91"/>
  <c r="AG662" i="91"/>
  <c r="AF662" i="91"/>
  <c r="AE662" i="91"/>
  <c r="AD662" i="91"/>
  <c r="AC662" i="91"/>
  <c r="AH661" i="91"/>
  <c r="AG661" i="91"/>
  <c r="AF661" i="91"/>
  <c r="AE661" i="91"/>
  <c r="AD661" i="91"/>
  <c r="AC661" i="91"/>
  <c r="AH660" i="91"/>
  <c r="AG660" i="91"/>
  <c r="AF660" i="91"/>
  <c r="AE660" i="91"/>
  <c r="AD660" i="91"/>
  <c r="AC660" i="91"/>
  <c r="AH659" i="91"/>
  <c r="AG659" i="91"/>
  <c r="AF659" i="91"/>
  <c r="AE659" i="91"/>
  <c r="AD659" i="91"/>
  <c r="AC659" i="91"/>
  <c r="AH658" i="91"/>
  <c r="AG658" i="91"/>
  <c r="AF658" i="91"/>
  <c r="AE658" i="91"/>
  <c r="AD658" i="91"/>
  <c r="AC658" i="91"/>
  <c r="AH657" i="91"/>
  <c r="AG657" i="91"/>
  <c r="AF657" i="91"/>
  <c r="AE657" i="91"/>
  <c r="AD657" i="91"/>
  <c r="AC657" i="91"/>
  <c r="AH656" i="91"/>
  <c r="AG656" i="91"/>
  <c r="AF656" i="91"/>
  <c r="AE656" i="91"/>
  <c r="AD656" i="91"/>
  <c r="AC656" i="91"/>
  <c r="AH655" i="91"/>
  <c r="AG655" i="91"/>
  <c r="AF655" i="91"/>
  <c r="AE655" i="91"/>
  <c r="AD655" i="91"/>
  <c r="AC655" i="91"/>
  <c r="AH654" i="91"/>
  <c r="AG654" i="91"/>
  <c r="AF654" i="91"/>
  <c r="AE654" i="91"/>
  <c r="AD654" i="91"/>
  <c r="AC654" i="91"/>
  <c r="AH653" i="91"/>
  <c r="AG653" i="91"/>
  <c r="AF653" i="91"/>
  <c r="AE653" i="91"/>
  <c r="AD653" i="91"/>
  <c r="AC653" i="91"/>
  <c r="AH652" i="91"/>
  <c r="AG652" i="91"/>
  <c r="AF652" i="91"/>
  <c r="AE652" i="91"/>
  <c r="AD652" i="91"/>
  <c r="AC652" i="91"/>
  <c r="AH651" i="91"/>
  <c r="AG651" i="91"/>
  <c r="AF651" i="91"/>
  <c r="AE651" i="91"/>
  <c r="AD651" i="91"/>
  <c r="AC651" i="91"/>
  <c r="AH650" i="91"/>
  <c r="AG650" i="91"/>
  <c r="AF650" i="91"/>
  <c r="AE650" i="91"/>
  <c r="AD650" i="91"/>
  <c r="AC650" i="91"/>
  <c r="AH649" i="91"/>
  <c r="AG649" i="91"/>
  <c r="AF649" i="91"/>
  <c r="AE649" i="91"/>
  <c r="AD649" i="91"/>
  <c r="AC649" i="91"/>
  <c r="AH648" i="91"/>
  <c r="AG648" i="91"/>
  <c r="AF648" i="91"/>
  <c r="AE648" i="91"/>
  <c r="AD648" i="91"/>
  <c r="AC648" i="91"/>
  <c r="AH647" i="91"/>
  <c r="AG647" i="91"/>
  <c r="AF647" i="91"/>
  <c r="AE647" i="91"/>
  <c r="AD647" i="91"/>
  <c r="AC647" i="91"/>
  <c r="AH646" i="91"/>
  <c r="AG646" i="91"/>
  <c r="AF646" i="91"/>
  <c r="AE646" i="91"/>
  <c r="AD646" i="91"/>
  <c r="AC646" i="91"/>
  <c r="AH645" i="91"/>
  <c r="AG645" i="91"/>
  <c r="AF645" i="91"/>
  <c r="AE645" i="91"/>
  <c r="AD645" i="91"/>
  <c r="AC645" i="91"/>
  <c r="AH644" i="91"/>
  <c r="AG644" i="91"/>
  <c r="AF644" i="91"/>
  <c r="AE644" i="91"/>
  <c r="AD644" i="91"/>
  <c r="AC644" i="91"/>
  <c r="AH643" i="91"/>
  <c r="AG643" i="91"/>
  <c r="AF643" i="91"/>
  <c r="AE643" i="91"/>
  <c r="AD643" i="91"/>
  <c r="AC643" i="91"/>
  <c r="AH642" i="91"/>
  <c r="AG642" i="91"/>
  <c r="AF642" i="91"/>
  <c r="AE642" i="91"/>
  <c r="AD642" i="91"/>
  <c r="AC642" i="91"/>
  <c r="AH641" i="91"/>
  <c r="AG641" i="91"/>
  <c r="AF641" i="91"/>
  <c r="AE641" i="91"/>
  <c r="AD641" i="91"/>
  <c r="AC641" i="91"/>
  <c r="AH640" i="91"/>
  <c r="AG640" i="91"/>
  <c r="AF640" i="91"/>
  <c r="AE640" i="91"/>
  <c r="AD640" i="91"/>
  <c r="AC640" i="91"/>
  <c r="AH639" i="91"/>
  <c r="AG639" i="91"/>
  <c r="AF639" i="91"/>
  <c r="AE639" i="91"/>
  <c r="AD639" i="91"/>
  <c r="AC639" i="91"/>
  <c r="AH638" i="91"/>
  <c r="AG638" i="91"/>
  <c r="AF638" i="91"/>
  <c r="AE638" i="91"/>
  <c r="AD638" i="91"/>
  <c r="AC638" i="91"/>
  <c r="AH637" i="91"/>
  <c r="AG637" i="91"/>
  <c r="AF637" i="91"/>
  <c r="AE637" i="91"/>
  <c r="AD637" i="91"/>
  <c r="AC637" i="91"/>
  <c r="AH636" i="91"/>
  <c r="AG636" i="91"/>
  <c r="AF636" i="91"/>
  <c r="AE636" i="91"/>
  <c r="AD636" i="91"/>
  <c r="AC636" i="91"/>
  <c r="AH635" i="91"/>
  <c r="AG635" i="91"/>
  <c r="AF635" i="91"/>
  <c r="AE635" i="91"/>
  <c r="AD635" i="91"/>
  <c r="AC635" i="91"/>
  <c r="AH634" i="91"/>
  <c r="AG634" i="91"/>
  <c r="AF634" i="91"/>
  <c r="AE634" i="91"/>
  <c r="AD634" i="91"/>
  <c r="AC634" i="91"/>
  <c r="AH633" i="91"/>
  <c r="AG633" i="91"/>
  <c r="AF633" i="91"/>
  <c r="AE633" i="91"/>
  <c r="AD633" i="91"/>
  <c r="AC633" i="91"/>
  <c r="AH632" i="91"/>
  <c r="AG632" i="91"/>
  <c r="AF632" i="91"/>
  <c r="AE632" i="91"/>
  <c r="AD632" i="91"/>
  <c r="AC632" i="91"/>
  <c r="AH631" i="91"/>
  <c r="AG631" i="91"/>
  <c r="AF631" i="91"/>
  <c r="AE631" i="91"/>
  <c r="AD631" i="91"/>
  <c r="AC631" i="91"/>
  <c r="AH630" i="91"/>
  <c r="AG630" i="91"/>
  <c r="AF630" i="91"/>
  <c r="AE630" i="91"/>
  <c r="AD630" i="91"/>
  <c r="AC630" i="91"/>
  <c r="AH629" i="91"/>
  <c r="AG629" i="91"/>
  <c r="AF629" i="91"/>
  <c r="AE629" i="91"/>
  <c r="AD629" i="91"/>
  <c r="AC629" i="91"/>
  <c r="AH628" i="91"/>
  <c r="AG628" i="91"/>
  <c r="AF628" i="91"/>
  <c r="AE628" i="91"/>
  <c r="AD628" i="91"/>
  <c r="AC628" i="91"/>
  <c r="AH627" i="91"/>
  <c r="AG627" i="91"/>
  <c r="AF627" i="91"/>
  <c r="AE627" i="91"/>
  <c r="AD627" i="91"/>
  <c r="AC627" i="91"/>
  <c r="AH626" i="91"/>
  <c r="AG626" i="91"/>
  <c r="AF626" i="91"/>
  <c r="AE626" i="91"/>
  <c r="AD626" i="91"/>
  <c r="AC626" i="91"/>
  <c r="AH625" i="91"/>
  <c r="AG625" i="91"/>
  <c r="AF625" i="91"/>
  <c r="AE625" i="91"/>
  <c r="AD625" i="91"/>
  <c r="AC625" i="91"/>
  <c r="AH624" i="91"/>
  <c r="AG624" i="91"/>
  <c r="AF624" i="91"/>
  <c r="AE624" i="91"/>
  <c r="AD624" i="91"/>
  <c r="AC624" i="91"/>
  <c r="AH623" i="91"/>
  <c r="AG623" i="91"/>
  <c r="AF623" i="91"/>
  <c r="AE623" i="91"/>
  <c r="AD623" i="91"/>
  <c r="AC623" i="91"/>
  <c r="AH622" i="91"/>
  <c r="AG622" i="91"/>
  <c r="AF622" i="91"/>
  <c r="AE622" i="91"/>
  <c r="AD622" i="91"/>
  <c r="AC622" i="91"/>
  <c r="AH621" i="91"/>
  <c r="AG621" i="91"/>
  <c r="AF621" i="91"/>
  <c r="AE621" i="91"/>
  <c r="AD621" i="91"/>
  <c r="AC621" i="91"/>
  <c r="AH620" i="91"/>
  <c r="AG620" i="91"/>
  <c r="AF620" i="91"/>
  <c r="AE620" i="91"/>
  <c r="AD620" i="91"/>
  <c r="AC620" i="91"/>
  <c r="AH619" i="91"/>
  <c r="AG619" i="91"/>
  <c r="AF619" i="91"/>
  <c r="AE619" i="91"/>
  <c r="AD619" i="91"/>
  <c r="AC619" i="91"/>
  <c r="AH618" i="91"/>
  <c r="AG618" i="91"/>
  <c r="AF618" i="91"/>
  <c r="AE618" i="91"/>
  <c r="AD618" i="91"/>
  <c r="AC618" i="91"/>
  <c r="AH617" i="91"/>
  <c r="AG617" i="91"/>
  <c r="AF617" i="91"/>
  <c r="AE617" i="91"/>
  <c r="AD617" i="91"/>
  <c r="AC617" i="91"/>
  <c r="AH616" i="91"/>
  <c r="AG616" i="91"/>
  <c r="AF616" i="91"/>
  <c r="AE616" i="91"/>
  <c r="AD616" i="91"/>
  <c r="AC616" i="91"/>
  <c r="AH615" i="91"/>
  <c r="AG615" i="91"/>
  <c r="AF615" i="91"/>
  <c r="AE615" i="91"/>
  <c r="AD615" i="91"/>
  <c r="AC615" i="91"/>
  <c r="AH614" i="91"/>
  <c r="AG614" i="91"/>
  <c r="AF614" i="91"/>
  <c r="AE614" i="91"/>
  <c r="AD614" i="91"/>
  <c r="AC614" i="91"/>
  <c r="AH613" i="91"/>
  <c r="AG613" i="91"/>
  <c r="AF613" i="91"/>
  <c r="AE613" i="91"/>
  <c r="AD613" i="91"/>
  <c r="AC613" i="91"/>
  <c r="AH612" i="91"/>
  <c r="AG612" i="91"/>
  <c r="AF612" i="91"/>
  <c r="AE612" i="91"/>
  <c r="AD612" i="91"/>
  <c r="AC612" i="91"/>
  <c r="AH611" i="91"/>
  <c r="AG611" i="91"/>
  <c r="AF611" i="91"/>
  <c r="AE611" i="91"/>
  <c r="AD611" i="91"/>
  <c r="AC611" i="91"/>
  <c r="AH610" i="91"/>
  <c r="AG610" i="91"/>
  <c r="AF610" i="91"/>
  <c r="AE610" i="91"/>
  <c r="AD610" i="91"/>
  <c r="AC610" i="91"/>
  <c r="AH609" i="91"/>
  <c r="AG609" i="91"/>
  <c r="AF609" i="91"/>
  <c r="AE609" i="91"/>
  <c r="AD609" i="91"/>
  <c r="AC609" i="91"/>
  <c r="AH608" i="91"/>
  <c r="AG608" i="91"/>
  <c r="AF608" i="91"/>
  <c r="AE608" i="91"/>
  <c r="AD608" i="91"/>
  <c r="AC608" i="91"/>
  <c r="AH607" i="91"/>
  <c r="AG607" i="91"/>
  <c r="AF607" i="91"/>
  <c r="AE607" i="91"/>
  <c r="AD607" i="91"/>
  <c r="AC607" i="91"/>
  <c r="AH606" i="91"/>
  <c r="AG606" i="91"/>
  <c r="AF606" i="91"/>
  <c r="AE606" i="91"/>
  <c r="AD606" i="91"/>
  <c r="AC606" i="91"/>
  <c r="AH605" i="91"/>
  <c r="AG605" i="91"/>
  <c r="AF605" i="91"/>
  <c r="AE605" i="91"/>
  <c r="AD605" i="91"/>
  <c r="AC605" i="91"/>
  <c r="AH604" i="91"/>
  <c r="AG604" i="91"/>
  <c r="AF604" i="91"/>
  <c r="AE604" i="91"/>
  <c r="AD604" i="91"/>
  <c r="AC604" i="91"/>
  <c r="AH603" i="91"/>
  <c r="AG603" i="91"/>
  <c r="AF603" i="91"/>
  <c r="AE603" i="91"/>
  <c r="AD603" i="91"/>
  <c r="AC603" i="91"/>
  <c r="AH602" i="91"/>
  <c r="AG602" i="91"/>
  <c r="AF602" i="91"/>
  <c r="AE602" i="91"/>
  <c r="AD602" i="91"/>
  <c r="AC602" i="91"/>
  <c r="AH601" i="91"/>
  <c r="AG601" i="91"/>
  <c r="AF601" i="91"/>
  <c r="AE601" i="91"/>
  <c r="AD601" i="91"/>
  <c r="AC601" i="91"/>
  <c r="AH600" i="91"/>
  <c r="AG600" i="91"/>
  <c r="AF600" i="91"/>
  <c r="AE600" i="91"/>
  <c r="AD600" i="91"/>
  <c r="AC600" i="91"/>
  <c r="AH599" i="91"/>
  <c r="AG599" i="91"/>
  <c r="AF599" i="91"/>
  <c r="AE599" i="91"/>
  <c r="AD599" i="91"/>
  <c r="AC599" i="91"/>
  <c r="AH598" i="91"/>
  <c r="AG598" i="91"/>
  <c r="AF598" i="91"/>
  <c r="AE598" i="91"/>
  <c r="AD598" i="91"/>
  <c r="AC598" i="91"/>
  <c r="AH597" i="91"/>
  <c r="AG597" i="91"/>
  <c r="AF597" i="91"/>
  <c r="AE597" i="91"/>
  <c r="AD597" i="91"/>
  <c r="AC597" i="91"/>
  <c r="AH596" i="91"/>
  <c r="AG596" i="91"/>
  <c r="AF596" i="91"/>
  <c r="AE596" i="91"/>
  <c r="AD596" i="91"/>
  <c r="AC596" i="91"/>
  <c r="AH595" i="91"/>
  <c r="AG595" i="91"/>
  <c r="AF595" i="91"/>
  <c r="AE595" i="91"/>
  <c r="AD595" i="91"/>
  <c r="AC595" i="91"/>
  <c r="AH594" i="91"/>
  <c r="AG594" i="91"/>
  <c r="AF594" i="91"/>
  <c r="AE594" i="91"/>
  <c r="AD594" i="91"/>
  <c r="AC594" i="91"/>
  <c r="AH593" i="91"/>
  <c r="AG593" i="91"/>
  <c r="AF593" i="91"/>
  <c r="AE593" i="91"/>
  <c r="AD593" i="91"/>
  <c r="AC593" i="91"/>
  <c r="AH592" i="91"/>
  <c r="AG592" i="91"/>
  <c r="AF592" i="91"/>
  <c r="AE592" i="91"/>
  <c r="AD592" i="91"/>
  <c r="AC592" i="91"/>
  <c r="AH591" i="91"/>
  <c r="AG591" i="91"/>
  <c r="AF591" i="91"/>
  <c r="AE591" i="91"/>
  <c r="AD591" i="91"/>
  <c r="AC591" i="91"/>
  <c r="AH590" i="91"/>
  <c r="AG590" i="91"/>
  <c r="AF590" i="91"/>
  <c r="AE590" i="91"/>
  <c r="AD590" i="91"/>
  <c r="AC590" i="91"/>
  <c r="AH589" i="91"/>
  <c r="AG589" i="91"/>
  <c r="AF589" i="91"/>
  <c r="AE589" i="91"/>
  <c r="AD589" i="91"/>
  <c r="AC589" i="91"/>
  <c r="AH588" i="91"/>
  <c r="AG588" i="91"/>
  <c r="AF588" i="91"/>
  <c r="AE588" i="91"/>
  <c r="AD588" i="91"/>
  <c r="AC588" i="91"/>
  <c r="AH587" i="91"/>
  <c r="AG587" i="91"/>
  <c r="AF587" i="91"/>
  <c r="AE587" i="91"/>
  <c r="AD587" i="91"/>
  <c r="AC587" i="91"/>
  <c r="AH586" i="91"/>
  <c r="AG586" i="91"/>
  <c r="AF586" i="91"/>
  <c r="AE586" i="91"/>
  <c r="AD586" i="91"/>
  <c r="AC586" i="91"/>
  <c r="AH585" i="91"/>
  <c r="AG585" i="91"/>
  <c r="AF585" i="91"/>
  <c r="AE585" i="91"/>
  <c r="AD585" i="91"/>
  <c r="AC585" i="91"/>
  <c r="AH584" i="91"/>
  <c r="AG584" i="91"/>
  <c r="AF584" i="91"/>
  <c r="AE584" i="91"/>
  <c r="AD584" i="91"/>
  <c r="AC584" i="91"/>
  <c r="AH583" i="91"/>
  <c r="AG583" i="91"/>
  <c r="AF583" i="91"/>
  <c r="AE583" i="91"/>
  <c r="AD583" i="91"/>
  <c r="AC583" i="91"/>
  <c r="AH582" i="91"/>
  <c r="AG582" i="91"/>
  <c r="AF582" i="91"/>
  <c r="AE582" i="91"/>
  <c r="AD582" i="91"/>
  <c r="AC582" i="91"/>
  <c r="AH581" i="91"/>
  <c r="AG581" i="91"/>
  <c r="AF581" i="91"/>
  <c r="AE581" i="91"/>
  <c r="AD581" i="91"/>
  <c r="AC581" i="91"/>
  <c r="AH580" i="91"/>
  <c r="AG580" i="91"/>
  <c r="AF580" i="91"/>
  <c r="AE580" i="91"/>
  <c r="AD580" i="91"/>
  <c r="AC580" i="91"/>
  <c r="AH579" i="91"/>
  <c r="AG579" i="91"/>
  <c r="AF579" i="91"/>
  <c r="AE579" i="91"/>
  <c r="AD579" i="91"/>
  <c r="AC579" i="91"/>
  <c r="AH578" i="91"/>
  <c r="AG578" i="91"/>
  <c r="AF578" i="91"/>
  <c r="AE578" i="91"/>
  <c r="AD578" i="91"/>
  <c r="AC578" i="91"/>
  <c r="AH577" i="91"/>
  <c r="AG577" i="91"/>
  <c r="AF577" i="91"/>
  <c r="AE577" i="91"/>
  <c r="AD577" i="91"/>
  <c r="AC577" i="91"/>
  <c r="AH576" i="91"/>
  <c r="AG576" i="91"/>
  <c r="AF576" i="91"/>
  <c r="AE576" i="91"/>
  <c r="AD576" i="91"/>
  <c r="AC576" i="91"/>
  <c r="AH575" i="91"/>
  <c r="AG575" i="91"/>
  <c r="AF575" i="91"/>
  <c r="AE575" i="91"/>
  <c r="AD575" i="91"/>
  <c r="AC575" i="91"/>
  <c r="AH574" i="91"/>
  <c r="AG574" i="91"/>
  <c r="AF574" i="91"/>
  <c r="AE574" i="91"/>
  <c r="AD574" i="91"/>
  <c r="AC574" i="91"/>
  <c r="AH573" i="91"/>
  <c r="AG573" i="91"/>
  <c r="AF573" i="91"/>
  <c r="AE573" i="91"/>
  <c r="AD573" i="91"/>
  <c r="AC573" i="91"/>
  <c r="AH572" i="91"/>
  <c r="AG572" i="91"/>
  <c r="AF572" i="91"/>
  <c r="AE572" i="91"/>
  <c r="AD572" i="91"/>
  <c r="AC572" i="91"/>
  <c r="AH571" i="91"/>
  <c r="AG571" i="91"/>
  <c r="AF571" i="91"/>
  <c r="AE571" i="91"/>
  <c r="AD571" i="91"/>
  <c r="AC571" i="91"/>
  <c r="AH570" i="91"/>
  <c r="AG570" i="91"/>
  <c r="AF570" i="91"/>
  <c r="AE570" i="91"/>
  <c r="AD570" i="91"/>
  <c r="AC570" i="91"/>
  <c r="AH569" i="91"/>
  <c r="AG569" i="91"/>
  <c r="AF569" i="91"/>
  <c r="AE569" i="91"/>
  <c r="AD569" i="91"/>
  <c r="AC569" i="91"/>
  <c r="AH568" i="91"/>
  <c r="AG568" i="91"/>
  <c r="AF568" i="91"/>
  <c r="AE568" i="91"/>
  <c r="AD568" i="91"/>
  <c r="AC568" i="91"/>
  <c r="AH567" i="91"/>
  <c r="AG567" i="91"/>
  <c r="AF567" i="91"/>
  <c r="AE567" i="91"/>
  <c r="AD567" i="91"/>
  <c r="AC567" i="91"/>
  <c r="AH566" i="91"/>
  <c r="AG566" i="91"/>
  <c r="AF566" i="91"/>
  <c r="AE566" i="91"/>
  <c r="AD566" i="91"/>
  <c r="AC566" i="91"/>
  <c r="AH565" i="91"/>
  <c r="AG565" i="91"/>
  <c r="AF565" i="91"/>
  <c r="AE565" i="91"/>
  <c r="AD565" i="91"/>
  <c r="AC565" i="91"/>
  <c r="AH564" i="91"/>
  <c r="AG564" i="91"/>
  <c r="AF564" i="91"/>
  <c r="AE564" i="91"/>
  <c r="AD564" i="91"/>
  <c r="AC564" i="91"/>
  <c r="AH563" i="91"/>
  <c r="AG563" i="91"/>
  <c r="AF563" i="91"/>
  <c r="AE563" i="91"/>
  <c r="AD563" i="91"/>
  <c r="AC563" i="91"/>
  <c r="AH562" i="91"/>
  <c r="AG562" i="91"/>
  <c r="AF562" i="91"/>
  <c r="AE562" i="91"/>
  <c r="AD562" i="91"/>
  <c r="AC562" i="91"/>
  <c r="AH561" i="91"/>
  <c r="AG561" i="91"/>
  <c r="AF561" i="91"/>
  <c r="AE561" i="91"/>
  <c r="AD561" i="91"/>
  <c r="AC561" i="91"/>
  <c r="AH560" i="91"/>
  <c r="AG560" i="91"/>
  <c r="AF560" i="91"/>
  <c r="AE560" i="91"/>
  <c r="AD560" i="91"/>
  <c r="AC560" i="91"/>
  <c r="AH559" i="91"/>
  <c r="AG559" i="91"/>
  <c r="AF559" i="91"/>
  <c r="AE559" i="91"/>
  <c r="AD559" i="91"/>
  <c r="AC559" i="91"/>
  <c r="AH558" i="91"/>
  <c r="AG558" i="91"/>
  <c r="AF558" i="91"/>
  <c r="AE558" i="91"/>
  <c r="AD558" i="91"/>
  <c r="AC558" i="91"/>
  <c r="AH557" i="91"/>
  <c r="AG557" i="91"/>
  <c r="AF557" i="91"/>
  <c r="AE557" i="91"/>
  <c r="AD557" i="91"/>
  <c r="AC557" i="91"/>
  <c r="AH556" i="91"/>
  <c r="AG556" i="91"/>
  <c r="AF556" i="91"/>
  <c r="AE556" i="91"/>
  <c r="AD556" i="91"/>
  <c r="AC556" i="91"/>
  <c r="AH555" i="91"/>
  <c r="AG555" i="91"/>
  <c r="AF555" i="91"/>
  <c r="AE555" i="91"/>
  <c r="AD555" i="91"/>
  <c r="AC555" i="91"/>
  <c r="AH554" i="91"/>
  <c r="AG554" i="91"/>
  <c r="AF554" i="91"/>
  <c r="AE554" i="91"/>
  <c r="AD554" i="91"/>
  <c r="AC554" i="91"/>
  <c r="AH553" i="91"/>
  <c r="AG553" i="91"/>
  <c r="AF553" i="91"/>
  <c r="AE553" i="91"/>
  <c r="AD553" i="91"/>
  <c r="AC553" i="91"/>
  <c r="AH552" i="91"/>
  <c r="AG552" i="91"/>
  <c r="AF552" i="91"/>
  <c r="AE552" i="91"/>
  <c r="AD552" i="91"/>
  <c r="AC552" i="91"/>
  <c r="AH551" i="91"/>
  <c r="AG551" i="91"/>
  <c r="AF551" i="91"/>
  <c r="AE551" i="91"/>
  <c r="AD551" i="91"/>
  <c r="AC551" i="91"/>
  <c r="AH550" i="91"/>
  <c r="AG550" i="91"/>
  <c r="AF550" i="91"/>
  <c r="AE550" i="91"/>
  <c r="AD550" i="91"/>
  <c r="AC550" i="91"/>
  <c r="AH549" i="91"/>
  <c r="AG549" i="91"/>
  <c r="AF549" i="91"/>
  <c r="AE549" i="91"/>
  <c r="AD549" i="91"/>
  <c r="AC549" i="91"/>
  <c r="AH548" i="91"/>
  <c r="AG548" i="91"/>
  <c r="AF548" i="91"/>
  <c r="AE548" i="91"/>
  <c r="AD548" i="91"/>
  <c r="AC548" i="91"/>
  <c r="AH547" i="91"/>
  <c r="AG547" i="91"/>
  <c r="AF547" i="91"/>
  <c r="AE547" i="91"/>
  <c r="AD547" i="91"/>
  <c r="AC547" i="91"/>
  <c r="AH546" i="91"/>
  <c r="AG546" i="91"/>
  <c r="AF546" i="91"/>
  <c r="AE546" i="91"/>
  <c r="AD546" i="91"/>
  <c r="AC546" i="91"/>
  <c r="AH545" i="91"/>
  <c r="AG545" i="91"/>
  <c r="AF545" i="91"/>
  <c r="AE545" i="91"/>
  <c r="AD545" i="91"/>
  <c r="AC545" i="91"/>
  <c r="AH544" i="91"/>
  <c r="AG544" i="91"/>
  <c r="AF544" i="91"/>
  <c r="AE544" i="91"/>
  <c r="AD544" i="91"/>
  <c r="AC544" i="91"/>
  <c r="AH543" i="91"/>
  <c r="AG543" i="91"/>
  <c r="AF543" i="91"/>
  <c r="AE543" i="91"/>
  <c r="AD543" i="91"/>
  <c r="AC543" i="91"/>
  <c r="AH542" i="91"/>
  <c r="AG542" i="91"/>
  <c r="AF542" i="91"/>
  <c r="AE542" i="91"/>
  <c r="AD542" i="91"/>
  <c r="AC542" i="91"/>
  <c r="AH541" i="91"/>
  <c r="AG541" i="91"/>
  <c r="AF541" i="91"/>
  <c r="AE541" i="91"/>
  <c r="AD541" i="91"/>
  <c r="AC541" i="91"/>
  <c r="AH540" i="91"/>
  <c r="AG540" i="91"/>
  <c r="AF540" i="91"/>
  <c r="AE540" i="91"/>
  <c r="AD540" i="91"/>
  <c r="AC540" i="91"/>
  <c r="AH539" i="91"/>
  <c r="AG539" i="91"/>
  <c r="AF539" i="91"/>
  <c r="AE539" i="91"/>
  <c r="AD539" i="91"/>
  <c r="AC539" i="91"/>
  <c r="AH538" i="91"/>
  <c r="AG538" i="91"/>
  <c r="AF538" i="91"/>
  <c r="AE538" i="91"/>
  <c r="AD538" i="91"/>
  <c r="AC538" i="91"/>
  <c r="AH537" i="91"/>
  <c r="AG537" i="91"/>
  <c r="AF537" i="91"/>
  <c r="AE537" i="91"/>
  <c r="AD537" i="91"/>
  <c r="AC537" i="91"/>
  <c r="AH536" i="91"/>
  <c r="AG536" i="91"/>
  <c r="AF536" i="91"/>
  <c r="AE536" i="91"/>
  <c r="AD536" i="91"/>
  <c r="AC536" i="91"/>
  <c r="AH535" i="91"/>
  <c r="AG535" i="91"/>
  <c r="AF535" i="91"/>
  <c r="AE535" i="91"/>
  <c r="AD535" i="91"/>
  <c r="AC535" i="91"/>
  <c r="AH534" i="91"/>
  <c r="AG534" i="91"/>
  <c r="AF534" i="91"/>
  <c r="AE534" i="91"/>
  <c r="AD534" i="91"/>
  <c r="AC534" i="91"/>
  <c r="AH533" i="91"/>
  <c r="AG533" i="91"/>
  <c r="AF533" i="91"/>
  <c r="AE533" i="91"/>
  <c r="AD533" i="91"/>
  <c r="AC533" i="91"/>
  <c r="AH532" i="91"/>
  <c r="AG532" i="91"/>
  <c r="AF532" i="91"/>
  <c r="AE532" i="91"/>
  <c r="AD532" i="91"/>
  <c r="AC532" i="91"/>
  <c r="AH531" i="91"/>
  <c r="AG531" i="91"/>
  <c r="AF531" i="91"/>
  <c r="AE531" i="91"/>
  <c r="AD531" i="91"/>
  <c r="AC531" i="91"/>
  <c r="AH530" i="91"/>
  <c r="AG530" i="91"/>
  <c r="AF530" i="91"/>
  <c r="AE530" i="91"/>
  <c r="AD530" i="91"/>
  <c r="AC530" i="91"/>
  <c r="AH529" i="91"/>
  <c r="AG529" i="91"/>
  <c r="AF529" i="91"/>
  <c r="AE529" i="91"/>
  <c r="AD529" i="91"/>
  <c r="AC529" i="91"/>
  <c r="AH528" i="91"/>
  <c r="AG528" i="91"/>
  <c r="AF528" i="91"/>
  <c r="AE528" i="91"/>
  <c r="AD528" i="91"/>
  <c r="AC528" i="91"/>
  <c r="AH527" i="91"/>
  <c r="AG527" i="91"/>
  <c r="AF527" i="91"/>
  <c r="AE527" i="91"/>
  <c r="AD527" i="91"/>
  <c r="AC527" i="91"/>
  <c r="AH526" i="91"/>
  <c r="AG526" i="91"/>
  <c r="AF526" i="91"/>
  <c r="AE526" i="91"/>
  <c r="AD526" i="91"/>
  <c r="AC526" i="91"/>
  <c r="AH525" i="91"/>
  <c r="AG525" i="91"/>
  <c r="AF525" i="91"/>
  <c r="AE525" i="91"/>
  <c r="AD525" i="91"/>
  <c r="AC525" i="91"/>
  <c r="AH524" i="91"/>
  <c r="AG524" i="91"/>
  <c r="AF524" i="91"/>
  <c r="AE524" i="91"/>
  <c r="AD524" i="91"/>
  <c r="AC524" i="91"/>
  <c r="AH523" i="91"/>
  <c r="AG523" i="91"/>
  <c r="AF523" i="91"/>
  <c r="AE523" i="91"/>
  <c r="AD523" i="91"/>
  <c r="AC523" i="91"/>
  <c r="AH522" i="91"/>
  <c r="AG522" i="91"/>
  <c r="AF522" i="91"/>
  <c r="AE522" i="91"/>
  <c r="AD522" i="91"/>
  <c r="AC522" i="91"/>
  <c r="AH521" i="91"/>
  <c r="AG521" i="91"/>
  <c r="AF521" i="91"/>
  <c r="AE521" i="91"/>
  <c r="AD521" i="91"/>
  <c r="AC521" i="91"/>
  <c r="AH520" i="91"/>
  <c r="AG520" i="91"/>
  <c r="AF520" i="91"/>
  <c r="AE520" i="91"/>
  <c r="AD520" i="91"/>
  <c r="AC520" i="91"/>
  <c r="AH519" i="91"/>
  <c r="AG519" i="91"/>
  <c r="AF519" i="91"/>
  <c r="AE519" i="91"/>
  <c r="AD519" i="91"/>
  <c r="AC519" i="91"/>
  <c r="AH518" i="91"/>
  <c r="AG518" i="91"/>
  <c r="AF518" i="91"/>
  <c r="AE518" i="91"/>
  <c r="AD518" i="91"/>
  <c r="AC518" i="91"/>
  <c r="AH517" i="91"/>
  <c r="AG517" i="91"/>
  <c r="AF517" i="91"/>
  <c r="AE517" i="91"/>
  <c r="AD517" i="91"/>
  <c r="AC517" i="91"/>
  <c r="AH516" i="91"/>
  <c r="AG516" i="91"/>
  <c r="AF516" i="91"/>
  <c r="AE516" i="91"/>
  <c r="AD516" i="91"/>
  <c r="AC516" i="91"/>
  <c r="AH515" i="91"/>
  <c r="AG515" i="91"/>
  <c r="AF515" i="91"/>
  <c r="AE515" i="91"/>
  <c r="AD515" i="91"/>
  <c r="AC515" i="91"/>
  <c r="AH514" i="91"/>
  <c r="AG514" i="91"/>
  <c r="AF514" i="91"/>
  <c r="AE514" i="91"/>
  <c r="AD514" i="91"/>
  <c r="AC514" i="91"/>
  <c r="AH513" i="91"/>
  <c r="AG513" i="91"/>
  <c r="AF513" i="91"/>
  <c r="AE513" i="91"/>
  <c r="AD513" i="91"/>
  <c r="AC513" i="91"/>
  <c r="AH512" i="91"/>
  <c r="AG512" i="91"/>
  <c r="AF512" i="91"/>
  <c r="AE512" i="91"/>
  <c r="AD512" i="91"/>
  <c r="AC512" i="91"/>
  <c r="AH511" i="91"/>
  <c r="AG511" i="91"/>
  <c r="AF511" i="91"/>
  <c r="AE511" i="91"/>
  <c r="AD511" i="91"/>
  <c r="AC511" i="91"/>
  <c r="AH510" i="91"/>
  <c r="AG510" i="91"/>
  <c r="AF510" i="91"/>
  <c r="AE510" i="91"/>
  <c r="AD510" i="91"/>
  <c r="AC510" i="91"/>
  <c r="AH509" i="91"/>
  <c r="AG509" i="91"/>
  <c r="AF509" i="91"/>
  <c r="AE509" i="91"/>
  <c r="AD509" i="91"/>
  <c r="AC509" i="91"/>
  <c r="AH508" i="91"/>
  <c r="AG508" i="91"/>
  <c r="AF508" i="91"/>
  <c r="AE508" i="91"/>
  <c r="AD508" i="91"/>
  <c r="AC508" i="91"/>
  <c r="AH507" i="91"/>
  <c r="AG507" i="91"/>
  <c r="AF507" i="91"/>
  <c r="AE507" i="91"/>
  <c r="AD507" i="91"/>
  <c r="AC507" i="91"/>
  <c r="AH506" i="91"/>
  <c r="AG506" i="91"/>
  <c r="AF506" i="91"/>
  <c r="AE506" i="91"/>
  <c r="AD506" i="91"/>
  <c r="AC506" i="91"/>
  <c r="AH505" i="91"/>
  <c r="AG505" i="91"/>
  <c r="AF505" i="91"/>
  <c r="AE505" i="91"/>
  <c r="AD505" i="91"/>
  <c r="AC505" i="91"/>
  <c r="AH504" i="91"/>
  <c r="AG504" i="91"/>
  <c r="AF504" i="91"/>
  <c r="AE504" i="91"/>
  <c r="AD504" i="91"/>
  <c r="AC504" i="91"/>
  <c r="AH503" i="91"/>
  <c r="AG503" i="91"/>
  <c r="AF503" i="91"/>
  <c r="AE503" i="91"/>
  <c r="AD503" i="91"/>
  <c r="AC503" i="91"/>
  <c r="AH502" i="91"/>
  <c r="AG502" i="91"/>
  <c r="AF502" i="91"/>
  <c r="AE502" i="91"/>
  <c r="AD502" i="91"/>
  <c r="AC502" i="91"/>
  <c r="AH501" i="91"/>
  <c r="AG501" i="91"/>
  <c r="AF501" i="91"/>
  <c r="AE501" i="91"/>
  <c r="AD501" i="91"/>
  <c r="AC501" i="91"/>
  <c r="AH500" i="91"/>
  <c r="AG500" i="91"/>
  <c r="AF500" i="91"/>
  <c r="AE500" i="91"/>
  <c r="AD500" i="91"/>
  <c r="AC500" i="91"/>
  <c r="AH499" i="91"/>
  <c r="AG499" i="91"/>
  <c r="AF499" i="91"/>
  <c r="AE499" i="91"/>
  <c r="AD499" i="91"/>
  <c r="AC499" i="91"/>
  <c r="AH498" i="91"/>
  <c r="AG498" i="91"/>
  <c r="AF498" i="91"/>
  <c r="AE498" i="91"/>
  <c r="AD498" i="91"/>
  <c r="AC498" i="91"/>
  <c r="AH497" i="91"/>
  <c r="AG497" i="91"/>
  <c r="AF497" i="91"/>
  <c r="AE497" i="91"/>
  <c r="AD497" i="91"/>
  <c r="AC497" i="91"/>
  <c r="AH496" i="91"/>
  <c r="AG496" i="91"/>
  <c r="AF496" i="91"/>
  <c r="AE496" i="91"/>
  <c r="AD496" i="91"/>
  <c r="AC496" i="91"/>
  <c r="AH495" i="91"/>
  <c r="AG495" i="91"/>
  <c r="AF495" i="91"/>
  <c r="AE495" i="91"/>
  <c r="AD495" i="91"/>
  <c r="AC495" i="91"/>
  <c r="AH494" i="91"/>
  <c r="AG494" i="91"/>
  <c r="AF494" i="91"/>
  <c r="AE494" i="91"/>
  <c r="AD494" i="91"/>
  <c r="AC494" i="91"/>
  <c r="AH493" i="91"/>
  <c r="AG493" i="91"/>
  <c r="AF493" i="91"/>
  <c r="AE493" i="91"/>
  <c r="AD493" i="91"/>
  <c r="AC493" i="91"/>
  <c r="AH492" i="91"/>
  <c r="AG492" i="91"/>
  <c r="AF492" i="91"/>
  <c r="AE492" i="91"/>
  <c r="AD492" i="91"/>
  <c r="AC492" i="91"/>
  <c r="AH491" i="91"/>
  <c r="AG491" i="91"/>
  <c r="AF491" i="91"/>
  <c r="AE491" i="91"/>
  <c r="AD491" i="91"/>
  <c r="AC491" i="91"/>
  <c r="AH490" i="91"/>
  <c r="AG490" i="91"/>
  <c r="AF490" i="91"/>
  <c r="AE490" i="91"/>
  <c r="AD490" i="91"/>
  <c r="AC490" i="91"/>
  <c r="AH489" i="91"/>
  <c r="AG489" i="91"/>
  <c r="AF489" i="91"/>
  <c r="AE489" i="91"/>
  <c r="AD489" i="91"/>
  <c r="AC489" i="91"/>
  <c r="AH488" i="91"/>
  <c r="AG488" i="91"/>
  <c r="AF488" i="91"/>
  <c r="AE488" i="91"/>
  <c r="AD488" i="91"/>
  <c r="AC488" i="91"/>
  <c r="AH487" i="91"/>
  <c r="AG487" i="91"/>
  <c r="AF487" i="91"/>
  <c r="AE487" i="91"/>
  <c r="AD487" i="91"/>
  <c r="AC487" i="91"/>
  <c r="AH486" i="91"/>
  <c r="AG486" i="91"/>
  <c r="AF486" i="91"/>
  <c r="AE486" i="91"/>
  <c r="AD486" i="91"/>
  <c r="AC486" i="91"/>
  <c r="AH485" i="91"/>
  <c r="AG485" i="91"/>
  <c r="AF485" i="91"/>
  <c r="AE485" i="91"/>
  <c r="AD485" i="91"/>
  <c r="AC485" i="91"/>
  <c r="AH484" i="91"/>
  <c r="AG484" i="91"/>
  <c r="AF484" i="91"/>
  <c r="AE484" i="91"/>
  <c r="AD484" i="91"/>
  <c r="AC484" i="91"/>
  <c r="AH483" i="91"/>
  <c r="AG483" i="91"/>
  <c r="AF483" i="91"/>
  <c r="AE483" i="91"/>
  <c r="AD483" i="91"/>
  <c r="AC483" i="91"/>
  <c r="AH482" i="91"/>
  <c r="AG482" i="91"/>
  <c r="AF482" i="91"/>
  <c r="AE482" i="91"/>
  <c r="AD482" i="91"/>
  <c r="AC482" i="91"/>
  <c r="AH481" i="91"/>
  <c r="AG481" i="91"/>
  <c r="AF481" i="91"/>
  <c r="AE481" i="91"/>
  <c r="AD481" i="91"/>
  <c r="AC481" i="91"/>
  <c r="AH480" i="91"/>
  <c r="AG480" i="91"/>
  <c r="AF480" i="91"/>
  <c r="AE480" i="91"/>
  <c r="AD480" i="91"/>
  <c r="AC480" i="91"/>
  <c r="AH479" i="91"/>
  <c r="AG479" i="91"/>
  <c r="AF479" i="91"/>
  <c r="AE479" i="91"/>
  <c r="AD479" i="91"/>
  <c r="AC479" i="91"/>
  <c r="AH478" i="91"/>
  <c r="AG478" i="91"/>
  <c r="AF478" i="91"/>
  <c r="AE478" i="91"/>
  <c r="AD478" i="91"/>
  <c r="AC478" i="91"/>
  <c r="AH477" i="91"/>
  <c r="AG477" i="91"/>
  <c r="AF477" i="91"/>
  <c r="AE477" i="91"/>
  <c r="AD477" i="91"/>
  <c r="AC477" i="91"/>
  <c r="AH476" i="91"/>
  <c r="AG476" i="91"/>
  <c r="AF476" i="91"/>
  <c r="AE476" i="91"/>
  <c r="AD476" i="91"/>
  <c r="AC476" i="91"/>
  <c r="AH475" i="91"/>
  <c r="AG475" i="91"/>
  <c r="AF475" i="91"/>
  <c r="AE475" i="91"/>
  <c r="AD475" i="91"/>
  <c r="AC475" i="91"/>
  <c r="AH474" i="91"/>
  <c r="AG474" i="91"/>
  <c r="AF474" i="91"/>
  <c r="AE474" i="91"/>
  <c r="AD474" i="91"/>
  <c r="AC474" i="91"/>
  <c r="AH473" i="91"/>
  <c r="AG473" i="91"/>
  <c r="AF473" i="91"/>
  <c r="AE473" i="91"/>
  <c r="AD473" i="91"/>
  <c r="AC473" i="91"/>
  <c r="AH472" i="91"/>
  <c r="AG472" i="91"/>
  <c r="AF472" i="91"/>
  <c r="AE472" i="91"/>
  <c r="AD472" i="91"/>
  <c r="AC472" i="91"/>
  <c r="AH471" i="91"/>
  <c r="AG471" i="91"/>
  <c r="AF471" i="91"/>
  <c r="AE471" i="91"/>
  <c r="AD471" i="91"/>
  <c r="AC471" i="91"/>
  <c r="AH470" i="91"/>
  <c r="AG470" i="91"/>
  <c r="AF470" i="91"/>
  <c r="AE470" i="91"/>
  <c r="AD470" i="91"/>
  <c r="AC470" i="91"/>
  <c r="AH469" i="91"/>
  <c r="AG469" i="91"/>
  <c r="AF469" i="91"/>
  <c r="AE469" i="91"/>
  <c r="AD469" i="91"/>
  <c r="AC469" i="91"/>
  <c r="AH468" i="91"/>
  <c r="AG468" i="91"/>
  <c r="AF468" i="91"/>
  <c r="AE468" i="91"/>
  <c r="AD468" i="91"/>
  <c r="AC468" i="91"/>
  <c r="AH467" i="91"/>
  <c r="AG467" i="91"/>
  <c r="AF467" i="91"/>
  <c r="AE467" i="91"/>
  <c r="AD467" i="91"/>
  <c r="AC467" i="91"/>
  <c r="AH466" i="91"/>
  <c r="AG466" i="91"/>
  <c r="AF466" i="91"/>
  <c r="AE466" i="91"/>
  <c r="AD466" i="91"/>
  <c r="AC466" i="91"/>
  <c r="AH465" i="91"/>
  <c r="AG465" i="91"/>
  <c r="AF465" i="91"/>
  <c r="AE465" i="91"/>
  <c r="AD465" i="91"/>
  <c r="AC465" i="91"/>
  <c r="AH464" i="91"/>
  <c r="AG464" i="91"/>
  <c r="AF464" i="91"/>
  <c r="AE464" i="91"/>
  <c r="AD464" i="91"/>
  <c r="AC464" i="91"/>
  <c r="AH463" i="91"/>
  <c r="AG463" i="91"/>
  <c r="AF463" i="91"/>
  <c r="AE463" i="91"/>
  <c r="AD463" i="91"/>
  <c r="AC463" i="91"/>
  <c r="AH462" i="91"/>
  <c r="AG462" i="91"/>
  <c r="AF462" i="91"/>
  <c r="AE462" i="91"/>
  <c r="AD462" i="91"/>
  <c r="AC462" i="91"/>
  <c r="AH461" i="91"/>
  <c r="AG461" i="91"/>
  <c r="AF461" i="91"/>
  <c r="AE461" i="91"/>
  <c r="AD461" i="91"/>
  <c r="AC461" i="91"/>
  <c r="AH460" i="91"/>
  <c r="AG460" i="91"/>
  <c r="AF460" i="91"/>
  <c r="AE460" i="91"/>
  <c r="AD460" i="91"/>
  <c r="AC460" i="91"/>
  <c r="AH459" i="91"/>
  <c r="AG459" i="91"/>
  <c r="AF459" i="91"/>
  <c r="AE459" i="91"/>
  <c r="AD459" i="91"/>
  <c r="AC459" i="91"/>
  <c r="AH458" i="91"/>
  <c r="AG458" i="91"/>
  <c r="AF458" i="91"/>
  <c r="AE458" i="91"/>
  <c r="AD458" i="91"/>
  <c r="AC458" i="91"/>
  <c r="AH457" i="91"/>
  <c r="AG457" i="91"/>
  <c r="AF457" i="91"/>
  <c r="AE457" i="91"/>
  <c r="AD457" i="91"/>
  <c r="AC457" i="91"/>
  <c r="AH456" i="91"/>
  <c r="AG456" i="91"/>
  <c r="AF456" i="91"/>
  <c r="AE456" i="91"/>
  <c r="AD456" i="91"/>
  <c r="AC456" i="91"/>
  <c r="AH455" i="91"/>
  <c r="AG455" i="91"/>
  <c r="AF455" i="91"/>
  <c r="AE455" i="91"/>
  <c r="AD455" i="91"/>
  <c r="AC455" i="91"/>
  <c r="AH454" i="91"/>
  <c r="AG454" i="91"/>
  <c r="AF454" i="91"/>
  <c r="AE454" i="91"/>
  <c r="AD454" i="91"/>
  <c r="AC454" i="91"/>
  <c r="AH453" i="91"/>
  <c r="AG453" i="91"/>
  <c r="AF453" i="91"/>
  <c r="AE453" i="91"/>
  <c r="AD453" i="91"/>
  <c r="AC453" i="91"/>
  <c r="AH452" i="91"/>
  <c r="AG452" i="91"/>
  <c r="AF452" i="91"/>
  <c r="AE452" i="91"/>
  <c r="AD452" i="91"/>
  <c r="AC452" i="91"/>
  <c r="AH451" i="91"/>
  <c r="AG451" i="91"/>
  <c r="AF451" i="91"/>
  <c r="AE451" i="91"/>
  <c r="AD451" i="91"/>
  <c r="AC451" i="91"/>
  <c r="AH450" i="91"/>
  <c r="AG450" i="91"/>
  <c r="AF450" i="91"/>
  <c r="AE450" i="91"/>
  <c r="AD450" i="91"/>
  <c r="AC450" i="91"/>
  <c r="AH449" i="91"/>
  <c r="AG449" i="91"/>
  <c r="AF449" i="91"/>
  <c r="AE449" i="91"/>
  <c r="AD449" i="91"/>
  <c r="AC449" i="91"/>
  <c r="AH448" i="91"/>
  <c r="AG448" i="91"/>
  <c r="AF448" i="91"/>
  <c r="AE448" i="91"/>
  <c r="AD448" i="91"/>
  <c r="AC448" i="91"/>
  <c r="AH447" i="91"/>
  <c r="AG447" i="91"/>
  <c r="AF447" i="91"/>
  <c r="AE447" i="91"/>
  <c r="AD447" i="91"/>
  <c r="AC447" i="91"/>
  <c r="AH446" i="91"/>
  <c r="AG446" i="91"/>
  <c r="AF446" i="91"/>
  <c r="AE446" i="91"/>
  <c r="AD446" i="91"/>
  <c r="AC446" i="91"/>
  <c r="AH445" i="91"/>
  <c r="AG445" i="91"/>
  <c r="AF445" i="91"/>
  <c r="AE445" i="91"/>
  <c r="AD445" i="91"/>
  <c r="AC445" i="91"/>
  <c r="AH444" i="91"/>
  <c r="AG444" i="91"/>
  <c r="AF444" i="91"/>
  <c r="AE444" i="91"/>
  <c r="AD444" i="91"/>
  <c r="AC444" i="91"/>
  <c r="AH443" i="91"/>
  <c r="AG443" i="91"/>
  <c r="AF443" i="91"/>
  <c r="AE443" i="91"/>
  <c r="AD443" i="91"/>
  <c r="AC443" i="91"/>
  <c r="AH442" i="91"/>
  <c r="AG442" i="91"/>
  <c r="AF442" i="91"/>
  <c r="AE442" i="91"/>
  <c r="AD442" i="91"/>
  <c r="AC442" i="91"/>
  <c r="AH441" i="91"/>
  <c r="AG441" i="91"/>
  <c r="AF441" i="91"/>
  <c r="AE441" i="91"/>
  <c r="AD441" i="91"/>
  <c r="AC441" i="91"/>
  <c r="AH440" i="91"/>
  <c r="AG440" i="91"/>
  <c r="AF440" i="91"/>
  <c r="AE440" i="91"/>
  <c r="AD440" i="91"/>
  <c r="AC440" i="91"/>
  <c r="AH439" i="91"/>
  <c r="AG439" i="91"/>
  <c r="AF439" i="91"/>
  <c r="AE439" i="91"/>
  <c r="AD439" i="91"/>
  <c r="AC439" i="91"/>
  <c r="AH438" i="91"/>
  <c r="AG438" i="91"/>
  <c r="AF438" i="91"/>
  <c r="AE438" i="91"/>
  <c r="AD438" i="91"/>
  <c r="AC438" i="91"/>
  <c r="AH437" i="91"/>
  <c r="AG437" i="91"/>
  <c r="AF437" i="91"/>
  <c r="AE437" i="91"/>
  <c r="AD437" i="91"/>
  <c r="AC437" i="91"/>
  <c r="AH436" i="91"/>
  <c r="AG436" i="91"/>
  <c r="AF436" i="91"/>
  <c r="AE436" i="91"/>
  <c r="AD436" i="91"/>
  <c r="AC436" i="91"/>
  <c r="AH435" i="91"/>
  <c r="AG435" i="91"/>
  <c r="AF435" i="91"/>
  <c r="AE435" i="91"/>
  <c r="AD435" i="91"/>
  <c r="AC435" i="91"/>
  <c r="AH434" i="91"/>
  <c r="AG434" i="91"/>
  <c r="AF434" i="91"/>
  <c r="AE434" i="91"/>
  <c r="AD434" i="91"/>
  <c r="AC434" i="91"/>
  <c r="AH433" i="91"/>
  <c r="AG433" i="91"/>
  <c r="AF433" i="91"/>
  <c r="AE433" i="91"/>
  <c r="AD433" i="91"/>
  <c r="AC433" i="91"/>
  <c r="AH432" i="91"/>
  <c r="AG432" i="91"/>
  <c r="AF432" i="91"/>
  <c r="AE432" i="91"/>
  <c r="AD432" i="91"/>
  <c r="AC432" i="91"/>
  <c r="AH431" i="91"/>
  <c r="AG431" i="91"/>
  <c r="AF431" i="91"/>
  <c r="AE431" i="91"/>
  <c r="AD431" i="91"/>
  <c r="AC431" i="91"/>
  <c r="AH430" i="91"/>
  <c r="AG430" i="91"/>
  <c r="AF430" i="91"/>
  <c r="AE430" i="91"/>
  <c r="AD430" i="91"/>
  <c r="AC430" i="91"/>
  <c r="AH429" i="91"/>
  <c r="AG429" i="91"/>
  <c r="AF429" i="91"/>
  <c r="AE429" i="91"/>
  <c r="AD429" i="91"/>
  <c r="AC429" i="91"/>
  <c r="AH428" i="91"/>
  <c r="AG428" i="91"/>
  <c r="AF428" i="91"/>
  <c r="AE428" i="91"/>
  <c r="AD428" i="91"/>
  <c r="AC428" i="91"/>
  <c r="AH427" i="91"/>
  <c r="AG427" i="91"/>
  <c r="AF427" i="91"/>
  <c r="AE427" i="91"/>
  <c r="AD427" i="91"/>
  <c r="AC427" i="91"/>
  <c r="AH426" i="91"/>
  <c r="AG426" i="91"/>
  <c r="AF426" i="91"/>
  <c r="AE426" i="91"/>
  <c r="AD426" i="91"/>
  <c r="AC426" i="91"/>
  <c r="AH425" i="91"/>
  <c r="AG425" i="91"/>
  <c r="AF425" i="91"/>
  <c r="AE425" i="91"/>
  <c r="AD425" i="91"/>
  <c r="AC425" i="91"/>
  <c r="AH424" i="91"/>
  <c r="AG424" i="91"/>
  <c r="AF424" i="91"/>
  <c r="AE424" i="91"/>
  <c r="AD424" i="91"/>
  <c r="AC424" i="91"/>
  <c r="AH423" i="91"/>
  <c r="AG423" i="91"/>
  <c r="AF423" i="91"/>
  <c r="AE423" i="91"/>
  <c r="AD423" i="91"/>
  <c r="AC423" i="91"/>
  <c r="AH422" i="91"/>
  <c r="AG422" i="91"/>
  <c r="AF422" i="91"/>
  <c r="AE422" i="91"/>
  <c r="AD422" i="91"/>
  <c r="AC422" i="91"/>
  <c r="AH421" i="91"/>
  <c r="AG421" i="91"/>
  <c r="AF421" i="91"/>
  <c r="AE421" i="91"/>
  <c r="AD421" i="91"/>
  <c r="AC421" i="91"/>
  <c r="AH420" i="91"/>
  <c r="AG420" i="91"/>
  <c r="AF420" i="91"/>
  <c r="AE420" i="91"/>
  <c r="AD420" i="91"/>
  <c r="AC420" i="91"/>
  <c r="AH419" i="91"/>
  <c r="AG419" i="91"/>
  <c r="AF419" i="91"/>
  <c r="AE419" i="91"/>
  <c r="AD419" i="91"/>
  <c r="AC419" i="91"/>
  <c r="AH418" i="91"/>
  <c r="AG418" i="91"/>
  <c r="AF418" i="91"/>
  <c r="AE418" i="91"/>
  <c r="AD418" i="91"/>
  <c r="AC418" i="91"/>
  <c r="AH417" i="91"/>
  <c r="AG417" i="91"/>
  <c r="AF417" i="91"/>
  <c r="AE417" i="91"/>
  <c r="AD417" i="91"/>
  <c r="AC417" i="91"/>
  <c r="AH416" i="91"/>
  <c r="AG416" i="91"/>
  <c r="AF416" i="91"/>
  <c r="AE416" i="91"/>
  <c r="AD416" i="91"/>
  <c r="AC416" i="91"/>
  <c r="AH415" i="91"/>
  <c r="AG415" i="91"/>
  <c r="AF415" i="91"/>
  <c r="AE415" i="91"/>
  <c r="AD415" i="91"/>
  <c r="AC415" i="91"/>
  <c r="AH414" i="91"/>
  <c r="AG414" i="91"/>
  <c r="AF414" i="91"/>
  <c r="AE414" i="91"/>
  <c r="AD414" i="91"/>
  <c r="AC414" i="91"/>
  <c r="AH413" i="91"/>
  <c r="AG413" i="91"/>
  <c r="AF413" i="91"/>
  <c r="AE413" i="91"/>
  <c r="AD413" i="91"/>
  <c r="AC413" i="91"/>
  <c r="AH412" i="91"/>
  <c r="AG412" i="91"/>
  <c r="AF412" i="91"/>
  <c r="AE412" i="91"/>
  <c r="AD412" i="91"/>
  <c r="AC412" i="91"/>
  <c r="AH411" i="91"/>
  <c r="AG411" i="91"/>
  <c r="AF411" i="91"/>
  <c r="AE411" i="91"/>
  <c r="AD411" i="91"/>
  <c r="AC411" i="91"/>
  <c r="AH410" i="91"/>
  <c r="AG410" i="91"/>
  <c r="AF410" i="91"/>
  <c r="AE410" i="91"/>
  <c r="AD410" i="91"/>
  <c r="AC410" i="91"/>
  <c r="AH409" i="91"/>
  <c r="AG409" i="91"/>
  <c r="AF409" i="91"/>
  <c r="AE409" i="91"/>
  <c r="AD409" i="91"/>
  <c r="AC409" i="91"/>
  <c r="AH408" i="91"/>
  <c r="AG408" i="91"/>
  <c r="AF408" i="91"/>
  <c r="AE408" i="91"/>
  <c r="AD408" i="91"/>
  <c r="AC408" i="91"/>
  <c r="AH407" i="91"/>
  <c r="AG407" i="91"/>
  <c r="AF407" i="91"/>
  <c r="AE407" i="91"/>
  <c r="AD407" i="91"/>
  <c r="AC407" i="91"/>
  <c r="AH406" i="91"/>
  <c r="AG406" i="91"/>
  <c r="AF406" i="91"/>
  <c r="AE406" i="91"/>
  <c r="AD406" i="91"/>
  <c r="AC406" i="91"/>
  <c r="AH405" i="91"/>
  <c r="AG405" i="91"/>
  <c r="AF405" i="91"/>
  <c r="AE405" i="91"/>
  <c r="AD405" i="91"/>
  <c r="AC405" i="91"/>
  <c r="AH404" i="91"/>
  <c r="AG404" i="91"/>
  <c r="AF404" i="91"/>
  <c r="AE404" i="91"/>
  <c r="AD404" i="91"/>
  <c r="AC404" i="91"/>
  <c r="AH403" i="91"/>
  <c r="AG403" i="91"/>
  <c r="AF403" i="91"/>
  <c r="AE403" i="91"/>
  <c r="AD403" i="91"/>
  <c r="AC403" i="91"/>
  <c r="AH402" i="91"/>
  <c r="AG402" i="91"/>
  <c r="AF402" i="91"/>
  <c r="AE402" i="91"/>
  <c r="AD402" i="91"/>
  <c r="AC402" i="91"/>
  <c r="AH401" i="91"/>
  <c r="AG401" i="91"/>
  <c r="AF401" i="91"/>
  <c r="AE401" i="91"/>
  <c r="AD401" i="91"/>
  <c r="AC401" i="91"/>
  <c r="AH400" i="91"/>
  <c r="AG400" i="91"/>
  <c r="AF400" i="91"/>
  <c r="AE400" i="91"/>
  <c r="AD400" i="91"/>
  <c r="AC400" i="91"/>
  <c r="AH399" i="91"/>
  <c r="AG399" i="91"/>
  <c r="AF399" i="91"/>
  <c r="AE399" i="91"/>
  <c r="AD399" i="91"/>
  <c r="AC399" i="91"/>
  <c r="AH398" i="91"/>
  <c r="AG398" i="91"/>
  <c r="AF398" i="91"/>
  <c r="AE398" i="91"/>
  <c r="AD398" i="91"/>
  <c r="AC398" i="91"/>
  <c r="AH397" i="91"/>
  <c r="AG397" i="91"/>
  <c r="AF397" i="91"/>
  <c r="AE397" i="91"/>
  <c r="AD397" i="91"/>
  <c r="AC397" i="91"/>
  <c r="AH396" i="91"/>
  <c r="AG396" i="91"/>
  <c r="AF396" i="91"/>
  <c r="AE396" i="91"/>
  <c r="AD396" i="91"/>
  <c r="AC396" i="91"/>
  <c r="AH395" i="91"/>
  <c r="AG395" i="91"/>
  <c r="AF395" i="91"/>
  <c r="AE395" i="91"/>
  <c r="AD395" i="91"/>
  <c r="AC395" i="91"/>
  <c r="AH394" i="91"/>
  <c r="AG394" i="91"/>
  <c r="AF394" i="91"/>
  <c r="AE394" i="91"/>
  <c r="AD394" i="91"/>
  <c r="AC394" i="91"/>
  <c r="AH393" i="91"/>
  <c r="AG393" i="91"/>
  <c r="AF393" i="91"/>
  <c r="AE393" i="91"/>
  <c r="AD393" i="91"/>
  <c r="AC393" i="91"/>
  <c r="AH392" i="91"/>
  <c r="AG392" i="91"/>
  <c r="AF392" i="91"/>
  <c r="AE392" i="91"/>
  <c r="AD392" i="91"/>
  <c r="AC392" i="91"/>
  <c r="AH391" i="91"/>
  <c r="AG391" i="91"/>
  <c r="AF391" i="91"/>
  <c r="AE391" i="91"/>
  <c r="AD391" i="91"/>
  <c r="AC391" i="91"/>
  <c r="AH390" i="91"/>
  <c r="AG390" i="91"/>
  <c r="AF390" i="91"/>
  <c r="AE390" i="91"/>
  <c r="AD390" i="91"/>
  <c r="AC390" i="91"/>
  <c r="AH389" i="91"/>
  <c r="AG389" i="91"/>
  <c r="AF389" i="91"/>
  <c r="AE389" i="91"/>
  <c r="AD389" i="91"/>
  <c r="AC389" i="91"/>
  <c r="AH388" i="91"/>
  <c r="AG388" i="91"/>
  <c r="AF388" i="91"/>
  <c r="AE388" i="91"/>
  <c r="AD388" i="91"/>
  <c r="AC388" i="91"/>
  <c r="AH387" i="91"/>
  <c r="AG387" i="91"/>
  <c r="AF387" i="91"/>
  <c r="AE387" i="91"/>
  <c r="AD387" i="91"/>
  <c r="AC387" i="91"/>
  <c r="AH386" i="91"/>
  <c r="AG386" i="91"/>
  <c r="AF386" i="91"/>
  <c r="AE386" i="91"/>
  <c r="AD386" i="91"/>
  <c r="AC386" i="91"/>
  <c r="AH385" i="91"/>
  <c r="AG385" i="91"/>
  <c r="AF385" i="91"/>
  <c r="AE385" i="91"/>
  <c r="AD385" i="91"/>
  <c r="AC385" i="91"/>
  <c r="AH384" i="91"/>
  <c r="AG384" i="91"/>
  <c r="AF384" i="91"/>
  <c r="AE384" i="91"/>
  <c r="AD384" i="91"/>
  <c r="AC384" i="91"/>
  <c r="AH383" i="91"/>
  <c r="AG383" i="91"/>
  <c r="AF383" i="91"/>
  <c r="AE383" i="91"/>
  <c r="AD383" i="91"/>
  <c r="AC383" i="91"/>
  <c r="AH382" i="91"/>
  <c r="AG382" i="91"/>
  <c r="AF382" i="91"/>
  <c r="AE382" i="91"/>
  <c r="AD382" i="91"/>
  <c r="AC382" i="91"/>
  <c r="AH381" i="91"/>
  <c r="AG381" i="91"/>
  <c r="AF381" i="91"/>
  <c r="AE381" i="91"/>
  <c r="AD381" i="91"/>
  <c r="AC381" i="91"/>
  <c r="AH380" i="91"/>
  <c r="AG380" i="91"/>
  <c r="AF380" i="91"/>
  <c r="AE380" i="91"/>
  <c r="AD380" i="91"/>
  <c r="AC380" i="91"/>
  <c r="AH379" i="91"/>
  <c r="AG379" i="91"/>
  <c r="AF379" i="91"/>
  <c r="AE379" i="91"/>
  <c r="AD379" i="91"/>
  <c r="AC379" i="91"/>
  <c r="AH378" i="91"/>
  <c r="AG378" i="91"/>
  <c r="AF378" i="91"/>
  <c r="AE378" i="91"/>
  <c r="AD378" i="91"/>
  <c r="AC378" i="91"/>
  <c r="AH377" i="91"/>
  <c r="AG377" i="91"/>
  <c r="AF377" i="91"/>
  <c r="AE377" i="91"/>
  <c r="AD377" i="91"/>
  <c r="AC377" i="91"/>
  <c r="AH376" i="91"/>
  <c r="AG376" i="91"/>
  <c r="AF376" i="91"/>
  <c r="AE376" i="91"/>
  <c r="AD376" i="91"/>
  <c r="AC376" i="91"/>
  <c r="AH375" i="91"/>
  <c r="AG375" i="91"/>
  <c r="AF375" i="91"/>
  <c r="AE375" i="91"/>
  <c r="AD375" i="91"/>
  <c r="AC375" i="91"/>
  <c r="AH374" i="91"/>
  <c r="AG374" i="91"/>
  <c r="AF374" i="91"/>
  <c r="AE374" i="91"/>
  <c r="AD374" i="91"/>
  <c r="AC374" i="91"/>
  <c r="AH373" i="91"/>
  <c r="AG373" i="91"/>
  <c r="AF373" i="91"/>
  <c r="AE373" i="91"/>
  <c r="AD373" i="91"/>
  <c r="AC373" i="91"/>
  <c r="AH372" i="91"/>
  <c r="AG372" i="91"/>
  <c r="AF372" i="91"/>
  <c r="AE372" i="91"/>
  <c r="AD372" i="91"/>
  <c r="AC372" i="91"/>
  <c r="AH371" i="91"/>
  <c r="AG371" i="91"/>
  <c r="AF371" i="91"/>
  <c r="AE371" i="91"/>
  <c r="AD371" i="91"/>
  <c r="AC371" i="91"/>
  <c r="AH370" i="91"/>
  <c r="AG370" i="91"/>
  <c r="AF370" i="91"/>
  <c r="AE370" i="91"/>
  <c r="AD370" i="91"/>
  <c r="AC370" i="91"/>
  <c r="AH369" i="91"/>
  <c r="AG369" i="91"/>
  <c r="AF369" i="91"/>
  <c r="AE369" i="91"/>
  <c r="AD369" i="91"/>
  <c r="AC369" i="91"/>
  <c r="AH368" i="91"/>
  <c r="AG368" i="91"/>
  <c r="AF368" i="91"/>
  <c r="AE368" i="91"/>
  <c r="AD368" i="91"/>
  <c r="AC368" i="91"/>
  <c r="AH367" i="91"/>
  <c r="AG367" i="91"/>
  <c r="AF367" i="91"/>
  <c r="AE367" i="91"/>
  <c r="AD367" i="91"/>
  <c r="AC367" i="91"/>
  <c r="AH366" i="91"/>
  <c r="AG366" i="91"/>
  <c r="AF366" i="91"/>
  <c r="AE366" i="91"/>
  <c r="AD366" i="91"/>
  <c r="AC366" i="91"/>
  <c r="AH365" i="91"/>
  <c r="AG365" i="91"/>
  <c r="AF365" i="91"/>
  <c r="AE365" i="91"/>
  <c r="AD365" i="91"/>
  <c r="AC365" i="91"/>
  <c r="AH364" i="91"/>
  <c r="AG364" i="91"/>
  <c r="AF364" i="91"/>
  <c r="AE364" i="91"/>
  <c r="AD364" i="91"/>
  <c r="AC364" i="91"/>
  <c r="AH363" i="91"/>
  <c r="AG363" i="91"/>
  <c r="AF363" i="91"/>
  <c r="AE363" i="91"/>
  <c r="AD363" i="91"/>
  <c r="AC363" i="91"/>
  <c r="AH362" i="91"/>
  <c r="AG362" i="91"/>
  <c r="AF362" i="91"/>
  <c r="AE362" i="91"/>
  <c r="AD362" i="91"/>
  <c r="AC362" i="91"/>
  <c r="AH361" i="91"/>
  <c r="AG361" i="91"/>
  <c r="AF361" i="91"/>
  <c r="AE361" i="91"/>
  <c r="AD361" i="91"/>
  <c r="AC361" i="91"/>
  <c r="AH360" i="91"/>
  <c r="AG360" i="91"/>
  <c r="AF360" i="91"/>
  <c r="AE360" i="91"/>
  <c r="AD360" i="91"/>
  <c r="AC360" i="91"/>
  <c r="AH359" i="91"/>
  <c r="AG359" i="91"/>
  <c r="AF359" i="91"/>
  <c r="AE359" i="91"/>
  <c r="AD359" i="91"/>
  <c r="AC359" i="91"/>
  <c r="AH358" i="91"/>
  <c r="AG358" i="91"/>
  <c r="AF358" i="91"/>
  <c r="AE358" i="91"/>
  <c r="AD358" i="91"/>
  <c r="AC358" i="91"/>
  <c r="AH357" i="91"/>
  <c r="AG357" i="91"/>
  <c r="AF357" i="91"/>
  <c r="AE357" i="91"/>
  <c r="AD357" i="91"/>
  <c r="AC357" i="91"/>
  <c r="AH356" i="91"/>
  <c r="AG356" i="91"/>
  <c r="AF356" i="91"/>
  <c r="AE356" i="91"/>
  <c r="AD356" i="91"/>
  <c r="AC356" i="91"/>
  <c r="AH355" i="91"/>
  <c r="AG355" i="91"/>
  <c r="AF355" i="91"/>
  <c r="AE355" i="91"/>
  <c r="AD355" i="91"/>
  <c r="AC355" i="91"/>
  <c r="AH354" i="91"/>
  <c r="AG354" i="91"/>
  <c r="AF354" i="91"/>
  <c r="AE354" i="91"/>
  <c r="AD354" i="91"/>
  <c r="AC354" i="91"/>
  <c r="AH353" i="91"/>
  <c r="AG353" i="91"/>
  <c r="AF353" i="91"/>
  <c r="AE353" i="91"/>
  <c r="AD353" i="91"/>
  <c r="AC353" i="91"/>
  <c r="AH352" i="91"/>
  <c r="AG352" i="91"/>
  <c r="AF352" i="91"/>
  <c r="AE352" i="91"/>
  <c r="AD352" i="91"/>
  <c r="AC352" i="91"/>
  <c r="AH351" i="91"/>
  <c r="AG351" i="91"/>
  <c r="AF351" i="91"/>
  <c r="AE351" i="91"/>
  <c r="AD351" i="91"/>
  <c r="AC351" i="91"/>
  <c r="AH350" i="91"/>
  <c r="AG350" i="91"/>
  <c r="AF350" i="91"/>
  <c r="AE350" i="91"/>
  <c r="AD350" i="91"/>
  <c r="AC350" i="91"/>
  <c r="AH349" i="91"/>
  <c r="AG349" i="91"/>
  <c r="AF349" i="91"/>
  <c r="AE349" i="91"/>
  <c r="AD349" i="91"/>
  <c r="AC349" i="91"/>
  <c r="AH348" i="91"/>
  <c r="AG348" i="91"/>
  <c r="AF348" i="91"/>
  <c r="AE348" i="91"/>
  <c r="AD348" i="91"/>
  <c r="AC348" i="91"/>
  <c r="AH347" i="91"/>
  <c r="AG347" i="91"/>
  <c r="AF347" i="91"/>
  <c r="AE347" i="91"/>
  <c r="AD347" i="91"/>
  <c r="AC347" i="91"/>
  <c r="AH346" i="91"/>
  <c r="AG346" i="91"/>
  <c r="AF346" i="91"/>
  <c r="AE346" i="91"/>
  <c r="AD346" i="91"/>
  <c r="AC346" i="91"/>
  <c r="AH345" i="91"/>
  <c r="AG345" i="91"/>
  <c r="AF345" i="91"/>
  <c r="AE345" i="91"/>
  <c r="AD345" i="91"/>
  <c r="AC345" i="91"/>
  <c r="AH344" i="91"/>
  <c r="AG344" i="91"/>
  <c r="AF344" i="91"/>
  <c r="AE344" i="91"/>
  <c r="AD344" i="91"/>
  <c r="AC344" i="91"/>
  <c r="AH343" i="91"/>
  <c r="AG343" i="91"/>
  <c r="AF343" i="91"/>
  <c r="AE343" i="91"/>
  <c r="AD343" i="91"/>
  <c r="AC343" i="91"/>
  <c r="AH342" i="91"/>
  <c r="AG342" i="91"/>
  <c r="AF342" i="91"/>
  <c r="AE342" i="91"/>
  <c r="AD342" i="91"/>
  <c r="AC342" i="91"/>
  <c r="AH341" i="91"/>
  <c r="AG341" i="91"/>
  <c r="AF341" i="91"/>
  <c r="AE341" i="91"/>
  <c r="AD341" i="91"/>
  <c r="AC341" i="91"/>
  <c r="AH340" i="91"/>
  <c r="AG340" i="91"/>
  <c r="AF340" i="91"/>
  <c r="AE340" i="91"/>
  <c r="AD340" i="91"/>
  <c r="AC340" i="91"/>
  <c r="AH339" i="91"/>
  <c r="AG339" i="91"/>
  <c r="AF339" i="91"/>
  <c r="AE339" i="91"/>
  <c r="AD339" i="91"/>
  <c r="AC339" i="91"/>
  <c r="AH338" i="91"/>
  <c r="AG338" i="91"/>
  <c r="AF338" i="91"/>
  <c r="AE338" i="91"/>
  <c r="AD338" i="91"/>
  <c r="AC338" i="91"/>
  <c r="AH337" i="91"/>
  <c r="AG337" i="91"/>
  <c r="AF337" i="91"/>
  <c r="AE337" i="91"/>
  <c r="AD337" i="91"/>
  <c r="AC337" i="91"/>
  <c r="AH336" i="91"/>
  <c r="AG336" i="91"/>
  <c r="AF336" i="91"/>
  <c r="AE336" i="91"/>
  <c r="AD336" i="91"/>
  <c r="AC336" i="91"/>
  <c r="AH335" i="91"/>
  <c r="AG335" i="91"/>
  <c r="AF335" i="91"/>
  <c r="AE335" i="91"/>
  <c r="AD335" i="91"/>
  <c r="AC335" i="91"/>
  <c r="AH334" i="91"/>
  <c r="AG334" i="91"/>
  <c r="AF334" i="91"/>
  <c r="AE334" i="91"/>
  <c r="AD334" i="91"/>
  <c r="AC334" i="91"/>
  <c r="AH333" i="91"/>
  <c r="AG333" i="91"/>
  <c r="AF333" i="91"/>
  <c r="AE333" i="91"/>
  <c r="AD333" i="91"/>
  <c r="AC333" i="91"/>
  <c r="AH332" i="91"/>
  <c r="AG332" i="91"/>
  <c r="AF332" i="91"/>
  <c r="AE332" i="91"/>
  <c r="AD332" i="91"/>
  <c r="AC332" i="91"/>
  <c r="AH331" i="91"/>
  <c r="AG331" i="91"/>
  <c r="AF331" i="91"/>
  <c r="AE331" i="91"/>
  <c r="AD331" i="91"/>
  <c r="AC331" i="91"/>
  <c r="AH330" i="91"/>
  <c r="AG330" i="91"/>
  <c r="AF330" i="91"/>
  <c r="AE330" i="91"/>
  <c r="AD330" i="91"/>
  <c r="AC330" i="91"/>
  <c r="AH329" i="91"/>
  <c r="AG329" i="91"/>
  <c r="AF329" i="91"/>
  <c r="AE329" i="91"/>
  <c r="AD329" i="91"/>
  <c r="AC329" i="91"/>
  <c r="AH328" i="91"/>
  <c r="AG328" i="91"/>
  <c r="AF328" i="91"/>
  <c r="AE328" i="91"/>
  <c r="AD328" i="91"/>
  <c r="AC328" i="91"/>
  <c r="AH327" i="91"/>
  <c r="AG327" i="91"/>
  <c r="AF327" i="91"/>
  <c r="AE327" i="91"/>
  <c r="AD327" i="91"/>
  <c r="AC327" i="91"/>
  <c r="AH326" i="91"/>
  <c r="AG326" i="91"/>
  <c r="AF326" i="91"/>
  <c r="AE326" i="91"/>
  <c r="AD326" i="91"/>
  <c r="AC326" i="91"/>
  <c r="AH325" i="91"/>
  <c r="AG325" i="91"/>
  <c r="AF325" i="91"/>
  <c r="AE325" i="91"/>
  <c r="AD325" i="91"/>
  <c r="AC325" i="91"/>
  <c r="AH324" i="91"/>
  <c r="AG324" i="91"/>
  <c r="AF324" i="91"/>
  <c r="AE324" i="91"/>
  <c r="AD324" i="91"/>
  <c r="AC324" i="91"/>
  <c r="AH323" i="91"/>
  <c r="AG323" i="91"/>
  <c r="AF323" i="91"/>
  <c r="AE323" i="91"/>
  <c r="AD323" i="91"/>
  <c r="AC323" i="91"/>
  <c r="AH322" i="91"/>
  <c r="AG322" i="91"/>
  <c r="AF322" i="91"/>
  <c r="AE322" i="91"/>
  <c r="AD322" i="91"/>
  <c r="AC322" i="91"/>
  <c r="AH321" i="91"/>
  <c r="AG321" i="91"/>
  <c r="AF321" i="91"/>
  <c r="AE321" i="91"/>
  <c r="AD321" i="91"/>
  <c r="AC321" i="91"/>
  <c r="AH320" i="91"/>
  <c r="AG320" i="91"/>
  <c r="AF320" i="91"/>
  <c r="AE320" i="91"/>
  <c r="AD320" i="91"/>
  <c r="AC320" i="91"/>
  <c r="AH319" i="91"/>
  <c r="AG319" i="91"/>
  <c r="AF319" i="91"/>
  <c r="AE319" i="91"/>
  <c r="AD319" i="91"/>
  <c r="AC319" i="91"/>
  <c r="AH318" i="91"/>
  <c r="AG318" i="91"/>
  <c r="AF318" i="91"/>
  <c r="AE318" i="91"/>
  <c r="AD318" i="91"/>
  <c r="AC318" i="91"/>
  <c r="AH317" i="91"/>
  <c r="AG317" i="91"/>
  <c r="AF317" i="91"/>
  <c r="AE317" i="91"/>
  <c r="AD317" i="91"/>
  <c r="AC317" i="91"/>
  <c r="AH316" i="91"/>
  <c r="AG316" i="91"/>
  <c r="AF316" i="91"/>
  <c r="AE316" i="91"/>
  <c r="AD316" i="91"/>
  <c r="AC316" i="91"/>
  <c r="AH315" i="91"/>
  <c r="AG315" i="91"/>
  <c r="AF315" i="91"/>
  <c r="AE315" i="91"/>
  <c r="AD315" i="91"/>
  <c r="AC315" i="91"/>
  <c r="AH314" i="91"/>
  <c r="AG314" i="91"/>
  <c r="AF314" i="91"/>
  <c r="AE314" i="91"/>
  <c r="AD314" i="91"/>
  <c r="AC314" i="91"/>
  <c r="AH313" i="91"/>
  <c r="AG313" i="91"/>
  <c r="AF313" i="91"/>
  <c r="AE313" i="91"/>
  <c r="AD313" i="91"/>
  <c r="AC313" i="91"/>
  <c r="AH312" i="91"/>
  <c r="AG312" i="91"/>
  <c r="AF312" i="91"/>
  <c r="AE312" i="91"/>
  <c r="AD312" i="91"/>
  <c r="AC312" i="91"/>
  <c r="AH311" i="91"/>
  <c r="AG311" i="91"/>
  <c r="AF311" i="91"/>
  <c r="AE311" i="91"/>
  <c r="AD311" i="91"/>
  <c r="AC311" i="91"/>
  <c r="AH310" i="91"/>
  <c r="AG310" i="91"/>
  <c r="AF310" i="91"/>
  <c r="AE310" i="91"/>
  <c r="AD310" i="91"/>
  <c r="AC310" i="91"/>
  <c r="AH309" i="91"/>
  <c r="AG309" i="91"/>
  <c r="AF309" i="91"/>
  <c r="AE309" i="91"/>
  <c r="AD309" i="91"/>
  <c r="AC309" i="91"/>
  <c r="AH308" i="91"/>
  <c r="AG308" i="91"/>
  <c r="AF308" i="91"/>
  <c r="AE308" i="91"/>
  <c r="AD308" i="91"/>
  <c r="AC308" i="91"/>
  <c r="AH307" i="91"/>
  <c r="AG307" i="91"/>
  <c r="AF307" i="91"/>
  <c r="AE307" i="91"/>
  <c r="AD307" i="91"/>
  <c r="AC307" i="91"/>
  <c r="AH306" i="91"/>
  <c r="AG306" i="91"/>
  <c r="AF306" i="91"/>
  <c r="AE306" i="91"/>
  <c r="AD306" i="91"/>
  <c r="AC306" i="91"/>
  <c r="AH305" i="91"/>
  <c r="AG305" i="91"/>
  <c r="AF305" i="91"/>
  <c r="AE305" i="91"/>
  <c r="AD305" i="91"/>
  <c r="AC305" i="91"/>
  <c r="AH304" i="91"/>
  <c r="AG304" i="91"/>
  <c r="AF304" i="91"/>
  <c r="AE304" i="91"/>
  <c r="AD304" i="91"/>
  <c r="AC304" i="91"/>
  <c r="AH303" i="91"/>
  <c r="AG303" i="91"/>
  <c r="AF303" i="91"/>
  <c r="AE303" i="91"/>
  <c r="AD303" i="91"/>
  <c r="AC303" i="91"/>
  <c r="AH302" i="91"/>
  <c r="AG302" i="91"/>
  <c r="AF302" i="91"/>
  <c r="AE302" i="91"/>
  <c r="AD302" i="91"/>
  <c r="AC302" i="91"/>
  <c r="AH301" i="91"/>
  <c r="AG301" i="91"/>
  <c r="AF301" i="91"/>
  <c r="AE301" i="91"/>
  <c r="AD301" i="91"/>
  <c r="AC301" i="91"/>
  <c r="AH300" i="91"/>
  <c r="AG300" i="91"/>
  <c r="AF300" i="91"/>
  <c r="AE300" i="91"/>
  <c r="AD300" i="91"/>
  <c r="AC300" i="91"/>
  <c r="AH299" i="91"/>
  <c r="AG299" i="91"/>
  <c r="AF299" i="91"/>
  <c r="AE299" i="91"/>
  <c r="AD299" i="91"/>
  <c r="AC299" i="91"/>
  <c r="AH298" i="91"/>
  <c r="AG298" i="91"/>
  <c r="AF298" i="91"/>
  <c r="AE298" i="91"/>
  <c r="AD298" i="91"/>
  <c r="AC298" i="91"/>
  <c r="AH297" i="91"/>
  <c r="AG297" i="91"/>
  <c r="AF297" i="91"/>
  <c r="AE297" i="91"/>
  <c r="AD297" i="91"/>
  <c r="AC297" i="91"/>
  <c r="AH296" i="91"/>
  <c r="AG296" i="91"/>
  <c r="AF296" i="91"/>
  <c r="AE296" i="91"/>
  <c r="AD296" i="91"/>
  <c r="AC296" i="91"/>
  <c r="AH295" i="91"/>
  <c r="AG295" i="91"/>
  <c r="AF295" i="91"/>
  <c r="AE295" i="91"/>
  <c r="AD295" i="91"/>
  <c r="AC295" i="91"/>
  <c r="AH294" i="91"/>
  <c r="AG294" i="91"/>
  <c r="AF294" i="91"/>
  <c r="AE294" i="91"/>
  <c r="AD294" i="91"/>
  <c r="AC294" i="91"/>
  <c r="AH293" i="91"/>
  <c r="AG293" i="91"/>
  <c r="AF293" i="91"/>
  <c r="AE293" i="91"/>
  <c r="AD293" i="91"/>
  <c r="AC293" i="91"/>
  <c r="AH292" i="91"/>
  <c r="AG292" i="91"/>
  <c r="AF292" i="91"/>
  <c r="AE292" i="91"/>
  <c r="AD292" i="91"/>
  <c r="AC292" i="91"/>
  <c r="AH291" i="91"/>
  <c r="AG291" i="91"/>
  <c r="AF291" i="91"/>
  <c r="AE291" i="91"/>
  <c r="AD291" i="91"/>
  <c r="AC291" i="91"/>
  <c r="AH290" i="91"/>
  <c r="AG290" i="91"/>
  <c r="AF290" i="91"/>
  <c r="AE290" i="91"/>
  <c r="AD290" i="91"/>
  <c r="AC290" i="91"/>
  <c r="AH289" i="91"/>
  <c r="AG289" i="91"/>
  <c r="AF289" i="91"/>
  <c r="AE289" i="91"/>
  <c r="AD289" i="91"/>
  <c r="AC289" i="91"/>
  <c r="AH288" i="91"/>
  <c r="AG288" i="91"/>
  <c r="AF288" i="91"/>
  <c r="AE288" i="91"/>
  <c r="AD288" i="91"/>
  <c r="AC288" i="91"/>
  <c r="AH287" i="91"/>
  <c r="AG287" i="91"/>
  <c r="AF287" i="91"/>
  <c r="AE287" i="91"/>
  <c r="AD287" i="91"/>
  <c r="AC287" i="91"/>
  <c r="AH286" i="91"/>
  <c r="AG286" i="91"/>
  <c r="AF286" i="91"/>
  <c r="AE286" i="91"/>
  <c r="AD286" i="91"/>
  <c r="AC286" i="91"/>
  <c r="AH285" i="91"/>
  <c r="AG285" i="91"/>
  <c r="AF285" i="91"/>
  <c r="AE285" i="91"/>
  <c r="AD285" i="91"/>
  <c r="AC285" i="91"/>
  <c r="AH284" i="91"/>
  <c r="AG284" i="91"/>
  <c r="AF284" i="91"/>
  <c r="AE284" i="91"/>
  <c r="AD284" i="91"/>
  <c r="AC284" i="91"/>
  <c r="AH283" i="91"/>
  <c r="AG283" i="91"/>
  <c r="AF283" i="91"/>
  <c r="AE283" i="91"/>
  <c r="AD283" i="91"/>
  <c r="AC283" i="91"/>
  <c r="AH282" i="91"/>
  <c r="AG282" i="91"/>
  <c r="AF282" i="91"/>
  <c r="AE282" i="91"/>
  <c r="AD282" i="91"/>
  <c r="AC282" i="91"/>
  <c r="AH281" i="91"/>
  <c r="AG281" i="91"/>
  <c r="AF281" i="91"/>
  <c r="AE281" i="91"/>
  <c r="AD281" i="91"/>
  <c r="AC281" i="91"/>
  <c r="AH280" i="91"/>
  <c r="AG280" i="91"/>
  <c r="AF280" i="91"/>
  <c r="AE280" i="91"/>
  <c r="AD280" i="91"/>
  <c r="AC280" i="91"/>
  <c r="AH279" i="91"/>
  <c r="AG279" i="91"/>
  <c r="AF279" i="91"/>
  <c r="AE279" i="91"/>
  <c r="AD279" i="91"/>
  <c r="AC279" i="91"/>
  <c r="AH278" i="91"/>
  <c r="AG278" i="91"/>
  <c r="AF278" i="91"/>
  <c r="AE278" i="91"/>
  <c r="AD278" i="91"/>
  <c r="AC278" i="91"/>
  <c r="AH277" i="91"/>
  <c r="AG277" i="91"/>
  <c r="AF277" i="91"/>
  <c r="AE277" i="91"/>
  <c r="AD277" i="91"/>
  <c r="AC277" i="91"/>
  <c r="AH276" i="91"/>
  <c r="AG276" i="91"/>
  <c r="AF276" i="91"/>
  <c r="AE276" i="91"/>
  <c r="AD276" i="91"/>
  <c r="AC276" i="91"/>
  <c r="AH275" i="91"/>
  <c r="AG275" i="91"/>
  <c r="AF275" i="91"/>
  <c r="AE275" i="91"/>
  <c r="AD275" i="91"/>
  <c r="AC275" i="91"/>
  <c r="AH274" i="91"/>
  <c r="AG274" i="91"/>
  <c r="AF274" i="91"/>
  <c r="AE274" i="91"/>
  <c r="AD274" i="91"/>
  <c r="AC274" i="91"/>
  <c r="AH273" i="91"/>
  <c r="AG273" i="91"/>
  <c r="AF273" i="91"/>
  <c r="AE273" i="91"/>
  <c r="AD273" i="91"/>
  <c r="AC273" i="91"/>
  <c r="AH272" i="91"/>
  <c r="AG272" i="91"/>
  <c r="AF272" i="91"/>
  <c r="AE272" i="91"/>
  <c r="AD272" i="91"/>
  <c r="AC272" i="91"/>
  <c r="AH271" i="91"/>
  <c r="AG271" i="91"/>
  <c r="AF271" i="91"/>
  <c r="AE271" i="91"/>
  <c r="AD271" i="91"/>
  <c r="AC271" i="91"/>
  <c r="AH270" i="91"/>
  <c r="AG270" i="91"/>
  <c r="AF270" i="91"/>
  <c r="AE270" i="91"/>
  <c r="AD270" i="91"/>
  <c r="AC270" i="91"/>
  <c r="AH269" i="91"/>
  <c r="AG269" i="91"/>
  <c r="AF269" i="91"/>
  <c r="AE269" i="91"/>
  <c r="AD269" i="91"/>
  <c r="AC269" i="91"/>
  <c r="AH268" i="91"/>
  <c r="AG268" i="91"/>
  <c r="AF268" i="91"/>
  <c r="AE268" i="91"/>
  <c r="AD268" i="91"/>
  <c r="AC268" i="91"/>
  <c r="AH267" i="91"/>
  <c r="AG267" i="91"/>
  <c r="AF267" i="91"/>
  <c r="AE267" i="91"/>
  <c r="AD267" i="91"/>
  <c r="AC267" i="91"/>
  <c r="AH266" i="91"/>
  <c r="AG266" i="91"/>
  <c r="AF266" i="91"/>
  <c r="AE266" i="91"/>
  <c r="AD266" i="91"/>
  <c r="AC266" i="91"/>
  <c r="AH265" i="91"/>
  <c r="AG265" i="91"/>
  <c r="AF265" i="91"/>
  <c r="AE265" i="91"/>
  <c r="AD265" i="91"/>
  <c r="AC265" i="91"/>
  <c r="AH264" i="91"/>
  <c r="AG264" i="91"/>
  <c r="AF264" i="91"/>
  <c r="AE264" i="91"/>
  <c r="AD264" i="91"/>
  <c r="AC264" i="91"/>
  <c r="AH263" i="91"/>
  <c r="AG263" i="91"/>
  <c r="AF263" i="91"/>
  <c r="AE263" i="91"/>
  <c r="AD263" i="91"/>
  <c r="AC263" i="91"/>
  <c r="AH262" i="91"/>
  <c r="AG262" i="91"/>
  <c r="AF262" i="91"/>
  <c r="AE262" i="91"/>
  <c r="AD262" i="91"/>
  <c r="AC262" i="91"/>
  <c r="AH261" i="91"/>
  <c r="AG261" i="91"/>
  <c r="AF261" i="91"/>
  <c r="AE261" i="91"/>
  <c r="AD261" i="91"/>
  <c r="AC261" i="91"/>
  <c r="AH260" i="91"/>
  <c r="AG260" i="91"/>
  <c r="AF260" i="91"/>
  <c r="AE260" i="91"/>
  <c r="AD260" i="91"/>
  <c r="AC260" i="91"/>
  <c r="AH259" i="91"/>
  <c r="AG259" i="91"/>
  <c r="AF259" i="91"/>
  <c r="AE259" i="91"/>
  <c r="AD259" i="91"/>
  <c r="AC259" i="91"/>
  <c r="AH258" i="91"/>
  <c r="AG258" i="91"/>
  <c r="AF258" i="91"/>
  <c r="AE258" i="91"/>
  <c r="AD258" i="91"/>
  <c r="AC258" i="91"/>
  <c r="AH257" i="91"/>
  <c r="AG257" i="91"/>
  <c r="AF257" i="91"/>
  <c r="AE257" i="91"/>
  <c r="AD257" i="91"/>
  <c r="AC257" i="91"/>
  <c r="AH256" i="91"/>
  <c r="AG256" i="91"/>
  <c r="AF256" i="91"/>
  <c r="AE256" i="91"/>
  <c r="AD256" i="91"/>
  <c r="AC256" i="91"/>
  <c r="AH255" i="91"/>
  <c r="AG255" i="91"/>
  <c r="AF255" i="91"/>
  <c r="AE255" i="91"/>
  <c r="AD255" i="91"/>
  <c r="AC255" i="91"/>
  <c r="AH254" i="91"/>
  <c r="AG254" i="91"/>
  <c r="AF254" i="91"/>
  <c r="AE254" i="91"/>
  <c r="AD254" i="91"/>
  <c r="AC254" i="91"/>
  <c r="AH253" i="91"/>
  <c r="AG253" i="91"/>
  <c r="AF253" i="91"/>
  <c r="AE253" i="91"/>
  <c r="AD253" i="91"/>
  <c r="AC253" i="91"/>
  <c r="AH252" i="91"/>
  <c r="AG252" i="91"/>
  <c r="AF252" i="91"/>
  <c r="AE252" i="91"/>
  <c r="AD252" i="91"/>
  <c r="AC252" i="91"/>
  <c r="AH251" i="91"/>
  <c r="AG251" i="91"/>
  <c r="AF251" i="91"/>
  <c r="AE251" i="91"/>
  <c r="AD251" i="91"/>
  <c r="AC251" i="91"/>
  <c r="AH250" i="91"/>
  <c r="AG250" i="91"/>
  <c r="AF250" i="91"/>
  <c r="AE250" i="91"/>
  <c r="AD250" i="91"/>
  <c r="AC250" i="91"/>
  <c r="AH249" i="91"/>
  <c r="AG249" i="91"/>
  <c r="AF249" i="91"/>
  <c r="AE249" i="91"/>
  <c r="AD249" i="91"/>
  <c r="AC249" i="91"/>
  <c r="AH248" i="91"/>
  <c r="AG248" i="91"/>
  <c r="AF248" i="91"/>
  <c r="AE248" i="91"/>
  <c r="AD248" i="91"/>
  <c r="AC248" i="91"/>
  <c r="AH247" i="91"/>
  <c r="AG247" i="91"/>
  <c r="AF247" i="91"/>
  <c r="AE247" i="91"/>
  <c r="AD247" i="91"/>
  <c r="AC247" i="91"/>
  <c r="AH246" i="91"/>
  <c r="AG246" i="91"/>
  <c r="AF246" i="91"/>
  <c r="AE246" i="91"/>
  <c r="AD246" i="91"/>
  <c r="AC246" i="91"/>
  <c r="AH245" i="91"/>
  <c r="AG245" i="91"/>
  <c r="AF245" i="91"/>
  <c r="AE245" i="91"/>
  <c r="AD245" i="91"/>
  <c r="AC245" i="91"/>
  <c r="AH244" i="91"/>
  <c r="AG244" i="91"/>
  <c r="AF244" i="91"/>
  <c r="AE244" i="91"/>
  <c r="AD244" i="91"/>
  <c r="AC244" i="91"/>
  <c r="AH243" i="91"/>
  <c r="AG243" i="91"/>
  <c r="AF243" i="91"/>
  <c r="AE243" i="91"/>
  <c r="AD243" i="91"/>
  <c r="AC243" i="91"/>
  <c r="AH242" i="91"/>
  <c r="AG242" i="91"/>
  <c r="AF242" i="91"/>
  <c r="AE242" i="91"/>
  <c r="AD242" i="91"/>
  <c r="AC242" i="91"/>
  <c r="AH241" i="91"/>
  <c r="AG241" i="91"/>
  <c r="AF241" i="91"/>
  <c r="AE241" i="91"/>
  <c r="AD241" i="91"/>
  <c r="AC241" i="91"/>
  <c r="AH240" i="91"/>
  <c r="AG240" i="91"/>
  <c r="AF240" i="91"/>
  <c r="AE240" i="91"/>
  <c r="AD240" i="91"/>
  <c r="AC240" i="91"/>
  <c r="AH239" i="91"/>
  <c r="AG239" i="91"/>
  <c r="AF239" i="91"/>
  <c r="AE239" i="91"/>
  <c r="AD239" i="91"/>
  <c r="AC239" i="91"/>
  <c r="AH238" i="91"/>
  <c r="AG238" i="91"/>
  <c r="AF238" i="91"/>
  <c r="AE238" i="91"/>
  <c r="AD238" i="91"/>
  <c r="AC238" i="91"/>
  <c r="AH237" i="91"/>
  <c r="AG237" i="91"/>
  <c r="AF237" i="91"/>
  <c r="AE237" i="91"/>
  <c r="AD237" i="91"/>
  <c r="AC237" i="91"/>
  <c r="AH236" i="91"/>
  <c r="AG236" i="91"/>
  <c r="AF236" i="91"/>
  <c r="AE236" i="91"/>
  <c r="AD236" i="91"/>
  <c r="AC236" i="91"/>
  <c r="AH235" i="91"/>
  <c r="AG235" i="91"/>
  <c r="AF235" i="91"/>
  <c r="AE235" i="91"/>
  <c r="AD235" i="91"/>
  <c r="AC235" i="91"/>
  <c r="AH234" i="91"/>
  <c r="AG234" i="91"/>
  <c r="AF234" i="91"/>
  <c r="AE234" i="91"/>
  <c r="AD234" i="91"/>
  <c r="AC234" i="91"/>
  <c r="AH233" i="91"/>
  <c r="AG233" i="91"/>
  <c r="AF233" i="91"/>
  <c r="AE233" i="91"/>
  <c r="AD233" i="91"/>
  <c r="AC233" i="91"/>
  <c r="AH232" i="91"/>
  <c r="AG232" i="91"/>
  <c r="AF232" i="91"/>
  <c r="AE232" i="91"/>
  <c r="AD232" i="91"/>
  <c r="AC232" i="91"/>
  <c r="AH231" i="91"/>
  <c r="AG231" i="91"/>
  <c r="AF231" i="91"/>
  <c r="AE231" i="91"/>
  <c r="AD231" i="91"/>
  <c r="AC231" i="91"/>
  <c r="AH230" i="91"/>
  <c r="AG230" i="91"/>
  <c r="AF230" i="91"/>
  <c r="AE230" i="91"/>
  <c r="AD230" i="91"/>
  <c r="AC230" i="91"/>
  <c r="AH229" i="91"/>
  <c r="AG229" i="91"/>
  <c r="AF229" i="91"/>
  <c r="AE229" i="91"/>
  <c r="AD229" i="91"/>
  <c r="AC229" i="91"/>
  <c r="AH228" i="91"/>
  <c r="AG228" i="91"/>
  <c r="AF228" i="91"/>
  <c r="AE228" i="91"/>
  <c r="AD228" i="91"/>
  <c r="AC228" i="91"/>
  <c r="AH227" i="91"/>
  <c r="AG227" i="91"/>
  <c r="AF227" i="91"/>
  <c r="AE227" i="91"/>
  <c r="AD227" i="91"/>
  <c r="AC227" i="91"/>
  <c r="AH226" i="91"/>
  <c r="AG226" i="91"/>
  <c r="AF226" i="91"/>
  <c r="AE226" i="91"/>
  <c r="AD226" i="91"/>
  <c r="AC226" i="91"/>
  <c r="AH225" i="91"/>
  <c r="AG225" i="91"/>
  <c r="AF225" i="91"/>
  <c r="AE225" i="91"/>
  <c r="AD225" i="91"/>
  <c r="AC225" i="91"/>
  <c r="AH224" i="91"/>
  <c r="AG224" i="91"/>
  <c r="AF224" i="91"/>
  <c r="AE224" i="91"/>
  <c r="AD224" i="91"/>
  <c r="AC224" i="91"/>
  <c r="AH223" i="91"/>
  <c r="AG223" i="91"/>
  <c r="AF223" i="91"/>
  <c r="AE223" i="91"/>
  <c r="AD223" i="91"/>
  <c r="AC223" i="91"/>
  <c r="AH222" i="91"/>
  <c r="AG222" i="91"/>
  <c r="AF222" i="91"/>
  <c r="AE222" i="91"/>
  <c r="AD222" i="91"/>
  <c r="AC222" i="91"/>
  <c r="AH221" i="91"/>
  <c r="AG221" i="91"/>
  <c r="AF221" i="91"/>
  <c r="AE221" i="91"/>
  <c r="AD221" i="91"/>
  <c r="AC221" i="91"/>
  <c r="AH220" i="91"/>
  <c r="AG220" i="91"/>
  <c r="AF220" i="91"/>
  <c r="AE220" i="91"/>
  <c r="AD220" i="91"/>
  <c r="AC220" i="91"/>
  <c r="AH219" i="91"/>
  <c r="AG219" i="91"/>
  <c r="AF219" i="91"/>
  <c r="AE219" i="91"/>
  <c r="AD219" i="91"/>
  <c r="AC219" i="91"/>
  <c r="AH218" i="91"/>
  <c r="AG218" i="91"/>
  <c r="AF218" i="91"/>
  <c r="AE218" i="91"/>
  <c r="AD218" i="91"/>
  <c r="AC218" i="91"/>
  <c r="AH217" i="91"/>
  <c r="AG217" i="91"/>
  <c r="AF217" i="91"/>
  <c r="AE217" i="91"/>
  <c r="AD217" i="91"/>
  <c r="AC217" i="91"/>
  <c r="AH216" i="91"/>
  <c r="AG216" i="91"/>
  <c r="AF216" i="91"/>
  <c r="AE216" i="91"/>
  <c r="AD216" i="91"/>
  <c r="AC216" i="91"/>
  <c r="AH215" i="91"/>
  <c r="AG215" i="91"/>
  <c r="AF215" i="91"/>
  <c r="AE215" i="91"/>
  <c r="AD215" i="91"/>
  <c r="AC215" i="91"/>
  <c r="AH214" i="91"/>
  <c r="AG214" i="91"/>
  <c r="AF214" i="91"/>
  <c r="AE214" i="91"/>
  <c r="AD214" i="91"/>
  <c r="AC214" i="91"/>
  <c r="AH213" i="91"/>
  <c r="AG213" i="91"/>
  <c r="AF213" i="91"/>
  <c r="AE213" i="91"/>
  <c r="AD213" i="91"/>
  <c r="AC213" i="91"/>
  <c r="AH212" i="91"/>
  <c r="AG212" i="91"/>
  <c r="AF212" i="91"/>
  <c r="AE212" i="91"/>
  <c r="AD212" i="91"/>
  <c r="AC212" i="91"/>
  <c r="AH211" i="91"/>
  <c r="AG211" i="91"/>
  <c r="AF211" i="91"/>
  <c r="AE211" i="91"/>
  <c r="AD211" i="91"/>
  <c r="AC211" i="91"/>
  <c r="AH210" i="91"/>
  <c r="AG210" i="91"/>
  <c r="AF210" i="91"/>
  <c r="AE210" i="91"/>
  <c r="AD210" i="91"/>
  <c r="AC210" i="91"/>
  <c r="AH209" i="91"/>
  <c r="AG209" i="91"/>
  <c r="AF209" i="91"/>
  <c r="AE209" i="91"/>
  <c r="AD209" i="91"/>
  <c r="AC209" i="91"/>
  <c r="AH208" i="91"/>
  <c r="AG208" i="91"/>
  <c r="AF208" i="91"/>
  <c r="AE208" i="91"/>
  <c r="AD208" i="91"/>
  <c r="AC208" i="91"/>
  <c r="AH207" i="91"/>
  <c r="AG207" i="91"/>
  <c r="AF207" i="91"/>
  <c r="AE207" i="91"/>
  <c r="AD207" i="91"/>
  <c r="AC207" i="91"/>
  <c r="AH206" i="91"/>
  <c r="AG206" i="91"/>
  <c r="AF206" i="91"/>
  <c r="AE206" i="91"/>
  <c r="AD206" i="91"/>
  <c r="AC206" i="91"/>
  <c r="AH205" i="91"/>
  <c r="AG205" i="91"/>
  <c r="AF205" i="91"/>
  <c r="AE205" i="91"/>
  <c r="AD205" i="91"/>
  <c r="AC205" i="91"/>
  <c r="AH204" i="91"/>
  <c r="AG204" i="91"/>
  <c r="AF204" i="91"/>
  <c r="AE204" i="91"/>
  <c r="AD204" i="91"/>
  <c r="AC204" i="91"/>
  <c r="AH203" i="91"/>
  <c r="AG203" i="91"/>
  <c r="AF203" i="91"/>
  <c r="AE203" i="91"/>
  <c r="AD203" i="91"/>
  <c r="AC203" i="91"/>
  <c r="AH202" i="91"/>
  <c r="AG202" i="91"/>
  <c r="AF202" i="91"/>
  <c r="AE202" i="91"/>
  <c r="AD202" i="91"/>
  <c r="AC202" i="91"/>
  <c r="AH201" i="91"/>
  <c r="AG201" i="91"/>
  <c r="AF201" i="91"/>
  <c r="AE201" i="91"/>
  <c r="AD201" i="91"/>
  <c r="AC201" i="91"/>
  <c r="AH200" i="91"/>
  <c r="AG200" i="91"/>
  <c r="AF200" i="91"/>
  <c r="AE200" i="91"/>
  <c r="AD200" i="91"/>
  <c r="AC200" i="91"/>
  <c r="AH199" i="91"/>
  <c r="AG199" i="91"/>
  <c r="AF199" i="91"/>
  <c r="AE199" i="91"/>
  <c r="AD199" i="91"/>
  <c r="AC199" i="91"/>
  <c r="AH198" i="91"/>
  <c r="AG198" i="91"/>
  <c r="AF198" i="91"/>
  <c r="AE198" i="91"/>
  <c r="AD198" i="91"/>
  <c r="AC198" i="91"/>
  <c r="AH197" i="91"/>
  <c r="AG197" i="91"/>
  <c r="AF197" i="91"/>
  <c r="AE197" i="91"/>
  <c r="AD197" i="91"/>
  <c r="AC197" i="91"/>
  <c r="AH196" i="91"/>
  <c r="AG196" i="91"/>
  <c r="AF196" i="91"/>
  <c r="AE196" i="91"/>
  <c r="AD196" i="91"/>
  <c r="AC196" i="91"/>
  <c r="AH195" i="91"/>
  <c r="AG195" i="91"/>
  <c r="AF195" i="91"/>
  <c r="AE195" i="91"/>
  <c r="AD195" i="91"/>
  <c r="AC195" i="91"/>
  <c r="AH194" i="91"/>
  <c r="AG194" i="91"/>
  <c r="AF194" i="91"/>
  <c r="AE194" i="91"/>
  <c r="AD194" i="91"/>
  <c r="AC194" i="91"/>
  <c r="AH193" i="91"/>
  <c r="AG193" i="91"/>
  <c r="AF193" i="91"/>
  <c r="AE193" i="91"/>
  <c r="AD193" i="91"/>
  <c r="AC193" i="91"/>
  <c r="AH192" i="91"/>
  <c r="AG192" i="91"/>
  <c r="AF192" i="91"/>
  <c r="AE192" i="91"/>
  <c r="AD192" i="91"/>
  <c r="AC192" i="91"/>
  <c r="AH191" i="91"/>
  <c r="AG191" i="91"/>
  <c r="AF191" i="91"/>
  <c r="AE191" i="91"/>
  <c r="AD191" i="91"/>
  <c r="AC191" i="91"/>
  <c r="AH190" i="91"/>
  <c r="AG190" i="91"/>
  <c r="AF190" i="91"/>
  <c r="AE190" i="91"/>
  <c r="AD190" i="91"/>
  <c r="AC190" i="91"/>
  <c r="AH189" i="91"/>
  <c r="AG189" i="91"/>
  <c r="AF189" i="91"/>
  <c r="AE189" i="91"/>
  <c r="AD189" i="91"/>
  <c r="AC189" i="91"/>
  <c r="AH188" i="91"/>
  <c r="AG188" i="91"/>
  <c r="AF188" i="91"/>
  <c r="AE188" i="91"/>
  <c r="AD188" i="91"/>
  <c r="AC188" i="91"/>
  <c r="AH187" i="91"/>
  <c r="AG187" i="91"/>
  <c r="AF187" i="91"/>
  <c r="AE187" i="91"/>
  <c r="AD187" i="91"/>
  <c r="AC187" i="91"/>
  <c r="AH186" i="91"/>
  <c r="AG186" i="91"/>
  <c r="AF186" i="91"/>
  <c r="AE186" i="91"/>
  <c r="AD186" i="91"/>
  <c r="AC186" i="91"/>
  <c r="AH185" i="91"/>
  <c r="AG185" i="91"/>
  <c r="AF185" i="91"/>
  <c r="AE185" i="91"/>
  <c r="AD185" i="91"/>
  <c r="AC185" i="91"/>
  <c r="AH184" i="91"/>
  <c r="AG184" i="91"/>
  <c r="AF184" i="91"/>
  <c r="AE184" i="91"/>
  <c r="AD184" i="91"/>
  <c r="AC184" i="91"/>
  <c r="AH183" i="91"/>
  <c r="AG183" i="91"/>
  <c r="AF183" i="91"/>
  <c r="AE183" i="91"/>
  <c r="AD183" i="91"/>
  <c r="AC183" i="91"/>
  <c r="AH182" i="91"/>
  <c r="AG182" i="91"/>
  <c r="AF182" i="91"/>
  <c r="AE182" i="91"/>
  <c r="AD182" i="91"/>
  <c r="AC182" i="91"/>
  <c r="AH181" i="91"/>
  <c r="AG181" i="91"/>
  <c r="AF181" i="91"/>
  <c r="AE181" i="91"/>
  <c r="AD181" i="91"/>
  <c r="AC181" i="91"/>
  <c r="AH180" i="91"/>
  <c r="AG180" i="91"/>
  <c r="AF180" i="91"/>
  <c r="AE180" i="91"/>
  <c r="AD180" i="91"/>
  <c r="AC180" i="91"/>
  <c r="AH179" i="91"/>
  <c r="AG179" i="91"/>
  <c r="AF179" i="91"/>
  <c r="AE179" i="91"/>
  <c r="AD179" i="91"/>
  <c r="AC179" i="91"/>
  <c r="AH178" i="91"/>
  <c r="AG178" i="91"/>
  <c r="AF178" i="91"/>
  <c r="AE178" i="91"/>
  <c r="AD178" i="91"/>
  <c r="AC178" i="91"/>
  <c r="AH177" i="91"/>
  <c r="AG177" i="91"/>
  <c r="AF177" i="91"/>
  <c r="AE177" i="91"/>
  <c r="AD177" i="91"/>
  <c r="AC177" i="91"/>
  <c r="AH176" i="91"/>
  <c r="AG176" i="91"/>
  <c r="AF176" i="91"/>
  <c r="AE176" i="91"/>
  <c r="AD176" i="91"/>
  <c r="AC176" i="91"/>
  <c r="AH175" i="91"/>
  <c r="AG175" i="91"/>
  <c r="AF175" i="91"/>
  <c r="AE175" i="91"/>
  <c r="AD175" i="91"/>
  <c r="AC175" i="91"/>
  <c r="AH174" i="91"/>
  <c r="AG174" i="91"/>
  <c r="AF174" i="91"/>
  <c r="AE174" i="91"/>
  <c r="AD174" i="91"/>
  <c r="AC174" i="91"/>
  <c r="AH173" i="91"/>
  <c r="AG173" i="91"/>
  <c r="AF173" i="91"/>
  <c r="AE173" i="91"/>
  <c r="AD173" i="91"/>
  <c r="AC173" i="91"/>
  <c r="AH172" i="91"/>
  <c r="AG172" i="91"/>
  <c r="AF172" i="91"/>
  <c r="AE172" i="91"/>
  <c r="AD172" i="91"/>
  <c r="AC172" i="91"/>
  <c r="AH171" i="91"/>
  <c r="AG171" i="91"/>
  <c r="AF171" i="91"/>
  <c r="AE171" i="91"/>
  <c r="AD171" i="91"/>
  <c r="AC171" i="91"/>
  <c r="AH170" i="91"/>
  <c r="AG170" i="91"/>
  <c r="AF170" i="91"/>
  <c r="AE170" i="91"/>
  <c r="AD170" i="91"/>
  <c r="AC170" i="91"/>
  <c r="AH169" i="91"/>
  <c r="AG169" i="91"/>
  <c r="AF169" i="91"/>
  <c r="AE169" i="91"/>
  <c r="AD169" i="91"/>
  <c r="AC169" i="91"/>
  <c r="AH168" i="91"/>
  <c r="AG168" i="91"/>
  <c r="AF168" i="91"/>
  <c r="AE168" i="91"/>
  <c r="AD168" i="91"/>
  <c r="AC168" i="91"/>
  <c r="AH167" i="91"/>
  <c r="AG167" i="91"/>
  <c r="AF167" i="91"/>
  <c r="AE167" i="91"/>
  <c r="AD167" i="91"/>
  <c r="AC167" i="91"/>
  <c r="AH166" i="91"/>
  <c r="AG166" i="91"/>
  <c r="AF166" i="91"/>
  <c r="AE166" i="91"/>
  <c r="AD166" i="91"/>
  <c r="AC166" i="91"/>
  <c r="AH165" i="91"/>
  <c r="AG165" i="91"/>
  <c r="AF165" i="91"/>
  <c r="AE165" i="91"/>
  <c r="AD165" i="91"/>
  <c r="AC165" i="91"/>
  <c r="AH164" i="91"/>
  <c r="AG164" i="91"/>
  <c r="AF164" i="91"/>
  <c r="AE164" i="91"/>
  <c r="AD164" i="91"/>
  <c r="AC164" i="91"/>
  <c r="AH163" i="91"/>
  <c r="AG163" i="91"/>
  <c r="AF163" i="91"/>
  <c r="AE163" i="91"/>
  <c r="AD163" i="91"/>
  <c r="AC163" i="91"/>
  <c r="AH162" i="91"/>
  <c r="AG162" i="91"/>
  <c r="AF162" i="91"/>
  <c r="AE162" i="91"/>
  <c r="AD162" i="91"/>
  <c r="AC162" i="91"/>
  <c r="AH161" i="91"/>
  <c r="AG161" i="91"/>
  <c r="AF161" i="91"/>
  <c r="AE161" i="91"/>
  <c r="AD161" i="91"/>
  <c r="AC161" i="91"/>
  <c r="AH160" i="91"/>
  <c r="AG160" i="91"/>
  <c r="AF160" i="91"/>
  <c r="AE160" i="91"/>
  <c r="AD160" i="91"/>
  <c r="AC160" i="91"/>
  <c r="AH159" i="91"/>
  <c r="AG159" i="91"/>
  <c r="AF159" i="91"/>
  <c r="AE159" i="91"/>
  <c r="AD159" i="91"/>
  <c r="AC159" i="91"/>
  <c r="AH158" i="91"/>
  <c r="AG158" i="91"/>
  <c r="AF158" i="91"/>
  <c r="AE158" i="91"/>
  <c r="AD158" i="91"/>
  <c r="AC158" i="91"/>
  <c r="AH157" i="91"/>
  <c r="AG157" i="91"/>
  <c r="AF157" i="91"/>
  <c r="AE157" i="91"/>
  <c r="AD157" i="91"/>
  <c r="AC157" i="91"/>
  <c r="AH156" i="91"/>
  <c r="AG156" i="91"/>
  <c r="AF156" i="91"/>
  <c r="AE156" i="91"/>
  <c r="AD156" i="91"/>
  <c r="AC156" i="91"/>
  <c r="AH155" i="91"/>
  <c r="AG155" i="91"/>
  <c r="AF155" i="91"/>
  <c r="AE155" i="91"/>
  <c r="AD155" i="91"/>
  <c r="AC155" i="91"/>
  <c r="AH154" i="91"/>
  <c r="AG154" i="91"/>
  <c r="AF154" i="91"/>
  <c r="AE154" i="91"/>
  <c r="AD154" i="91"/>
  <c r="AC154" i="91"/>
  <c r="AH153" i="91"/>
  <c r="AG153" i="91"/>
  <c r="AF153" i="91"/>
  <c r="AE153" i="91"/>
  <c r="AD153" i="91"/>
  <c r="AC153" i="91"/>
  <c r="AH152" i="91"/>
  <c r="AG152" i="91"/>
  <c r="AF152" i="91"/>
  <c r="AE152" i="91"/>
  <c r="AD152" i="91"/>
  <c r="AC152" i="91"/>
  <c r="AH151" i="91"/>
  <c r="AG151" i="91"/>
  <c r="AF151" i="91"/>
  <c r="AE151" i="91"/>
  <c r="AD151" i="91"/>
  <c r="AC151" i="91"/>
  <c r="AH150" i="91"/>
  <c r="AG150" i="91"/>
  <c r="AF150" i="91"/>
  <c r="AE150" i="91"/>
  <c r="AD150" i="91"/>
  <c r="AC150" i="91"/>
  <c r="AH149" i="91"/>
  <c r="AG149" i="91"/>
  <c r="AF149" i="91"/>
  <c r="AE149" i="91"/>
  <c r="AD149" i="91"/>
  <c r="AC149" i="91"/>
  <c r="AH148" i="91"/>
  <c r="AG148" i="91"/>
  <c r="AF148" i="91"/>
  <c r="AE148" i="91"/>
  <c r="AD148" i="91"/>
  <c r="AC148" i="91"/>
  <c r="AH147" i="91"/>
  <c r="AG147" i="91"/>
  <c r="AF147" i="91"/>
  <c r="AE147" i="91"/>
  <c r="AD147" i="91"/>
  <c r="AC147" i="91"/>
  <c r="AH146" i="91"/>
  <c r="AG146" i="91"/>
  <c r="AF146" i="91"/>
  <c r="AE146" i="91"/>
  <c r="AD146" i="91"/>
  <c r="AC146" i="91"/>
  <c r="AH145" i="91"/>
  <c r="AG145" i="91"/>
  <c r="AF145" i="91"/>
  <c r="AE145" i="91"/>
  <c r="AD145" i="91"/>
  <c r="AC145" i="91"/>
  <c r="AH144" i="91"/>
  <c r="AG144" i="91"/>
  <c r="AF144" i="91"/>
  <c r="AE144" i="91"/>
  <c r="AD144" i="91"/>
  <c r="AC144" i="91"/>
  <c r="AH143" i="91"/>
  <c r="AG143" i="91"/>
  <c r="AF143" i="91"/>
  <c r="AE143" i="91"/>
  <c r="AD143" i="91"/>
  <c r="AC143" i="91"/>
  <c r="AH142" i="91"/>
  <c r="AG142" i="91"/>
  <c r="AF142" i="91"/>
  <c r="AE142" i="91"/>
  <c r="AD142" i="91"/>
  <c r="AC142" i="91"/>
  <c r="AH141" i="91"/>
  <c r="AG141" i="91"/>
  <c r="AF141" i="91"/>
  <c r="AE141" i="91"/>
  <c r="AD141" i="91"/>
  <c r="AC141" i="91"/>
  <c r="AH140" i="91"/>
  <c r="AG140" i="91"/>
  <c r="AF140" i="91"/>
  <c r="AE140" i="91"/>
  <c r="AD140" i="91"/>
  <c r="AC140" i="91"/>
  <c r="AH139" i="91"/>
  <c r="AG139" i="91"/>
  <c r="AF139" i="91"/>
  <c r="AE139" i="91"/>
  <c r="AD139" i="91"/>
  <c r="AC139" i="91"/>
  <c r="AH138" i="91"/>
  <c r="AG138" i="91"/>
  <c r="AF138" i="91"/>
  <c r="AE138" i="91"/>
  <c r="AD138" i="91"/>
  <c r="AC138" i="91"/>
  <c r="AH137" i="91"/>
  <c r="AG137" i="91"/>
  <c r="AF137" i="91"/>
  <c r="AE137" i="91"/>
  <c r="AD137" i="91"/>
  <c r="AC137" i="91"/>
  <c r="AH136" i="91"/>
  <c r="AG136" i="91"/>
  <c r="AF136" i="91"/>
  <c r="AE136" i="91"/>
  <c r="AD136" i="91"/>
  <c r="AC136" i="91"/>
  <c r="AH135" i="91"/>
  <c r="AG135" i="91"/>
  <c r="AF135" i="91"/>
  <c r="AE135" i="91"/>
  <c r="AD135" i="91"/>
  <c r="AC135" i="91"/>
  <c r="AH134" i="91"/>
  <c r="AG134" i="91"/>
  <c r="AF134" i="91"/>
  <c r="AE134" i="91"/>
  <c r="AD134" i="91"/>
  <c r="AC134" i="91"/>
  <c r="AH133" i="91"/>
  <c r="AG133" i="91"/>
  <c r="AF133" i="91"/>
  <c r="AE133" i="91"/>
  <c r="AD133" i="91"/>
  <c r="AC133" i="91"/>
  <c r="AH132" i="91"/>
  <c r="AG132" i="91"/>
  <c r="AF132" i="91"/>
  <c r="AE132" i="91"/>
  <c r="AD132" i="91"/>
  <c r="AC132" i="91"/>
  <c r="AH131" i="91"/>
  <c r="AG131" i="91"/>
  <c r="AF131" i="91"/>
  <c r="AE131" i="91"/>
  <c r="AD131" i="91"/>
  <c r="AC131" i="91"/>
  <c r="AH130" i="91"/>
  <c r="AG130" i="91"/>
  <c r="AF130" i="91"/>
  <c r="AE130" i="91"/>
  <c r="AD130" i="91"/>
  <c r="AC130" i="91"/>
  <c r="AH129" i="91"/>
  <c r="AG129" i="91"/>
  <c r="AF129" i="91"/>
  <c r="AE129" i="91"/>
  <c r="AD129" i="91"/>
  <c r="AC129" i="91"/>
  <c r="AH128" i="91"/>
  <c r="AG128" i="91"/>
  <c r="AF128" i="91"/>
  <c r="AE128" i="91"/>
  <c r="AD128" i="91"/>
  <c r="AC128" i="91"/>
  <c r="AH127" i="91"/>
  <c r="AG127" i="91"/>
  <c r="AF127" i="91"/>
  <c r="AE127" i="91"/>
  <c r="AD127" i="91"/>
  <c r="AC127" i="91"/>
  <c r="AH126" i="91"/>
  <c r="AG126" i="91"/>
  <c r="AF126" i="91"/>
  <c r="AE126" i="91"/>
  <c r="AD126" i="91"/>
  <c r="AC126" i="91"/>
  <c r="AH125" i="91"/>
  <c r="AG125" i="91"/>
  <c r="AF125" i="91"/>
  <c r="AE125" i="91"/>
  <c r="AD125" i="91"/>
  <c r="AC125" i="91"/>
  <c r="AH124" i="91"/>
  <c r="AG124" i="91"/>
  <c r="AF124" i="91"/>
  <c r="AE124" i="91"/>
  <c r="AD124" i="91"/>
  <c r="AC124" i="91"/>
  <c r="AH123" i="91"/>
  <c r="AG123" i="91"/>
  <c r="AF123" i="91"/>
  <c r="AE123" i="91"/>
  <c r="AD123" i="91"/>
  <c r="AC123" i="91"/>
  <c r="AH122" i="91"/>
  <c r="AG122" i="91"/>
  <c r="AF122" i="91"/>
  <c r="AE122" i="91"/>
  <c r="AD122" i="91"/>
  <c r="AC122" i="91"/>
  <c r="AH121" i="91"/>
  <c r="AG121" i="91"/>
  <c r="AF121" i="91"/>
  <c r="AE121" i="91"/>
  <c r="AD121" i="91"/>
  <c r="AC121" i="91"/>
  <c r="AH120" i="91"/>
  <c r="AG120" i="91"/>
  <c r="AF120" i="91"/>
  <c r="AE120" i="91"/>
  <c r="AD120" i="91"/>
  <c r="AC120" i="91"/>
  <c r="AH119" i="91"/>
  <c r="AG119" i="91"/>
  <c r="AF119" i="91"/>
  <c r="AE119" i="91"/>
  <c r="AD119" i="91"/>
  <c r="AC119" i="91"/>
  <c r="AH118" i="91"/>
  <c r="AG118" i="91"/>
  <c r="AF118" i="91"/>
  <c r="AE118" i="91"/>
  <c r="AD118" i="91"/>
  <c r="AC118" i="91"/>
  <c r="AH117" i="91"/>
  <c r="AG117" i="91"/>
  <c r="AF117" i="91"/>
  <c r="AE117" i="91"/>
  <c r="AD117" i="91"/>
  <c r="AC117" i="91"/>
  <c r="AH116" i="91"/>
  <c r="AG116" i="91"/>
  <c r="AF116" i="91"/>
  <c r="AE116" i="91"/>
  <c r="AD116" i="91"/>
  <c r="AC116" i="91"/>
  <c r="AH115" i="91"/>
  <c r="AG115" i="91"/>
  <c r="AF115" i="91"/>
  <c r="AE115" i="91"/>
  <c r="AD115" i="91"/>
  <c r="AC115" i="91"/>
  <c r="AH114" i="91"/>
  <c r="AG114" i="91"/>
  <c r="AF114" i="91"/>
  <c r="AE114" i="91"/>
  <c r="AD114" i="91"/>
  <c r="AC114" i="91"/>
  <c r="AH113" i="91"/>
  <c r="AG113" i="91"/>
  <c r="AF113" i="91"/>
  <c r="AE113" i="91"/>
  <c r="AD113" i="91"/>
  <c r="AC113" i="91"/>
  <c r="AH112" i="91"/>
  <c r="AG112" i="91"/>
  <c r="AF112" i="91"/>
  <c r="AE112" i="91"/>
  <c r="AD112" i="91"/>
  <c r="AC112" i="91"/>
  <c r="AH111" i="91"/>
  <c r="AG111" i="91"/>
  <c r="AF111" i="91"/>
  <c r="AE111" i="91"/>
  <c r="AD111" i="91"/>
  <c r="AC111" i="91"/>
  <c r="AH110" i="91"/>
  <c r="AG110" i="91"/>
  <c r="AF110" i="91"/>
  <c r="AE110" i="91"/>
  <c r="AD110" i="91"/>
  <c r="AC110" i="91"/>
  <c r="AH109" i="91"/>
  <c r="AG109" i="91"/>
  <c r="AF109" i="91"/>
  <c r="AE109" i="91"/>
  <c r="AD109" i="91"/>
  <c r="AC109" i="91"/>
  <c r="AH108" i="91"/>
  <c r="AG108" i="91"/>
  <c r="AF108" i="91"/>
  <c r="AE108" i="91"/>
  <c r="AD108" i="91"/>
  <c r="AC108" i="91"/>
  <c r="AH107" i="91"/>
  <c r="AG107" i="91"/>
  <c r="AF107" i="91"/>
  <c r="AE107" i="91"/>
  <c r="AD107" i="91"/>
  <c r="AC107" i="91"/>
  <c r="AH106" i="91"/>
  <c r="AG106" i="91"/>
  <c r="AF106" i="91"/>
  <c r="AE106" i="91"/>
  <c r="AD106" i="91"/>
  <c r="AC106" i="91"/>
  <c r="AH105" i="91"/>
  <c r="AG105" i="91"/>
  <c r="AF105" i="91"/>
  <c r="AE105" i="91"/>
  <c r="AD105" i="91"/>
  <c r="AC105" i="91"/>
  <c r="AH104" i="91"/>
  <c r="AG104" i="91"/>
  <c r="AF104" i="91"/>
  <c r="AE104" i="91"/>
  <c r="AD104" i="91"/>
  <c r="AC104" i="91"/>
  <c r="AH103" i="91"/>
  <c r="AG103" i="91"/>
  <c r="AF103" i="91"/>
  <c r="AE103" i="91"/>
  <c r="AD103" i="91"/>
  <c r="AC103" i="91"/>
  <c r="AH102" i="91"/>
  <c r="AG102" i="91"/>
  <c r="AF102" i="91"/>
  <c r="AE102" i="91"/>
  <c r="AD102" i="91"/>
  <c r="AC102" i="91"/>
  <c r="AH101" i="91"/>
  <c r="AG101" i="91"/>
  <c r="AF101" i="91"/>
  <c r="AE101" i="91"/>
  <c r="AD101" i="91"/>
  <c r="AC101" i="91"/>
  <c r="AH100" i="91"/>
  <c r="AG100" i="91"/>
  <c r="AF100" i="91"/>
  <c r="AE100" i="91"/>
  <c r="AD100" i="91"/>
  <c r="AC100" i="91"/>
  <c r="AH99" i="91"/>
  <c r="AG99" i="91"/>
  <c r="AF99" i="91"/>
  <c r="AE99" i="91"/>
  <c r="AD99" i="91"/>
  <c r="AC99" i="91"/>
  <c r="AH98" i="91"/>
  <c r="AG98" i="91"/>
  <c r="AF98" i="91"/>
  <c r="AE98" i="91"/>
  <c r="AD98" i="91"/>
  <c r="AC98" i="91"/>
  <c r="AH97" i="91"/>
  <c r="AG97" i="91"/>
  <c r="AF97" i="91"/>
  <c r="AE97" i="91"/>
  <c r="AD97" i="91"/>
  <c r="AC97" i="91"/>
  <c r="AH96" i="91"/>
  <c r="AG96" i="91"/>
  <c r="AF96" i="91"/>
  <c r="AE96" i="91"/>
  <c r="AD96" i="91"/>
  <c r="AC96" i="91"/>
  <c r="AH95" i="91"/>
  <c r="AG95" i="91"/>
  <c r="AF95" i="91"/>
  <c r="AE95" i="91"/>
  <c r="AD95" i="91"/>
  <c r="AC95" i="91"/>
  <c r="AH94" i="91"/>
  <c r="AG94" i="91"/>
  <c r="AF94" i="91"/>
  <c r="AE94" i="91"/>
  <c r="AD94" i="91"/>
  <c r="AC94" i="91"/>
  <c r="AH93" i="91"/>
  <c r="AG93" i="91"/>
  <c r="AF93" i="91"/>
  <c r="AE93" i="91"/>
  <c r="AD93" i="91"/>
  <c r="AC93" i="91"/>
  <c r="AH92" i="91"/>
  <c r="AG92" i="91"/>
  <c r="AF92" i="91"/>
  <c r="AE92" i="91"/>
  <c r="AD92" i="91"/>
  <c r="AC92" i="91"/>
  <c r="AH91" i="91"/>
  <c r="AG91" i="91"/>
  <c r="AF91" i="91"/>
  <c r="AE91" i="91"/>
  <c r="AD91" i="91"/>
  <c r="AC91" i="91"/>
  <c r="AH90" i="91"/>
  <c r="AG90" i="91"/>
  <c r="AF90" i="91"/>
  <c r="AE90" i="91"/>
  <c r="AD90" i="91"/>
  <c r="AC90" i="91"/>
  <c r="AH89" i="91"/>
  <c r="AG89" i="91"/>
  <c r="AF89" i="91"/>
  <c r="AE89" i="91"/>
  <c r="AD89" i="91"/>
  <c r="AC89" i="91"/>
  <c r="AH88" i="91"/>
  <c r="AG88" i="91"/>
  <c r="AF88" i="91"/>
  <c r="AE88" i="91"/>
  <c r="AD88" i="91"/>
  <c r="AC88" i="91"/>
  <c r="AH87" i="91"/>
  <c r="AG87" i="91"/>
  <c r="AF87" i="91"/>
  <c r="AE87" i="91"/>
  <c r="AD87" i="91"/>
  <c r="AC87" i="91"/>
  <c r="AH86" i="91"/>
  <c r="AG86" i="91"/>
  <c r="AF86" i="91"/>
  <c r="AE86" i="91"/>
  <c r="AD86" i="91"/>
  <c r="AC86" i="91"/>
  <c r="AH85" i="91"/>
  <c r="AG85" i="91"/>
  <c r="AF85" i="91"/>
  <c r="AE85" i="91"/>
  <c r="AD85" i="91"/>
  <c r="AC85" i="91"/>
  <c r="AH84" i="91"/>
  <c r="AG84" i="91"/>
  <c r="AF84" i="91"/>
  <c r="AE84" i="91"/>
  <c r="AD84" i="91"/>
  <c r="AC84" i="91"/>
  <c r="AH83" i="91"/>
  <c r="AG83" i="91"/>
  <c r="AF83" i="91"/>
  <c r="AE83" i="91"/>
  <c r="AD83" i="91"/>
  <c r="AC83" i="91"/>
  <c r="AH82" i="91"/>
  <c r="AG82" i="91"/>
  <c r="AF82" i="91"/>
  <c r="AE82" i="91"/>
  <c r="AD82" i="91"/>
  <c r="AC82" i="91"/>
  <c r="AH81" i="91"/>
  <c r="AG81" i="91"/>
  <c r="AF81" i="91"/>
  <c r="AE81" i="91"/>
  <c r="AD81" i="91"/>
  <c r="AC81" i="91"/>
  <c r="AH80" i="91"/>
  <c r="AG80" i="91"/>
  <c r="AF80" i="91"/>
  <c r="AE80" i="91"/>
  <c r="AD80" i="91"/>
  <c r="AC80" i="91"/>
  <c r="AH79" i="91"/>
  <c r="AG79" i="91"/>
  <c r="AF79" i="91"/>
  <c r="AE79" i="91"/>
  <c r="AD79" i="91"/>
  <c r="AC79" i="91"/>
  <c r="AH78" i="91"/>
  <c r="AG78" i="91"/>
  <c r="AF78" i="91"/>
  <c r="AE78" i="91"/>
  <c r="AD78" i="91"/>
  <c r="AC78" i="91"/>
  <c r="AH77" i="91"/>
  <c r="AG77" i="91"/>
  <c r="AF77" i="91"/>
  <c r="AE77" i="91"/>
  <c r="AD77" i="91"/>
  <c r="AC77" i="91"/>
  <c r="AH76" i="91"/>
  <c r="AG76" i="91"/>
  <c r="AF76" i="91"/>
  <c r="AE76" i="91"/>
  <c r="AD76" i="91"/>
  <c r="AC76" i="91"/>
  <c r="AH75" i="91"/>
  <c r="AG75" i="91"/>
  <c r="AF75" i="91"/>
  <c r="AE75" i="91"/>
  <c r="AD75" i="91"/>
  <c r="AC75" i="91"/>
  <c r="AH74" i="91"/>
  <c r="AG74" i="91"/>
  <c r="AF74" i="91"/>
  <c r="AE74" i="91"/>
  <c r="AD74" i="91"/>
  <c r="AC74" i="91"/>
  <c r="AH73" i="91"/>
  <c r="AG73" i="91"/>
  <c r="AF73" i="91"/>
  <c r="AE73" i="91"/>
  <c r="AD73" i="91"/>
  <c r="AC73" i="91"/>
  <c r="AH72" i="91"/>
  <c r="AG72" i="91"/>
  <c r="AF72" i="91"/>
  <c r="AE72" i="91"/>
  <c r="AD72" i="91"/>
  <c r="AC72" i="91"/>
  <c r="AH71" i="91"/>
  <c r="AG71" i="91"/>
  <c r="AF71" i="91"/>
  <c r="AE71" i="91"/>
  <c r="AD71" i="91"/>
  <c r="AC71" i="91"/>
  <c r="AH70" i="91"/>
  <c r="AG70" i="91"/>
  <c r="AF70" i="91"/>
  <c r="AE70" i="91"/>
  <c r="AD70" i="91"/>
  <c r="AC70" i="91"/>
  <c r="AH69" i="91"/>
  <c r="AG69" i="91"/>
  <c r="AF69" i="91"/>
  <c r="AE69" i="91"/>
  <c r="AD69" i="91"/>
  <c r="AC69" i="91"/>
  <c r="AH68" i="91"/>
  <c r="AG68" i="91"/>
  <c r="AF68" i="91"/>
  <c r="AE68" i="91"/>
  <c r="AD68" i="91"/>
  <c r="AC68" i="91"/>
  <c r="AH67" i="91"/>
  <c r="AG67" i="91"/>
  <c r="AF67" i="91"/>
  <c r="AE67" i="91"/>
  <c r="AD67" i="91"/>
  <c r="AC67" i="91"/>
  <c r="AH66" i="91"/>
  <c r="AG66" i="91"/>
  <c r="AF66" i="91"/>
  <c r="AE66" i="91"/>
  <c r="AD66" i="91"/>
  <c r="AC66" i="91"/>
  <c r="AH65" i="91"/>
  <c r="AG65" i="91"/>
  <c r="AF65" i="91"/>
  <c r="AE65" i="91"/>
  <c r="AD65" i="91"/>
  <c r="AC65" i="91"/>
  <c r="AH64" i="91"/>
  <c r="AG64" i="91"/>
  <c r="AF64" i="91"/>
  <c r="AE64" i="91"/>
  <c r="AD64" i="91"/>
  <c r="AC64" i="91"/>
  <c r="AH63" i="91"/>
  <c r="AG63" i="91"/>
  <c r="AF63" i="91"/>
  <c r="AE63" i="91"/>
  <c r="AD63" i="91"/>
  <c r="AC63" i="91"/>
  <c r="AH62" i="91"/>
  <c r="AG62" i="91"/>
  <c r="AF62" i="91"/>
  <c r="AE62" i="91"/>
  <c r="AD62" i="91"/>
  <c r="AC62" i="91"/>
  <c r="AH61" i="91"/>
  <c r="AG61" i="91"/>
  <c r="AF61" i="91"/>
  <c r="AE61" i="91"/>
  <c r="AD61" i="91"/>
  <c r="AC61" i="91"/>
  <c r="AH60" i="91"/>
  <c r="AG60" i="91"/>
  <c r="AF60" i="91"/>
  <c r="AE60" i="91"/>
  <c r="AD60" i="91"/>
  <c r="AC60" i="91"/>
  <c r="AH59" i="91"/>
  <c r="AG59" i="91"/>
  <c r="AF59" i="91"/>
  <c r="AE59" i="91"/>
  <c r="AD59" i="91"/>
  <c r="AC59" i="91"/>
  <c r="AH58" i="91"/>
  <c r="AG58" i="91"/>
  <c r="AF58" i="91"/>
  <c r="AE58" i="91"/>
  <c r="AD58" i="91"/>
  <c r="AC58" i="91"/>
  <c r="AH57" i="91"/>
  <c r="AG57" i="91"/>
  <c r="AF57" i="91"/>
  <c r="AE57" i="91"/>
  <c r="AD57" i="91"/>
  <c r="AC57" i="91"/>
  <c r="AH56" i="91"/>
  <c r="AG56" i="91"/>
  <c r="AF56" i="91"/>
  <c r="AE56" i="91"/>
  <c r="AD56" i="91"/>
  <c r="AC56" i="91"/>
  <c r="AH55" i="91"/>
  <c r="AG55" i="91"/>
  <c r="AF55" i="91"/>
  <c r="AE55" i="91"/>
  <c r="AD55" i="91"/>
  <c r="AC55" i="91"/>
  <c r="AH54" i="91"/>
  <c r="AG54" i="91"/>
  <c r="AF54" i="91"/>
  <c r="AE54" i="91"/>
  <c r="AD54" i="91"/>
  <c r="AC54" i="91"/>
  <c r="AH53" i="91"/>
  <c r="AG53" i="91"/>
  <c r="AF53" i="91"/>
  <c r="AE53" i="91"/>
  <c r="AD53" i="91"/>
  <c r="AC53" i="91"/>
  <c r="AH52" i="91"/>
  <c r="AG52" i="91"/>
  <c r="AF52" i="91"/>
  <c r="AE52" i="91"/>
  <c r="AD52" i="91"/>
  <c r="AC52" i="91"/>
  <c r="AH51" i="91"/>
  <c r="AG51" i="91"/>
  <c r="AF51" i="91"/>
  <c r="AE51" i="91"/>
  <c r="AD51" i="91"/>
  <c r="AC51" i="91"/>
  <c r="AH50" i="91"/>
  <c r="AG50" i="91"/>
  <c r="AF50" i="91"/>
  <c r="AE50" i="91"/>
  <c r="AD50" i="91"/>
  <c r="AC50" i="91"/>
  <c r="AH49" i="91"/>
  <c r="AG49" i="91"/>
  <c r="AF49" i="91"/>
  <c r="AE49" i="91"/>
  <c r="AD49" i="91"/>
  <c r="AC49" i="91"/>
  <c r="AH48" i="91"/>
  <c r="AG48" i="91"/>
  <c r="AF48" i="91"/>
  <c r="AE48" i="91"/>
  <c r="AD48" i="91"/>
  <c r="AC48" i="91"/>
  <c r="AH47" i="91"/>
  <c r="AG47" i="91"/>
  <c r="AF47" i="91"/>
  <c r="AE47" i="91"/>
  <c r="AD47" i="91"/>
  <c r="AC47" i="91"/>
  <c r="AH46" i="91"/>
  <c r="AG46" i="91"/>
  <c r="AF46" i="91"/>
  <c r="AE46" i="91"/>
  <c r="AD46" i="91"/>
  <c r="AC46" i="91"/>
  <c r="AH45" i="91"/>
  <c r="AG45" i="91"/>
  <c r="AF45" i="91"/>
  <c r="AE45" i="91"/>
  <c r="AD45" i="91"/>
  <c r="AC45" i="91"/>
  <c r="AH44" i="91"/>
  <c r="AG44" i="91"/>
  <c r="AF44" i="91"/>
  <c r="AE44" i="91"/>
  <c r="AD44" i="91"/>
  <c r="AC44" i="91"/>
  <c r="AH43" i="91"/>
  <c r="AG43" i="91"/>
  <c r="AF43" i="91"/>
  <c r="AE43" i="91"/>
  <c r="AD43" i="91"/>
  <c r="AC43" i="91"/>
  <c r="AH42" i="91"/>
  <c r="AG42" i="91"/>
  <c r="AF42" i="91"/>
  <c r="AE42" i="91"/>
  <c r="AD42" i="91"/>
  <c r="AC42" i="91"/>
  <c r="AH41" i="91"/>
  <c r="AG41" i="91"/>
  <c r="AF41" i="91"/>
  <c r="AE41" i="91"/>
  <c r="AD41" i="91"/>
  <c r="AC41" i="91"/>
  <c r="AH40" i="91"/>
  <c r="AG40" i="91"/>
  <c r="AF40" i="91"/>
  <c r="AE40" i="91"/>
  <c r="AD40" i="91"/>
  <c r="AC40" i="91"/>
  <c r="AH39" i="91"/>
  <c r="AG39" i="91"/>
  <c r="AF39" i="91"/>
  <c r="AE39" i="91"/>
  <c r="AD39" i="91"/>
  <c r="AC39" i="91"/>
  <c r="AH38" i="91"/>
  <c r="AG38" i="91"/>
  <c r="AF38" i="91"/>
  <c r="AE38" i="91"/>
  <c r="AD38" i="91"/>
  <c r="AC38" i="91"/>
  <c r="AH37" i="91"/>
  <c r="AG37" i="91"/>
  <c r="AF37" i="91"/>
  <c r="AE37" i="91"/>
  <c r="AD37" i="91"/>
  <c r="AC37" i="91"/>
  <c r="AH36" i="91"/>
  <c r="AG36" i="91"/>
  <c r="AF36" i="91"/>
  <c r="AE36" i="91"/>
  <c r="AD36" i="91"/>
  <c r="AC36" i="91"/>
  <c r="AH35" i="91"/>
  <c r="AG35" i="91"/>
  <c r="AF35" i="91"/>
  <c r="AE35" i="91"/>
  <c r="AD35" i="91"/>
  <c r="AC35" i="91"/>
  <c r="AH34" i="91"/>
  <c r="AG34" i="91"/>
  <c r="AF34" i="91"/>
  <c r="AE34" i="91"/>
  <c r="AD34" i="91"/>
  <c r="AC34" i="91"/>
  <c r="AH33" i="91"/>
  <c r="AG33" i="91"/>
  <c r="AF33" i="91"/>
  <c r="AE33" i="91"/>
  <c r="AD33" i="91"/>
  <c r="AC33" i="91"/>
  <c r="AH32" i="91"/>
  <c r="AG32" i="91"/>
  <c r="AF32" i="91"/>
  <c r="AE32" i="91"/>
  <c r="AD32" i="91"/>
  <c r="AC32" i="91"/>
  <c r="AH31" i="91"/>
  <c r="AG31" i="91"/>
  <c r="AF31" i="91"/>
  <c r="AE31" i="91"/>
  <c r="AD31" i="91"/>
  <c r="AC31" i="91"/>
  <c r="AH30" i="91"/>
  <c r="AG30" i="91"/>
  <c r="AF30" i="91"/>
  <c r="AE30" i="91"/>
  <c r="AD30" i="91"/>
  <c r="AC30" i="91"/>
  <c r="AH29" i="91"/>
  <c r="AG29" i="91"/>
  <c r="AF29" i="91"/>
  <c r="AE29" i="91"/>
  <c r="AD29" i="91"/>
  <c r="AC29" i="91"/>
  <c r="AH28" i="91"/>
  <c r="AG28" i="91"/>
  <c r="AF28" i="91"/>
  <c r="AE28" i="91"/>
  <c r="AD28" i="91"/>
  <c r="AC28" i="91"/>
  <c r="AH27" i="91"/>
  <c r="AG27" i="91"/>
  <c r="AF27" i="91"/>
  <c r="AE27" i="91"/>
  <c r="AD27" i="91"/>
  <c r="AC27" i="91"/>
  <c r="AH26" i="91"/>
  <c r="AG26" i="91"/>
  <c r="AF26" i="91"/>
  <c r="AE26" i="91"/>
  <c r="AD26" i="91"/>
  <c r="AC26" i="91"/>
  <c r="AH25" i="91"/>
  <c r="AG25" i="91"/>
  <c r="AF25" i="91"/>
  <c r="AE25" i="91"/>
  <c r="AD25" i="91"/>
  <c r="AC25" i="91"/>
  <c r="AH24" i="91"/>
  <c r="AG24" i="91"/>
  <c r="AF24" i="91"/>
  <c r="AE24" i="91"/>
  <c r="AD24" i="91"/>
  <c r="AC24" i="91"/>
  <c r="AH23" i="91"/>
  <c r="AG23" i="91"/>
  <c r="AF23" i="91"/>
  <c r="AE23" i="91"/>
  <c r="AD23" i="91"/>
  <c r="AC23" i="91"/>
  <c r="AH22" i="91"/>
  <c r="AG22" i="91"/>
  <c r="AF22" i="91"/>
  <c r="AE22" i="91"/>
  <c r="AD22" i="91"/>
  <c r="AC22" i="91"/>
  <c r="AH21" i="91"/>
  <c r="AG21" i="91"/>
  <c r="AF21" i="91"/>
  <c r="AE21" i="91"/>
  <c r="AD21" i="91"/>
  <c r="AC21" i="91"/>
  <c r="AH20" i="91"/>
  <c r="AG20" i="91"/>
  <c r="AF20" i="91"/>
  <c r="AE20" i="91"/>
  <c r="AD20" i="91"/>
  <c r="AC20" i="91"/>
  <c r="AH19" i="91"/>
  <c r="AG19" i="91"/>
  <c r="AF19" i="91"/>
  <c r="AE19" i="91"/>
  <c r="AD19" i="91"/>
  <c r="AC19" i="91"/>
  <c r="AH18" i="91"/>
  <c r="AG18" i="91"/>
  <c r="AF18" i="91"/>
  <c r="AE18" i="91"/>
  <c r="AD18" i="91"/>
  <c r="AC18" i="91"/>
  <c r="AH17" i="91"/>
  <c r="AG17" i="91"/>
  <c r="AF17" i="91"/>
  <c r="AE17" i="91"/>
  <c r="AD17" i="91"/>
  <c r="AC17" i="91"/>
  <c r="AH16" i="91"/>
  <c r="AG16" i="91"/>
  <c r="AF16" i="91"/>
  <c r="AE16" i="91"/>
  <c r="AD16" i="91"/>
  <c r="AC16" i="91"/>
  <c r="AH15" i="91"/>
  <c r="AG15" i="91"/>
  <c r="AF15" i="91"/>
  <c r="AE15" i="91"/>
  <c r="AD15" i="91"/>
  <c r="AC15" i="91"/>
  <c r="AH14" i="91"/>
  <c r="AG14" i="91"/>
  <c r="AF14" i="91"/>
  <c r="AE14" i="91"/>
  <c r="AD14" i="91"/>
  <c r="AC14" i="91"/>
  <c r="AH13" i="91"/>
  <c r="AG13" i="91"/>
  <c r="AF13" i="91"/>
  <c r="AE13" i="91"/>
  <c r="AD13" i="91"/>
  <c r="AC13" i="91"/>
  <c r="AH12" i="91"/>
  <c r="AG12" i="91"/>
  <c r="AF12" i="91"/>
  <c r="AE12" i="91"/>
  <c r="AD12" i="91"/>
  <c r="AC12" i="91"/>
  <c r="AH11" i="91"/>
  <c r="AG11" i="91"/>
  <c r="AF11" i="91"/>
  <c r="AE11" i="91"/>
  <c r="AD11" i="91"/>
  <c r="AC11" i="91"/>
  <c r="AH10" i="91"/>
  <c r="AG10" i="91"/>
  <c r="AF10" i="91"/>
  <c r="AE10" i="91"/>
  <c r="AD10" i="91"/>
  <c r="AC10" i="91"/>
  <c r="AH9" i="91"/>
  <c r="AG9" i="91"/>
  <c r="AF9" i="91"/>
  <c r="AE9" i="91"/>
  <c r="AD9" i="91"/>
  <c r="AC9" i="91"/>
  <c r="AH8" i="91"/>
  <c r="AG8" i="91"/>
  <c r="AF8" i="91"/>
  <c r="AE8" i="91"/>
  <c r="AD8" i="91"/>
  <c r="AC8" i="91"/>
  <c r="AH7" i="91"/>
  <c r="AG7" i="91"/>
  <c r="AF7" i="91"/>
  <c r="AE7" i="91"/>
  <c r="AD7" i="91"/>
  <c r="AC7" i="91"/>
  <c r="AH6" i="91"/>
  <c r="AG6" i="91"/>
  <c r="AF6" i="91"/>
  <c r="AE6" i="91"/>
  <c r="AD6" i="91"/>
  <c r="AC6" i="91"/>
  <c r="AH5" i="91"/>
  <c r="AG5" i="91"/>
  <c r="AF5" i="91"/>
  <c r="AE5" i="91"/>
  <c r="AD5" i="91"/>
  <c r="AC5" i="91"/>
  <c r="AH4" i="91"/>
  <c r="AG4" i="91"/>
  <c r="AF4" i="91"/>
  <c r="AE4" i="91"/>
  <c r="AD4" i="91"/>
  <c r="AC4" i="91"/>
  <c r="AH3" i="91"/>
  <c r="AG3" i="91"/>
  <c r="AF3" i="91"/>
  <c r="AE3" i="91"/>
  <c r="AD3" i="91"/>
  <c r="AC3" i="91"/>
  <c r="P30" i="67"/>
  <c r="T29" i="67"/>
  <c r="S29" i="67"/>
  <c r="Q29" i="67"/>
  <c r="P29" i="67"/>
  <c r="N29" i="67"/>
  <c r="M29" i="67"/>
  <c r="K29" i="67"/>
  <c r="J29" i="67"/>
  <c r="H29" i="67"/>
  <c r="G29" i="67"/>
  <c r="F32" i="67" s="1"/>
  <c r="E29" i="67"/>
  <c r="D29" i="67"/>
  <c r="R28" i="67"/>
  <c r="O28" i="67"/>
  <c r="L28" i="67"/>
  <c r="I28" i="67"/>
  <c r="F28" i="67"/>
  <c r="C28" i="67"/>
  <c r="R27" i="67"/>
  <c r="O27" i="67"/>
  <c r="L27" i="67"/>
  <c r="I27" i="67"/>
  <c r="F27" i="67"/>
  <c r="C27" i="67"/>
  <c r="R26" i="67"/>
  <c r="O26" i="67"/>
  <c r="L26" i="67"/>
  <c r="I26" i="67"/>
  <c r="F26" i="67"/>
  <c r="C26" i="67"/>
  <c r="R25" i="67"/>
  <c r="O25" i="67"/>
  <c r="L25" i="67"/>
  <c r="I25" i="67"/>
  <c r="F25" i="67"/>
  <c r="C25" i="67"/>
  <c r="R24" i="67"/>
  <c r="O24" i="67"/>
  <c r="L24" i="67"/>
  <c r="I24" i="67"/>
  <c r="F24" i="67"/>
  <c r="C24" i="67"/>
  <c r="R23" i="67"/>
  <c r="O23" i="67"/>
  <c r="L23" i="67"/>
  <c r="I23" i="67"/>
  <c r="F23" i="67"/>
  <c r="C23" i="67"/>
  <c r="R22" i="67"/>
  <c r="O22" i="67"/>
  <c r="L22" i="67"/>
  <c r="I22" i="67"/>
  <c r="F22" i="67"/>
  <c r="C22" i="67"/>
  <c r="R21" i="67"/>
  <c r="O21" i="67"/>
  <c r="L21" i="67"/>
  <c r="I21" i="67"/>
  <c r="F21" i="67"/>
  <c r="C21" i="67"/>
  <c r="R20" i="67"/>
  <c r="O20" i="67"/>
  <c r="L20" i="67"/>
  <c r="I20" i="67"/>
  <c r="F20" i="67"/>
  <c r="C20" i="67"/>
  <c r="R19" i="67"/>
  <c r="O19" i="67"/>
  <c r="L19" i="67"/>
  <c r="I19" i="67"/>
  <c r="F19" i="67"/>
  <c r="C19" i="67"/>
  <c r="T18" i="67"/>
  <c r="S18" i="67"/>
  <c r="R18" i="67"/>
  <c r="Q18" i="67"/>
  <c r="P18" i="67"/>
  <c r="O18" i="67"/>
  <c r="N18" i="67"/>
  <c r="M18" i="67"/>
  <c r="L18" i="67"/>
  <c r="K18" i="67"/>
  <c r="J18" i="67"/>
  <c r="I18" i="67"/>
  <c r="H18" i="67"/>
  <c r="G18" i="67"/>
  <c r="F18" i="67"/>
  <c r="E18" i="67"/>
  <c r="D18" i="67"/>
  <c r="C18" i="67"/>
  <c r="R17" i="67"/>
  <c r="O17" i="67"/>
  <c r="L17" i="67"/>
  <c r="I17" i="67"/>
  <c r="F17" i="67"/>
  <c r="C17" i="67"/>
  <c r="R16" i="67"/>
  <c r="O16" i="67"/>
  <c r="L16" i="67"/>
  <c r="I16" i="67"/>
  <c r="F16" i="67"/>
  <c r="C16" i="67"/>
  <c r="R15" i="67"/>
  <c r="O15" i="67"/>
  <c r="L15" i="67"/>
  <c r="I15" i="67"/>
  <c r="F15" i="67"/>
  <c r="C15" i="67"/>
  <c r="T14" i="67"/>
  <c r="S14" i="67"/>
  <c r="R14" i="67"/>
  <c r="Q14" i="67"/>
  <c r="P14" i="67"/>
  <c r="O14" i="67"/>
  <c r="N14" i="67"/>
  <c r="M14" i="67"/>
  <c r="L14" i="67"/>
  <c r="K14" i="67"/>
  <c r="J14" i="67"/>
  <c r="I14" i="67"/>
  <c r="H14" i="67"/>
  <c r="G14" i="67"/>
  <c r="F14" i="67"/>
  <c r="E14" i="67"/>
  <c r="D14" i="67"/>
  <c r="C14" i="67"/>
  <c r="R13" i="67"/>
  <c r="O13" i="67"/>
  <c r="L13" i="67"/>
  <c r="I13" i="67"/>
  <c r="F13" i="67"/>
  <c r="C13" i="67"/>
  <c r="R12" i="67"/>
  <c r="O12" i="67"/>
  <c r="L12" i="67"/>
  <c r="I12" i="67"/>
  <c r="F12" i="67"/>
  <c r="C12" i="67"/>
  <c r="R11" i="67"/>
  <c r="O11" i="67"/>
  <c r="L11" i="67"/>
  <c r="I11" i="67"/>
  <c r="F11" i="67"/>
  <c r="C11" i="67"/>
  <c r="R10" i="67"/>
  <c r="O10" i="67"/>
  <c r="L10" i="67"/>
  <c r="I10" i="67"/>
  <c r="F10" i="67"/>
  <c r="C10" i="67"/>
  <c r="R9" i="67"/>
  <c r="O9" i="67"/>
  <c r="L9" i="67"/>
  <c r="I9" i="67"/>
  <c r="F9" i="67"/>
  <c r="C9" i="67"/>
  <c r="R8" i="67"/>
  <c r="O8" i="67"/>
  <c r="L8" i="67"/>
  <c r="I8" i="67"/>
  <c r="F8" i="67"/>
  <c r="C8" i="67"/>
  <c r="T7" i="67"/>
  <c r="S7" i="67"/>
  <c r="R7" i="67"/>
  <c r="Q7" i="67"/>
  <c r="P7" i="67"/>
  <c r="O7" i="67"/>
  <c r="N7" i="67"/>
  <c r="M7" i="67"/>
  <c r="L7" i="67"/>
  <c r="K7" i="67"/>
  <c r="J7" i="67"/>
  <c r="I7" i="67"/>
  <c r="H7" i="67"/>
  <c r="G7" i="67"/>
  <c r="F7" i="67" s="1"/>
  <c r="B3" i="67" s="1"/>
  <c r="E7" i="67"/>
  <c r="D7" i="67"/>
  <c r="C7" i="67"/>
  <c r="K35" i="87"/>
  <c r="H35" i="87"/>
  <c r="E35" i="87"/>
  <c r="D35" i="87"/>
  <c r="K34" i="87"/>
  <c r="H34" i="87"/>
  <c r="E34" i="87"/>
  <c r="D34" i="87"/>
  <c r="K33" i="87"/>
  <c r="H33" i="87"/>
  <c r="E33" i="87"/>
  <c r="D33" i="87"/>
  <c r="K32" i="87"/>
  <c r="H32" i="87"/>
  <c r="E32" i="87"/>
  <c r="D32" i="87"/>
  <c r="K31" i="87"/>
  <c r="H31" i="87"/>
  <c r="E31" i="87"/>
  <c r="D31" i="87"/>
  <c r="K30" i="87"/>
  <c r="H30" i="87"/>
  <c r="E30" i="87"/>
  <c r="D30" i="87"/>
  <c r="K29" i="87"/>
  <c r="H29" i="87"/>
  <c r="E29" i="87"/>
  <c r="D29" i="87"/>
  <c r="K28" i="87"/>
  <c r="H28" i="87"/>
  <c r="E28" i="87"/>
  <c r="D28" i="87"/>
  <c r="K27" i="87"/>
  <c r="H27" i="87"/>
  <c r="E27" i="87"/>
  <c r="D27" i="87"/>
  <c r="K26" i="87"/>
  <c r="H26" i="87"/>
  <c r="E26" i="87"/>
  <c r="D26" i="87"/>
  <c r="K25" i="87"/>
  <c r="H25" i="87"/>
  <c r="E25" i="87"/>
  <c r="D25" i="87"/>
  <c r="K24" i="87"/>
  <c r="H24" i="87"/>
  <c r="E24" i="87"/>
  <c r="D24" i="87"/>
  <c r="K23" i="87"/>
  <c r="H23" i="87"/>
  <c r="E23" i="87"/>
  <c r="D23" i="87"/>
  <c r="K22" i="87"/>
  <c r="H22" i="87"/>
  <c r="E22" i="87"/>
  <c r="D22" i="87"/>
  <c r="K21" i="87"/>
  <c r="H21" i="87"/>
  <c r="E21" i="87"/>
  <c r="D21" i="87"/>
  <c r="K20" i="87"/>
  <c r="H20" i="87"/>
  <c r="E20" i="87"/>
  <c r="D20" i="87"/>
  <c r="K19" i="87"/>
  <c r="H19" i="87"/>
  <c r="E19" i="87"/>
  <c r="D19" i="87"/>
  <c r="K18" i="87"/>
  <c r="H18" i="87"/>
  <c r="E18" i="87"/>
  <c r="D18" i="87"/>
  <c r="K17" i="87"/>
  <c r="H17" i="87"/>
  <c r="E17" i="87"/>
  <c r="D17" i="87"/>
  <c r="K16" i="87"/>
  <c r="H16" i="87"/>
  <c r="E16" i="87"/>
  <c r="D16" i="87"/>
  <c r="K15" i="87"/>
  <c r="H15" i="87"/>
  <c r="E15" i="87"/>
  <c r="D15" i="87"/>
  <c r="K14" i="87"/>
  <c r="H14" i="87"/>
  <c r="E14" i="87"/>
  <c r="D14" i="87"/>
  <c r="K13" i="87"/>
  <c r="H13" i="87"/>
  <c r="E13" i="87"/>
  <c r="D13" i="87"/>
  <c r="K12" i="87"/>
  <c r="H12" i="87"/>
  <c r="E12" i="87"/>
  <c r="D12" i="87"/>
  <c r="K11" i="87"/>
  <c r="H11" i="87"/>
  <c r="E11" i="87"/>
  <c r="D11" i="87"/>
  <c r="K10" i="87"/>
  <c r="H10" i="87"/>
  <c r="E10" i="87"/>
  <c r="D10" i="87"/>
  <c r="K9" i="87"/>
  <c r="H9" i="87"/>
  <c r="E9" i="87"/>
  <c r="D9" i="87"/>
  <c r="K8" i="87"/>
  <c r="H8" i="87"/>
  <c r="E8" i="87"/>
  <c r="D8" i="87"/>
  <c r="K7" i="87"/>
  <c r="H7" i="87"/>
  <c r="E7" i="87"/>
  <c r="D7" i="87"/>
  <c r="M6" i="87"/>
  <c r="L6" i="87"/>
  <c r="K6" i="87"/>
  <c r="J6" i="87"/>
  <c r="I6" i="87"/>
  <c r="H6" i="87"/>
  <c r="G6" i="87"/>
  <c r="F6" i="87"/>
  <c r="E6" i="87" s="1"/>
  <c r="D6" i="87"/>
  <c r="N6" i="87" s="1"/>
  <c r="E33" i="86"/>
  <c r="C33" i="86"/>
  <c r="D33" i="86" s="1"/>
  <c r="E32" i="86"/>
  <c r="C32" i="86"/>
  <c r="D32" i="86" s="1"/>
  <c r="E31" i="86"/>
  <c r="C31" i="86"/>
  <c r="D31" i="86" s="1"/>
  <c r="E30" i="86"/>
  <c r="C30" i="86"/>
  <c r="D30" i="86" s="1"/>
  <c r="E29" i="86"/>
  <c r="C29" i="86"/>
  <c r="D29" i="86" s="1"/>
  <c r="E28" i="86"/>
  <c r="C28" i="86"/>
  <c r="D28" i="86" s="1"/>
  <c r="E27" i="86"/>
  <c r="C27" i="86"/>
  <c r="D27" i="86" s="1"/>
  <c r="E26" i="86"/>
  <c r="C26" i="86"/>
  <c r="D26" i="86" s="1"/>
  <c r="E25" i="86"/>
  <c r="C25" i="86"/>
  <c r="D25" i="86" s="1"/>
  <c r="E24" i="86"/>
  <c r="C24" i="86"/>
  <c r="D24" i="86" s="1"/>
  <c r="E23" i="86"/>
  <c r="C23" i="86"/>
  <c r="D23" i="86" s="1"/>
  <c r="E22" i="86"/>
  <c r="C22" i="86"/>
  <c r="D22" i="86" s="1"/>
  <c r="E21" i="86"/>
  <c r="C21" i="86"/>
  <c r="D21" i="86" s="1"/>
  <c r="E20" i="86"/>
  <c r="C20" i="86"/>
  <c r="D20" i="86" s="1"/>
  <c r="E19" i="86"/>
  <c r="C19" i="86"/>
  <c r="D19" i="86" s="1"/>
  <c r="E18" i="86"/>
  <c r="C18" i="86"/>
  <c r="D18" i="86" s="1"/>
  <c r="E17" i="86"/>
  <c r="C17" i="86"/>
  <c r="D17" i="86" s="1"/>
  <c r="E16" i="86"/>
  <c r="C16" i="86"/>
  <c r="D16" i="86" s="1"/>
  <c r="E15" i="86"/>
  <c r="C15" i="86"/>
  <c r="D15" i="86" s="1"/>
  <c r="E14" i="86"/>
  <c r="C14" i="86"/>
  <c r="E13" i="86"/>
  <c r="C13" i="86"/>
  <c r="D13" i="86" s="1"/>
  <c r="E12" i="86"/>
  <c r="C12" i="86"/>
  <c r="D12" i="86" s="1"/>
  <c r="E11" i="86"/>
  <c r="C11" i="86"/>
  <c r="D11" i="86" s="1"/>
  <c r="E10" i="86"/>
  <c r="C10" i="86"/>
  <c r="D10" i="86" s="1"/>
  <c r="E9" i="86"/>
  <c r="C9" i="86"/>
  <c r="D9" i="86" s="1"/>
  <c r="E8" i="86"/>
  <c r="C8" i="86"/>
  <c r="D14" i="86" s="1"/>
  <c r="F7" i="86"/>
  <c r="G7" i="86" s="1"/>
  <c r="O11" i="99"/>
  <c r="L11" i="99"/>
  <c r="O10" i="99"/>
  <c r="L10" i="99"/>
  <c r="I10" i="99"/>
  <c r="O9" i="99"/>
  <c r="L9" i="99"/>
  <c r="I9" i="99"/>
  <c r="F9" i="99"/>
  <c r="O8" i="99"/>
  <c r="L8" i="99"/>
  <c r="I8" i="99"/>
  <c r="F8" i="99"/>
  <c r="C8" i="99"/>
  <c r="O7" i="99"/>
  <c r="L7" i="99"/>
  <c r="I7" i="99"/>
  <c r="F7" i="99"/>
  <c r="C7" i="99"/>
  <c r="W27" i="95"/>
  <c r="V27" i="95"/>
  <c r="T27" i="95"/>
  <c r="S27" i="95"/>
  <c r="Q27" i="95"/>
  <c r="P27" i="95"/>
  <c r="N27" i="95"/>
  <c r="M27" i="95"/>
  <c r="K27" i="95"/>
  <c r="J27" i="95"/>
  <c r="H27" i="95"/>
  <c r="G27" i="95"/>
  <c r="U26" i="95"/>
  <c r="R26" i="95"/>
  <c r="O26" i="95"/>
  <c r="L26" i="95"/>
  <c r="I26" i="95"/>
  <c r="F26" i="95"/>
  <c r="E26" i="95"/>
  <c r="D26" i="95"/>
  <c r="C26" i="95"/>
  <c r="U25" i="95"/>
  <c r="R25" i="95"/>
  <c r="O25" i="95"/>
  <c r="L25" i="95"/>
  <c r="I25" i="95"/>
  <c r="F25" i="95"/>
  <c r="E25" i="95"/>
  <c r="D25" i="95"/>
  <c r="U24" i="95"/>
  <c r="R24" i="95"/>
  <c r="O24" i="95"/>
  <c r="E24" i="95"/>
  <c r="D24" i="95"/>
  <c r="C24" i="95"/>
  <c r="U23" i="95"/>
  <c r="R23" i="95"/>
  <c r="O23" i="95"/>
  <c r="E23" i="95"/>
  <c r="D23" i="95"/>
  <c r="C23" i="95"/>
  <c r="U22" i="95"/>
  <c r="R22" i="95"/>
  <c r="O22" i="95"/>
  <c r="L22" i="95"/>
  <c r="I22" i="95"/>
  <c r="F22" i="95"/>
  <c r="E22" i="95"/>
  <c r="C22" i="95" s="1"/>
  <c r="D22" i="95"/>
  <c r="U21" i="95"/>
  <c r="R21" i="95"/>
  <c r="O21" i="95"/>
  <c r="L21" i="95"/>
  <c r="I21" i="95"/>
  <c r="F21" i="95"/>
  <c r="E21" i="95"/>
  <c r="D21" i="95"/>
  <c r="C21" i="95"/>
  <c r="U20" i="95"/>
  <c r="R20" i="95"/>
  <c r="O20" i="95"/>
  <c r="L20" i="95"/>
  <c r="I20" i="95"/>
  <c r="F20" i="95"/>
  <c r="E20" i="95"/>
  <c r="D20" i="95"/>
  <c r="C20" i="95" s="1"/>
  <c r="U19" i="95"/>
  <c r="R19" i="95"/>
  <c r="O19" i="95"/>
  <c r="L19" i="95"/>
  <c r="I19" i="95"/>
  <c r="F19" i="95"/>
  <c r="E19" i="95"/>
  <c r="D19" i="95"/>
  <c r="C19" i="95"/>
  <c r="L18" i="95"/>
  <c r="I18" i="95"/>
  <c r="F18" i="95"/>
  <c r="E18" i="95"/>
  <c r="D18" i="95"/>
  <c r="C18" i="95"/>
  <c r="L17" i="95"/>
  <c r="I17" i="95"/>
  <c r="F17" i="95"/>
  <c r="E17" i="95"/>
  <c r="D17" i="95"/>
  <c r="C17" i="95"/>
  <c r="U16" i="95"/>
  <c r="R16" i="95"/>
  <c r="O16" i="95"/>
  <c r="L16" i="95"/>
  <c r="I16" i="95"/>
  <c r="F16" i="95"/>
  <c r="E16" i="95"/>
  <c r="C16" i="95" s="1"/>
  <c r="D16" i="95"/>
  <c r="U15" i="95"/>
  <c r="R15" i="95"/>
  <c r="O15" i="95"/>
  <c r="L15" i="95"/>
  <c r="I15" i="95"/>
  <c r="F15" i="95"/>
  <c r="E15" i="95"/>
  <c r="D15" i="95"/>
  <c r="C15" i="95"/>
  <c r="U14" i="95"/>
  <c r="R14" i="95"/>
  <c r="O14" i="95"/>
  <c r="L14" i="95"/>
  <c r="I14" i="95"/>
  <c r="F14" i="95"/>
  <c r="E14" i="95"/>
  <c r="C14" i="95" s="1"/>
  <c r="D14" i="95"/>
  <c r="U13" i="95"/>
  <c r="R13" i="95"/>
  <c r="O13" i="95"/>
  <c r="L13" i="95"/>
  <c r="I13" i="95"/>
  <c r="F13" i="95"/>
  <c r="E13" i="95"/>
  <c r="D13" i="95"/>
  <c r="C13" i="95"/>
  <c r="U12" i="95"/>
  <c r="R12" i="95"/>
  <c r="O12" i="95"/>
  <c r="L12" i="95"/>
  <c r="I12" i="95"/>
  <c r="F12" i="95"/>
  <c r="E12" i="95"/>
  <c r="C12" i="95" s="1"/>
  <c r="D12" i="95"/>
  <c r="U11" i="95"/>
  <c r="R11" i="95"/>
  <c r="O11" i="95"/>
  <c r="L11" i="95"/>
  <c r="I11" i="95"/>
  <c r="F11" i="95"/>
  <c r="E11" i="95"/>
  <c r="D11" i="95"/>
  <c r="C11" i="95"/>
  <c r="L10" i="95"/>
  <c r="I10" i="95"/>
  <c r="F10" i="95"/>
  <c r="E10" i="95"/>
  <c r="D10" i="95"/>
  <c r="C10" i="95"/>
  <c r="U9" i="95"/>
  <c r="R9" i="95"/>
  <c r="O9" i="95"/>
  <c r="L9" i="95"/>
  <c r="I9" i="95"/>
  <c r="F9" i="95"/>
  <c r="E9" i="95"/>
  <c r="C9" i="95" s="1"/>
  <c r="D9" i="95"/>
  <c r="U8" i="95"/>
  <c r="R8" i="95"/>
  <c r="O8" i="95"/>
  <c r="L8" i="95"/>
  <c r="I8" i="95"/>
  <c r="F8" i="95"/>
  <c r="E8" i="95"/>
  <c r="D8" i="95"/>
  <c r="C8" i="95"/>
  <c r="U7" i="95"/>
  <c r="R7" i="95"/>
  <c r="O7" i="95"/>
  <c r="L7" i="95"/>
  <c r="I7" i="95"/>
  <c r="F7" i="95"/>
  <c r="E7" i="95"/>
  <c r="C7" i="95" s="1"/>
  <c r="D7" i="95"/>
  <c r="T28" i="61"/>
  <c r="S28" i="61"/>
  <c r="Q28" i="61"/>
  <c r="P28" i="61"/>
  <c r="N28" i="61"/>
  <c r="M28" i="61"/>
  <c r="K28" i="61"/>
  <c r="J28" i="61"/>
  <c r="H28" i="61"/>
  <c r="G28" i="61"/>
  <c r="G29" i="61" s="1"/>
  <c r="E28" i="61"/>
  <c r="D28" i="61"/>
  <c r="U27" i="61"/>
  <c r="R27" i="61"/>
  <c r="O27" i="61"/>
  <c r="L27" i="61"/>
  <c r="I27" i="61"/>
  <c r="F27" i="61"/>
  <c r="E27" i="61"/>
  <c r="D27" i="61"/>
  <c r="C27" i="61"/>
  <c r="U26" i="61"/>
  <c r="R26" i="61"/>
  <c r="O26" i="61"/>
  <c r="L26" i="61"/>
  <c r="I26" i="61"/>
  <c r="F26" i="61"/>
  <c r="E26" i="61"/>
  <c r="D26" i="61"/>
  <c r="C26" i="61"/>
  <c r="U25" i="61"/>
  <c r="R25" i="61"/>
  <c r="O25" i="61"/>
  <c r="L25" i="61"/>
  <c r="I25" i="61"/>
  <c r="F25" i="61"/>
  <c r="E25" i="61"/>
  <c r="D25" i="61"/>
  <c r="C25" i="61"/>
  <c r="U24" i="61"/>
  <c r="R24" i="61"/>
  <c r="O24" i="61"/>
  <c r="E24" i="61"/>
  <c r="D24" i="61"/>
  <c r="C24" i="61"/>
  <c r="U23" i="61"/>
  <c r="R23" i="61"/>
  <c r="O23" i="61"/>
  <c r="E23" i="61"/>
  <c r="D23" i="61"/>
  <c r="C23" i="61"/>
  <c r="U22" i="61"/>
  <c r="R22" i="61"/>
  <c r="O22" i="61"/>
  <c r="L22" i="61"/>
  <c r="I22" i="61"/>
  <c r="F22" i="61"/>
  <c r="E22" i="61"/>
  <c r="D22" i="61"/>
  <c r="C22" i="61"/>
  <c r="U21" i="61"/>
  <c r="R21" i="61"/>
  <c r="O21" i="61"/>
  <c r="L21" i="61"/>
  <c r="I21" i="61"/>
  <c r="F21" i="61"/>
  <c r="E21" i="61"/>
  <c r="D21" i="61"/>
  <c r="C21" i="61"/>
  <c r="U20" i="61"/>
  <c r="R20" i="61"/>
  <c r="O20" i="61"/>
  <c r="L20" i="61"/>
  <c r="I20" i="61"/>
  <c r="F20" i="61"/>
  <c r="E20" i="61"/>
  <c r="D20" i="61"/>
  <c r="C20" i="61"/>
  <c r="U19" i="61"/>
  <c r="R19" i="61"/>
  <c r="O19" i="61"/>
  <c r="L19" i="61"/>
  <c r="I19" i="61"/>
  <c r="F19" i="61"/>
  <c r="E19" i="61"/>
  <c r="D19" i="61"/>
  <c r="C19" i="61"/>
  <c r="L18" i="61"/>
  <c r="I18" i="61"/>
  <c r="F18" i="61"/>
  <c r="E18" i="61"/>
  <c r="D18" i="61"/>
  <c r="C18" i="61"/>
  <c r="L17" i="61"/>
  <c r="I17" i="61"/>
  <c r="F17" i="61"/>
  <c r="E17" i="61"/>
  <c r="D17" i="61"/>
  <c r="C17" i="61"/>
  <c r="U16" i="61"/>
  <c r="R16" i="61"/>
  <c r="O16" i="61"/>
  <c r="L16" i="61"/>
  <c r="I16" i="61"/>
  <c r="F16" i="61"/>
  <c r="E16" i="61"/>
  <c r="D16" i="61"/>
  <c r="C16" i="61"/>
  <c r="U15" i="61"/>
  <c r="R15" i="61"/>
  <c r="O15" i="61"/>
  <c r="L15" i="61"/>
  <c r="I15" i="61"/>
  <c r="F15" i="61"/>
  <c r="E15" i="61"/>
  <c r="D15" i="61"/>
  <c r="C15" i="61"/>
  <c r="U14" i="61"/>
  <c r="R14" i="61"/>
  <c r="O14" i="61"/>
  <c r="L14" i="61"/>
  <c r="I14" i="61"/>
  <c r="F14" i="61"/>
  <c r="E14" i="61"/>
  <c r="D14" i="61"/>
  <c r="C14" i="61"/>
  <c r="U13" i="61"/>
  <c r="R13" i="61"/>
  <c r="O13" i="61"/>
  <c r="L13" i="61"/>
  <c r="I13" i="61"/>
  <c r="F13" i="61"/>
  <c r="E13" i="61"/>
  <c r="D13" i="61"/>
  <c r="C13" i="61"/>
  <c r="U12" i="61"/>
  <c r="R12" i="61"/>
  <c r="O12" i="61"/>
  <c r="L12" i="61"/>
  <c r="I12" i="61"/>
  <c r="F12" i="61"/>
  <c r="E12" i="61"/>
  <c r="D12" i="61"/>
  <c r="C12" i="61"/>
  <c r="U11" i="61"/>
  <c r="R11" i="61"/>
  <c r="O11" i="61"/>
  <c r="L11" i="61"/>
  <c r="I11" i="61"/>
  <c r="F11" i="61"/>
  <c r="E11" i="61"/>
  <c r="D11" i="61"/>
  <c r="C11" i="61"/>
  <c r="L10" i="61"/>
  <c r="I10" i="61"/>
  <c r="F10" i="61"/>
  <c r="E10" i="61"/>
  <c r="D10" i="61"/>
  <c r="C10" i="61"/>
  <c r="U9" i="61"/>
  <c r="R9" i="61"/>
  <c r="O9" i="61"/>
  <c r="L9" i="61"/>
  <c r="I9" i="61"/>
  <c r="F9" i="61"/>
  <c r="E9" i="61"/>
  <c r="D9" i="61"/>
  <c r="C9" i="61"/>
  <c r="U8" i="61"/>
  <c r="R8" i="61"/>
  <c r="O8" i="61"/>
  <c r="L8" i="61"/>
  <c r="I8" i="61"/>
  <c r="F8" i="61"/>
  <c r="E8" i="61"/>
  <c r="D8" i="61"/>
  <c r="C8" i="61"/>
  <c r="U7" i="61"/>
  <c r="R7" i="61"/>
  <c r="O7" i="61"/>
  <c r="L7" i="61"/>
  <c r="I7" i="61"/>
  <c r="F7" i="61"/>
  <c r="E7" i="61"/>
  <c r="D7" i="61"/>
  <c r="C7" i="61"/>
  <c r="C13" i="105"/>
  <c r="C11" i="105"/>
  <c r="G9" i="105"/>
  <c r="C9" i="105"/>
  <c r="G8" i="105"/>
  <c r="C8" i="105"/>
  <c r="C7" i="105"/>
  <c r="G7" i="105" s="1"/>
  <c r="F6" i="105"/>
  <c r="E6" i="105"/>
  <c r="D6" i="105"/>
  <c r="C6" i="105" s="1"/>
  <c r="B16" i="105" s="1"/>
  <c r="E21" i="96"/>
  <c r="E20" i="96"/>
  <c r="E19" i="96"/>
  <c r="E18" i="96"/>
  <c r="E17" i="96"/>
  <c r="G16" i="96"/>
  <c r="F16" i="96"/>
  <c r="E16" i="96" s="1"/>
  <c r="E15" i="96"/>
  <c r="B27" i="96" s="1"/>
  <c r="E14" i="96"/>
  <c r="H13" i="96"/>
  <c r="E13" i="96"/>
  <c r="B25" i="96" s="1"/>
  <c r="H12" i="96"/>
  <c r="E12" i="96"/>
  <c r="L11" i="96"/>
  <c r="H11" i="96"/>
  <c r="E11" i="96"/>
  <c r="L10" i="96"/>
  <c r="H10" i="96"/>
  <c r="E10" i="96"/>
  <c r="L9" i="96"/>
  <c r="H9" i="96"/>
  <c r="E9" i="96"/>
  <c r="L8" i="96"/>
  <c r="H8" i="96"/>
  <c r="E8" i="96"/>
  <c r="L7" i="96"/>
  <c r="H7" i="96"/>
  <c r="E7" i="96"/>
  <c r="K6" i="96"/>
  <c r="J6" i="96"/>
  <c r="I6" i="96"/>
  <c r="H6" i="96" s="1"/>
  <c r="I17" i="96" s="1"/>
  <c r="G6" i="96"/>
  <c r="F6" i="96"/>
  <c r="E6" i="96"/>
  <c r="K5" i="96"/>
  <c r="G5" i="96"/>
  <c r="G28" i="94"/>
  <c r="B28" i="94"/>
  <c r="G27" i="94"/>
  <c r="G25" i="94"/>
  <c r="L1" i="94"/>
  <c r="H30" i="12"/>
  <c r="H29" i="12"/>
  <c r="H28" i="12"/>
  <c r="H26" i="12"/>
  <c r="M2" i="12"/>
  <c r="N15" i="87" l="1"/>
  <c r="G9" i="76"/>
  <c r="H21" i="94"/>
  <c r="F35" i="94"/>
  <c r="D15" i="96"/>
  <c r="B24" i="96" s="1"/>
  <c r="K1" i="78"/>
  <c r="F1" i="90"/>
  <c r="P1" i="99"/>
  <c r="E1" i="76"/>
  <c r="V1" i="61"/>
  <c r="V1" i="92"/>
  <c r="E1" i="86"/>
  <c r="I1" i="77"/>
  <c r="S1" i="67"/>
  <c r="V1" i="95"/>
  <c r="G36" i="12"/>
  <c r="J1" i="102"/>
  <c r="L1" i="87"/>
  <c r="O1" i="101"/>
  <c r="E1" i="105"/>
  <c r="C30" i="12"/>
  <c r="J1" i="96"/>
  <c r="C29" i="61"/>
  <c r="F30" i="67"/>
  <c r="G36" i="77"/>
  <c r="B28" i="96"/>
  <c r="F5" i="96"/>
  <c r="E5" i="96" s="1"/>
  <c r="L15" i="96"/>
  <c r="L14" i="96"/>
  <c r="B26" i="96"/>
  <c r="L13" i="96"/>
  <c r="B15" i="105"/>
  <c r="D13" i="96"/>
  <c r="B22" i="96" s="1"/>
  <c r="D14" i="96"/>
  <c r="B23" i="96" s="1"/>
  <c r="G18" i="86"/>
  <c r="C27" i="101"/>
  <c r="G11" i="86"/>
  <c r="C7" i="90"/>
  <c r="G15" i="86"/>
  <c r="C25" i="95"/>
  <c r="C27" i="95" s="1"/>
  <c r="F30" i="95" s="1"/>
  <c r="F28" i="95"/>
  <c r="K17" i="12"/>
  <c r="D17" i="12" s="1"/>
  <c r="I17" i="12" s="1"/>
  <c r="D19" i="12"/>
  <c r="D41" i="12"/>
  <c r="H19" i="12"/>
  <c r="D22" i="12"/>
  <c r="O5" i="12"/>
  <c r="G9" i="90" s="1"/>
  <c r="I22" i="12"/>
  <c r="G11" i="12"/>
  <c r="D13" i="12"/>
  <c r="C28" i="12"/>
  <c r="G13" i="12"/>
  <c r="D15" i="12"/>
  <c r="C29" i="12"/>
  <c r="M15" i="12"/>
  <c r="B27" i="94"/>
  <c r="C12" i="94"/>
  <c r="F12" i="94"/>
  <c r="C14" i="94"/>
  <c r="C40" i="94"/>
  <c r="L14" i="94"/>
  <c r="J16" i="94"/>
  <c r="C16" i="94" s="1"/>
  <c r="H16" i="94" s="1"/>
  <c r="C18" i="94"/>
  <c r="G18" i="94"/>
  <c r="C21" i="94"/>
  <c r="G10" i="90" l="1"/>
  <c r="E13" i="90"/>
  <c r="G13" i="90"/>
  <c r="G12" i="90"/>
  <c r="E10" i="90"/>
  <c r="E11" i="90"/>
  <c r="E8" i="90"/>
  <c r="E9" i="90"/>
  <c r="E12" i="90"/>
  <c r="G11" i="90"/>
  <c r="G8" i="90"/>
  <c r="F14" i="90" l="1"/>
  <c r="D14" i="90"/>
  <c r="B15" i="90" l="1"/>
</calcChain>
</file>

<file path=xl/sharedStrings.xml><?xml version="1.0" encoding="utf-8"?>
<sst xmlns="http://schemas.openxmlformats.org/spreadsheetml/2006/main" count="22468" uniqueCount="5979">
  <si>
    <t>Total</t>
  </si>
  <si>
    <t>Código Secuencial:</t>
  </si>
  <si>
    <t>(Para uso de Oficina)</t>
  </si>
  <si>
    <t>01</t>
  </si>
  <si>
    <t>02</t>
  </si>
  <si>
    <t>03</t>
  </si>
  <si>
    <t>04</t>
  </si>
  <si>
    <t>05</t>
  </si>
  <si>
    <t>06</t>
  </si>
  <si>
    <t>07</t>
  </si>
  <si>
    <t>Dependencia:</t>
  </si>
  <si>
    <t>08</t>
  </si>
  <si>
    <t>09</t>
  </si>
  <si>
    <t>10</t>
  </si>
  <si>
    <t>Circuito Escolar:</t>
  </si>
  <si>
    <t>Institución:</t>
  </si>
  <si>
    <t>11</t>
  </si>
  <si>
    <t>12</t>
  </si>
  <si>
    <t>13</t>
  </si>
  <si>
    <t>Francés</t>
  </si>
  <si>
    <t>Mu-
jeres</t>
  </si>
  <si>
    <t>Hom-
bres</t>
  </si>
  <si>
    <t>CODINS</t>
  </si>
  <si>
    <t>CODIGO</t>
  </si>
  <si>
    <t>NOMBRE</t>
  </si>
  <si>
    <t>REGION</t>
  </si>
  <si>
    <t>CIRES</t>
  </si>
  <si>
    <t>PR</t>
  </si>
  <si>
    <t>CAN</t>
  </si>
  <si>
    <t>DIS</t>
  </si>
  <si>
    <t>PROVINCIA</t>
  </si>
  <si>
    <t>CANTON</t>
  </si>
  <si>
    <t>DISTRITO</t>
  </si>
  <si>
    <t>POBLADO</t>
  </si>
  <si>
    <t>SECTOR</t>
  </si>
  <si>
    <t>DIRECTOR</t>
  </si>
  <si>
    <t>TELEFONO</t>
  </si>
  <si>
    <t>FAX</t>
  </si>
  <si>
    <t>CORREO</t>
  </si>
  <si>
    <t>EXACTA</t>
  </si>
  <si>
    <t>CREACION</t>
  </si>
  <si>
    <t>1</t>
  </si>
  <si>
    <t>SAN JOSE</t>
  </si>
  <si>
    <t>2</t>
  </si>
  <si>
    <t>00008</t>
  </si>
  <si>
    <t>00006</t>
  </si>
  <si>
    <t>ARANJUEZ</t>
  </si>
  <si>
    <t>DESAMPARADOS</t>
  </si>
  <si>
    <t>00928</t>
  </si>
  <si>
    <t>SAN MIGUEL</t>
  </si>
  <si>
    <t>00355</t>
  </si>
  <si>
    <t>00010</t>
  </si>
  <si>
    <t>00093</t>
  </si>
  <si>
    <t>00424</t>
  </si>
  <si>
    <t>MARIA AUXILIADORA</t>
  </si>
  <si>
    <t>DON BOSCO</t>
  </si>
  <si>
    <t>3</t>
  </si>
  <si>
    <t>BARRIO CUBA</t>
  </si>
  <si>
    <t>CRISTO REY</t>
  </si>
  <si>
    <t>00019</t>
  </si>
  <si>
    <t>LOS ANGELES</t>
  </si>
  <si>
    <t>00020</t>
  </si>
  <si>
    <t>LA SOLEDAD</t>
  </si>
  <si>
    <t>00023</t>
  </si>
  <si>
    <t>NACIONES UNIDAS</t>
  </si>
  <si>
    <t>OCCIDENTE</t>
  </si>
  <si>
    <t>ALAJUELA</t>
  </si>
  <si>
    <t>SAN JORGE</t>
  </si>
  <si>
    <t>7</t>
  </si>
  <si>
    <t>RIO BLANCO</t>
  </si>
  <si>
    <t>18</t>
  </si>
  <si>
    <t>CURRIDABAT</t>
  </si>
  <si>
    <t>ZAPOTE</t>
  </si>
  <si>
    <t>00049</t>
  </si>
  <si>
    <t>00265</t>
  </si>
  <si>
    <t>00041</t>
  </si>
  <si>
    <t>SANTA MARTA</t>
  </si>
  <si>
    <t>00052</t>
  </si>
  <si>
    <t>CIPRESES</t>
  </si>
  <si>
    <t>COTO</t>
  </si>
  <si>
    <t>6</t>
  </si>
  <si>
    <t>PUNTARENAS</t>
  </si>
  <si>
    <t>GOLFITO</t>
  </si>
  <si>
    <t>CORAZON DE JESUS</t>
  </si>
  <si>
    <t>00047</t>
  </si>
  <si>
    <t>TIBAS</t>
  </si>
  <si>
    <t>00070</t>
  </si>
  <si>
    <t>00342</t>
  </si>
  <si>
    <t>00050</t>
  </si>
  <si>
    <t>SAN RAFAEL</t>
  </si>
  <si>
    <t>00071</t>
  </si>
  <si>
    <t>00379</t>
  </si>
  <si>
    <t>00073</t>
  </si>
  <si>
    <t>00805</t>
  </si>
  <si>
    <t>SAN JUAN</t>
  </si>
  <si>
    <t>00068</t>
  </si>
  <si>
    <t>00276</t>
  </si>
  <si>
    <t>LA PEREGRINA</t>
  </si>
  <si>
    <t>00067</t>
  </si>
  <si>
    <t>ANSELMO LLORENTE</t>
  </si>
  <si>
    <t>00074</t>
  </si>
  <si>
    <t>00418</t>
  </si>
  <si>
    <t>LA FLORIDA</t>
  </si>
  <si>
    <t>BETANIA</t>
  </si>
  <si>
    <t>MATA REDONDA</t>
  </si>
  <si>
    <t>SABANA SUR</t>
  </si>
  <si>
    <t>00842</t>
  </si>
  <si>
    <t>15</t>
  </si>
  <si>
    <t>00065</t>
  </si>
  <si>
    <t>SARAPIQUI</t>
  </si>
  <si>
    <t>4</t>
  </si>
  <si>
    <t>HEREDIA</t>
  </si>
  <si>
    <t>KATIRA</t>
  </si>
  <si>
    <t>FRENTE A LA PLAZA DE DEPORTES</t>
  </si>
  <si>
    <t>00069</t>
  </si>
  <si>
    <t>PAVAS</t>
  </si>
  <si>
    <t>LAS NUBES</t>
  </si>
  <si>
    <t>SAN CARLOS</t>
  </si>
  <si>
    <t>14</t>
  </si>
  <si>
    <t>LOS CHILES</t>
  </si>
  <si>
    <t>00072</t>
  </si>
  <si>
    <t>VILLA ESPERANZA</t>
  </si>
  <si>
    <t>00095</t>
  </si>
  <si>
    <t>00275</t>
  </si>
  <si>
    <t>00075</t>
  </si>
  <si>
    <t>SANTA CRUZ</t>
  </si>
  <si>
    <t>5</t>
  </si>
  <si>
    <t>00744</t>
  </si>
  <si>
    <t>CARTAGO</t>
  </si>
  <si>
    <t>LA UNION</t>
  </si>
  <si>
    <t>EL LLANO</t>
  </si>
  <si>
    <t>ALAJUELITA</t>
  </si>
  <si>
    <t>SAN ANTONIO</t>
  </si>
  <si>
    <t>CONTIGUO A LA IGLESIA CATOLICA</t>
  </si>
  <si>
    <t>00107</t>
  </si>
  <si>
    <t>FLORENCIA</t>
  </si>
  <si>
    <t>BOCA RIO SAN CARLOS</t>
  </si>
  <si>
    <t>SAN FELIPE</t>
  </si>
  <si>
    <t>LA AURORA</t>
  </si>
  <si>
    <t>00274</t>
  </si>
  <si>
    <t>SAN ISIDRO</t>
  </si>
  <si>
    <t>00104</t>
  </si>
  <si>
    <t>00370</t>
  </si>
  <si>
    <t>00286</t>
  </si>
  <si>
    <t>00109</t>
  </si>
  <si>
    <t>CONTIGUO A LA PLAZA DE DEPORTES</t>
  </si>
  <si>
    <t>00380</t>
  </si>
  <si>
    <t>00464</t>
  </si>
  <si>
    <t>00535</t>
  </si>
  <si>
    <t>HATILLO CENTRO</t>
  </si>
  <si>
    <t>00092</t>
  </si>
  <si>
    <t>HATILLO 2</t>
  </si>
  <si>
    <t>00094</t>
  </si>
  <si>
    <t>00133</t>
  </si>
  <si>
    <t>00125</t>
  </si>
  <si>
    <t>00096</t>
  </si>
  <si>
    <t>SAN RAFAEL ARRIBA</t>
  </si>
  <si>
    <t>00267</t>
  </si>
  <si>
    <t>HIGUITO</t>
  </si>
  <si>
    <t>00126</t>
  </si>
  <si>
    <t>00100</t>
  </si>
  <si>
    <t>SAN JUAN DE DIOS</t>
  </si>
  <si>
    <t>00273</t>
  </si>
  <si>
    <t>00103</t>
  </si>
  <si>
    <t>00106</t>
  </si>
  <si>
    <t>SANTA ANA</t>
  </si>
  <si>
    <t>ESCAZU</t>
  </si>
  <si>
    <t>00108</t>
  </si>
  <si>
    <t>00845</t>
  </si>
  <si>
    <t>FRENTE A LA IGLESIA CATOLICA</t>
  </si>
  <si>
    <t>00150</t>
  </si>
  <si>
    <t>00111</t>
  </si>
  <si>
    <t>PURISCAL</t>
  </si>
  <si>
    <t>MERCEDES SUR</t>
  </si>
  <si>
    <t>00113</t>
  </si>
  <si>
    <t>EL CARMEN</t>
  </si>
  <si>
    <t>00442</t>
  </si>
  <si>
    <t>00151</t>
  </si>
  <si>
    <t>00237</t>
  </si>
  <si>
    <t>00814</t>
  </si>
  <si>
    <t>00157</t>
  </si>
  <si>
    <t>00154</t>
  </si>
  <si>
    <t>00156</t>
  </si>
  <si>
    <t>00381</t>
  </si>
  <si>
    <t>00158</t>
  </si>
  <si>
    <t>00153</t>
  </si>
  <si>
    <t>00155</t>
  </si>
  <si>
    <t>00152</t>
  </si>
  <si>
    <t>00127</t>
  </si>
  <si>
    <t>CALLE FALLAS</t>
  </si>
  <si>
    <t>00131</t>
  </si>
  <si>
    <t>00169</t>
  </si>
  <si>
    <t>GRAVILIAS</t>
  </si>
  <si>
    <t>EL PORVENIR</t>
  </si>
  <si>
    <t>00174</t>
  </si>
  <si>
    <t>SAN JERONIMO</t>
  </si>
  <si>
    <t>LA LUCHA</t>
  </si>
  <si>
    <t>00180</t>
  </si>
  <si>
    <t>00356</t>
  </si>
  <si>
    <t>00147</t>
  </si>
  <si>
    <t>CORRALILLO</t>
  </si>
  <si>
    <t>FRAILES</t>
  </si>
  <si>
    <t>LLANO BONITO</t>
  </si>
  <si>
    <t>COSTADO OESTE DE LA PLAZA DE DEPORTES</t>
  </si>
  <si>
    <t>00178</t>
  </si>
  <si>
    <t>SANTA ELENA</t>
  </si>
  <si>
    <t>00182</t>
  </si>
  <si>
    <t>00244</t>
  </si>
  <si>
    <t>LOURDES</t>
  </si>
  <si>
    <t>COSTADO NORTE DE LA PLAZA DE DEPORTES</t>
  </si>
  <si>
    <t>SAN GABRIEL</t>
  </si>
  <si>
    <t>SAN FRANCISCO</t>
  </si>
  <si>
    <t>VUELTA DE JORCO</t>
  </si>
  <si>
    <t>00849</t>
  </si>
  <si>
    <t>SANTA TERESITA</t>
  </si>
  <si>
    <t>00185</t>
  </si>
  <si>
    <t>LOS SANTOS</t>
  </si>
  <si>
    <t>LAS MERCEDES</t>
  </si>
  <si>
    <t>POAS</t>
  </si>
  <si>
    <t>00186</t>
  </si>
  <si>
    <t>00184</t>
  </si>
  <si>
    <t>00378</t>
  </si>
  <si>
    <t>00296</t>
  </si>
  <si>
    <t>MADRE DEL DIVINO PASTOR</t>
  </si>
  <si>
    <t>EL ALTO</t>
  </si>
  <si>
    <t>CENTRO EL ALTO</t>
  </si>
  <si>
    <t>00207</t>
  </si>
  <si>
    <t>00210</t>
  </si>
  <si>
    <t>00216</t>
  </si>
  <si>
    <t>00220</t>
  </si>
  <si>
    <t>SANTIAGO</t>
  </si>
  <si>
    <t>00441</t>
  </si>
  <si>
    <t>00536</t>
  </si>
  <si>
    <t>CASCAJAL</t>
  </si>
  <si>
    <t>DULCE NOMBRE</t>
  </si>
  <si>
    <t>00371</t>
  </si>
  <si>
    <t>SAN PEDRO</t>
  </si>
  <si>
    <t>GRECIA</t>
  </si>
  <si>
    <t>SAN VICENTE</t>
  </si>
  <si>
    <t>SAN BLAS</t>
  </si>
  <si>
    <t>00230</t>
  </si>
  <si>
    <t>00234</t>
  </si>
  <si>
    <t>00231</t>
  </si>
  <si>
    <t>00236</t>
  </si>
  <si>
    <t>00235</t>
  </si>
  <si>
    <t>00750</t>
  </si>
  <si>
    <t>CHIRRACA</t>
  </si>
  <si>
    <t>00761</t>
  </si>
  <si>
    <t>00759</t>
  </si>
  <si>
    <t>00240</t>
  </si>
  <si>
    <t>00241</t>
  </si>
  <si>
    <t>00242</t>
  </si>
  <si>
    <t>00243</t>
  </si>
  <si>
    <t>TABLAZO</t>
  </si>
  <si>
    <t>00754</t>
  </si>
  <si>
    <t>LA ESPERANZA</t>
  </si>
  <si>
    <t>LA CRUZ</t>
  </si>
  <si>
    <t>00758</t>
  </si>
  <si>
    <t>00762</t>
  </si>
  <si>
    <t>00752</t>
  </si>
  <si>
    <t>00770</t>
  </si>
  <si>
    <t>SABANILLAS</t>
  </si>
  <si>
    <t>00768</t>
  </si>
  <si>
    <t>00767</t>
  </si>
  <si>
    <t>00259</t>
  </si>
  <si>
    <t>00260</t>
  </si>
  <si>
    <t>00971</t>
  </si>
  <si>
    <t>00261</t>
  </si>
  <si>
    <t>00262</t>
  </si>
  <si>
    <t>00263</t>
  </si>
  <si>
    <t>00264</t>
  </si>
  <si>
    <t>LA PALMA</t>
  </si>
  <si>
    <t>00270</t>
  </si>
  <si>
    <t>00766</t>
  </si>
  <si>
    <t>00769</t>
  </si>
  <si>
    <t>00279</t>
  </si>
  <si>
    <t>VARGAS ARAYA</t>
  </si>
  <si>
    <t>00281</t>
  </si>
  <si>
    <t>00282</t>
  </si>
  <si>
    <t>01168</t>
  </si>
  <si>
    <t>00283</t>
  </si>
  <si>
    <t>00465</t>
  </si>
  <si>
    <t>00284</t>
  </si>
  <si>
    <t>00411</t>
  </si>
  <si>
    <t>00285</t>
  </si>
  <si>
    <t>SABANILLA</t>
  </si>
  <si>
    <t>00811</t>
  </si>
  <si>
    <t>00289</t>
  </si>
  <si>
    <t>00291</t>
  </si>
  <si>
    <t>CEDROS</t>
  </si>
  <si>
    <t>00422</t>
  </si>
  <si>
    <t>00292</t>
  </si>
  <si>
    <t>BELLA VISTA</t>
  </si>
  <si>
    <t>00294</t>
  </si>
  <si>
    <t>MERCEDES NORTE</t>
  </si>
  <si>
    <t>00475</t>
  </si>
  <si>
    <t>00297</t>
  </si>
  <si>
    <t>00300</t>
  </si>
  <si>
    <t>LIBERIA</t>
  </si>
  <si>
    <t>BAGACES</t>
  </si>
  <si>
    <t>00306</t>
  </si>
  <si>
    <t>00889</t>
  </si>
  <si>
    <t>00395</t>
  </si>
  <si>
    <t>00802</t>
  </si>
  <si>
    <t>16</t>
  </si>
  <si>
    <t>SAN MARTIN</t>
  </si>
  <si>
    <t>00542</t>
  </si>
  <si>
    <t>00543</t>
  </si>
  <si>
    <t>VISTA DE MAR</t>
  </si>
  <si>
    <t>ZAPATON</t>
  </si>
  <si>
    <t>00721</t>
  </si>
  <si>
    <t>00509</t>
  </si>
  <si>
    <t>00732</t>
  </si>
  <si>
    <t>01059</t>
  </si>
  <si>
    <t>00332</t>
  </si>
  <si>
    <t>00333</t>
  </si>
  <si>
    <t>00334</t>
  </si>
  <si>
    <t>00336</t>
  </si>
  <si>
    <t>00339</t>
  </si>
  <si>
    <t>00340</t>
  </si>
  <si>
    <t>01057</t>
  </si>
  <si>
    <t>BARBACOAS</t>
  </si>
  <si>
    <t>00874</t>
  </si>
  <si>
    <t>00890</t>
  </si>
  <si>
    <t>00455</t>
  </si>
  <si>
    <t>00344</t>
  </si>
  <si>
    <t>00440</t>
  </si>
  <si>
    <t>00346</t>
  </si>
  <si>
    <t>PICAGRES</t>
  </si>
  <si>
    <t>00347</t>
  </si>
  <si>
    <t>00539</t>
  </si>
  <si>
    <t>00348</t>
  </si>
  <si>
    <t>00349</t>
  </si>
  <si>
    <t>00350</t>
  </si>
  <si>
    <t>00352</t>
  </si>
  <si>
    <t>00354</t>
  </si>
  <si>
    <t>COLON</t>
  </si>
  <si>
    <t>00358</t>
  </si>
  <si>
    <t>00359</t>
  </si>
  <si>
    <t>TABARCIA</t>
  </si>
  <si>
    <t>COSTADO SUR DE LA PLAZA DE DEPORTES</t>
  </si>
  <si>
    <t>00360</t>
  </si>
  <si>
    <t>00892</t>
  </si>
  <si>
    <t>00362</t>
  </si>
  <si>
    <t>JARIS</t>
  </si>
  <si>
    <t>00727</t>
  </si>
  <si>
    <t>00364</t>
  </si>
  <si>
    <t>00725</t>
  </si>
  <si>
    <t>00365</t>
  </si>
  <si>
    <t>00366</t>
  </si>
  <si>
    <t>GUAYABO</t>
  </si>
  <si>
    <t>00728</t>
  </si>
  <si>
    <t>00367</t>
  </si>
  <si>
    <t>00893</t>
  </si>
  <si>
    <t>00368</t>
  </si>
  <si>
    <t>00677</t>
  </si>
  <si>
    <t>00369</t>
  </si>
  <si>
    <t>SAN PABLO</t>
  </si>
  <si>
    <t>00746</t>
  </si>
  <si>
    <t>00510</t>
  </si>
  <si>
    <t>00372</t>
  </si>
  <si>
    <t>02422</t>
  </si>
  <si>
    <t>00373</t>
  </si>
  <si>
    <t>00374</t>
  </si>
  <si>
    <t>00375</t>
  </si>
  <si>
    <t>EL RODEO</t>
  </si>
  <si>
    <t>00376</t>
  </si>
  <si>
    <t>00719</t>
  </si>
  <si>
    <t>00377</t>
  </si>
  <si>
    <t>00382</t>
  </si>
  <si>
    <t>00385</t>
  </si>
  <si>
    <t>00388</t>
  </si>
  <si>
    <t>00391</t>
  </si>
  <si>
    <t>00392</t>
  </si>
  <si>
    <t>00394</t>
  </si>
  <si>
    <t>LAS DELICIAS</t>
  </si>
  <si>
    <t>DELICIAS</t>
  </si>
  <si>
    <t>BIJAGUAL</t>
  </si>
  <si>
    <t>FRENTE AL SALON COMUNAL</t>
  </si>
  <si>
    <t>00397</t>
  </si>
  <si>
    <t>00398</t>
  </si>
  <si>
    <t>00400</t>
  </si>
  <si>
    <t>00401</t>
  </si>
  <si>
    <t>00402</t>
  </si>
  <si>
    <t>00403</t>
  </si>
  <si>
    <t>00404</t>
  </si>
  <si>
    <t>00405</t>
  </si>
  <si>
    <t>PEREZ ZELEDON</t>
  </si>
  <si>
    <t>19</t>
  </si>
  <si>
    <t>00406</t>
  </si>
  <si>
    <t>00407</t>
  </si>
  <si>
    <t>00408</t>
  </si>
  <si>
    <t>00409</t>
  </si>
  <si>
    <t>01036</t>
  </si>
  <si>
    <t>00410</t>
  </si>
  <si>
    <t>SAN RAFAEL NORTE</t>
  </si>
  <si>
    <t>00412</t>
  </si>
  <si>
    <t>00413</t>
  </si>
  <si>
    <t>00414</t>
  </si>
  <si>
    <t>00415</t>
  </si>
  <si>
    <t>00416</t>
  </si>
  <si>
    <t>00417</t>
  </si>
  <si>
    <t>SANTA ROSA</t>
  </si>
  <si>
    <t>00420</t>
  </si>
  <si>
    <t>00423</t>
  </si>
  <si>
    <t>SAVEGRE</t>
  </si>
  <si>
    <t>01617</t>
  </si>
  <si>
    <t>00425</t>
  </si>
  <si>
    <t>SAN MARCOS</t>
  </si>
  <si>
    <t>00428</t>
  </si>
  <si>
    <t>00429</t>
  </si>
  <si>
    <t>00431</t>
  </si>
  <si>
    <t>00432</t>
  </si>
  <si>
    <t>00433</t>
  </si>
  <si>
    <t>00436</t>
  </si>
  <si>
    <t>CONTIGUO AL SALON COMUNAL</t>
  </si>
  <si>
    <t>00438</t>
  </si>
  <si>
    <t>SANTA EDUVIGES</t>
  </si>
  <si>
    <t>00443</t>
  </si>
  <si>
    <t>00444</t>
  </si>
  <si>
    <t>00668</t>
  </si>
  <si>
    <t>00669</t>
  </si>
  <si>
    <t>DANIEL FLORES</t>
  </si>
  <si>
    <t>00666</t>
  </si>
  <si>
    <t>00676</t>
  </si>
  <si>
    <t>00452</t>
  </si>
  <si>
    <t>00453</t>
  </si>
  <si>
    <t>LAS ESPERANZAS</t>
  </si>
  <si>
    <t>00670</t>
  </si>
  <si>
    <t>00671</t>
  </si>
  <si>
    <t>00457</t>
  </si>
  <si>
    <t>OJO DE AGUA</t>
  </si>
  <si>
    <t>00672</t>
  </si>
  <si>
    <t>00460</t>
  </si>
  <si>
    <t>00461</t>
  </si>
  <si>
    <t>00462</t>
  </si>
  <si>
    <t>00466</t>
  </si>
  <si>
    <t>PLATANILLO</t>
  </si>
  <si>
    <t>00681</t>
  </si>
  <si>
    <t>00467</t>
  </si>
  <si>
    <t>00682</t>
  </si>
  <si>
    <t>00468</t>
  </si>
  <si>
    <t>00684</t>
  </si>
  <si>
    <t>00469</t>
  </si>
  <si>
    <t>00470</t>
  </si>
  <si>
    <t>00472</t>
  </si>
  <si>
    <t>CALLE VARELA</t>
  </si>
  <si>
    <t>00476</t>
  </si>
  <si>
    <t>00680</t>
  </si>
  <si>
    <t>00477</t>
  </si>
  <si>
    <t>AGUIRRE</t>
  </si>
  <si>
    <t>00478</t>
  </si>
  <si>
    <t>00479</t>
  </si>
  <si>
    <t>LA GUARIA</t>
  </si>
  <si>
    <t>00481</t>
  </si>
  <si>
    <t>EL ROBLE</t>
  </si>
  <si>
    <t>00482</t>
  </si>
  <si>
    <t>00483</t>
  </si>
  <si>
    <t>00484</t>
  </si>
  <si>
    <t>00485</t>
  </si>
  <si>
    <t>00486</t>
  </si>
  <si>
    <t>SAN LORENZO</t>
  </si>
  <si>
    <t>00487</t>
  </si>
  <si>
    <t>00488</t>
  </si>
  <si>
    <t>00489</t>
  </si>
  <si>
    <t>00490</t>
  </si>
  <si>
    <t>00683</t>
  </si>
  <si>
    <t>00491</t>
  </si>
  <si>
    <t>00492</t>
  </si>
  <si>
    <t>00493</t>
  </si>
  <si>
    <t>00494</t>
  </si>
  <si>
    <t>00496</t>
  </si>
  <si>
    <t>00497</t>
  </si>
  <si>
    <t>00498</t>
  </si>
  <si>
    <t>00499</t>
  </si>
  <si>
    <t>00687</t>
  </si>
  <si>
    <t>00500</t>
  </si>
  <si>
    <t>HERRADURA</t>
  </si>
  <si>
    <t>00501</t>
  </si>
  <si>
    <t>00502</t>
  </si>
  <si>
    <t>00503</t>
  </si>
  <si>
    <t>PALMARES</t>
  </si>
  <si>
    <t>00505</t>
  </si>
  <si>
    <t>00508</t>
  </si>
  <si>
    <t>SAN GERARDO</t>
  </si>
  <si>
    <t>00512</t>
  </si>
  <si>
    <t>00514</t>
  </si>
  <si>
    <t>BUENA VISTA</t>
  </si>
  <si>
    <t>00515</t>
  </si>
  <si>
    <t>00516</t>
  </si>
  <si>
    <t>00517</t>
  </si>
  <si>
    <t>00520</t>
  </si>
  <si>
    <t>00521</t>
  </si>
  <si>
    <t>00688</t>
  </si>
  <si>
    <t>00689</t>
  </si>
  <si>
    <t>00523</t>
  </si>
  <si>
    <t>00525</t>
  </si>
  <si>
    <t>SANTA TERESA</t>
  </si>
  <si>
    <t>00552</t>
  </si>
  <si>
    <t>00793</t>
  </si>
  <si>
    <t>00691</t>
  </si>
  <si>
    <t>00530</t>
  </si>
  <si>
    <t>TAMBOR</t>
  </si>
  <si>
    <t>00531</t>
  </si>
  <si>
    <t>00533</t>
  </si>
  <si>
    <t>00534</t>
  </si>
  <si>
    <t>00538</t>
  </si>
  <si>
    <t>SANTA CECILIA</t>
  </si>
  <si>
    <t>00548</t>
  </si>
  <si>
    <t>00550</t>
  </si>
  <si>
    <t>SANTO DOMINGO</t>
  </si>
  <si>
    <t>00554</t>
  </si>
  <si>
    <t>EL SOCORRO</t>
  </si>
  <si>
    <t>00695</t>
  </si>
  <si>
    <t>00694</t>
  </si>
  <si>
    <t>00560</t>
  </si>
  <si>
    <t>00561</t>
  </si>
  <si>
    <t>00562</t>
  </si>
  <si>
    <t>00564</t>
  </si>
  <si>
    <t>00565</t>
  </si>
  <si>
    <t>00697</t>
  </si>
  <si>
    <t>00566</t>
  </si>
  <si>
    <t>00567</t>
  </si>
  <si>
    <t>00568</t>
  </si>
  <si>
    <t>00573</t>
  </si>
  <si>
    <t>BUENOS AIRES</t>
  </si>
  <si>
    <t>00574</t>
  </si>
  <si>
    <t>BARRIO NUEVO</t>
  </si>
  <si>
    <t>00576</t>
  </si>
  <si>
    <t>00577</t>
  </si>
  <si>
    <t>00578</t>
  </si>
  <si>
    <t>00579</t>
  </si>
  <si>
    <t>00580</t>
  </si>
  <si>
    <t>00581</t>
  </si>
  <si>
    <t>00583</t>
  </si>
  <si>
    <t>00584</t>
  </si>
  <si>
    <t>00585</t>
  </si>
  <si>
    <t>VILLA HERMOSA</t>
  </si>
  <si>
    <t>VERACRUZ</t>
  </si>
  <si>
    <t>00602</t>
  </si>
  <si>
    <t>00604</t>
  </si>
  <si>
    <t>00607</t>
  </si>
  <si>
    <t>POTRERO GRANDE</t>
  </si>
  <si>
    <t>00614</t>
  </si>
  <si>
    <t>SALITRE</t>
  </si>
  <si>
    <t>00615</t>
  </si>
  <si>
    <t>00616</t>
  </si>
  <si>
    <t>00617</t>
  </si>
  <si>
    <t>00618</t>
  </si>
  <si>
    <t>00620</t>
  </si>
  <si>
    <t>00621</t>
  </si>
  <si>
    <t>00622</t>
  </si>
  <si>
    <t>00623</t>
  </si>
  <si>
    <t>00624</t>
  </si>
  <si>
    <t>00626</t>
  </si>
  <si>
    <t>00627</t>
  </si>
  <si>
    <t>00628</t>
  </si>
  <si>
    <t>00630</t>
  </si>
  <si>
    <t>CAÑAS</t>
  </si>
  <si>
    <t>00637</t>
  </si>
  <si>
    <t>00639</t>
  </si>
  <si>
    <t>00640</t>
  </si>
  <si>
    <t>00641</t>
  </si>
  <si>
    <t>00642</t>
  </si>
  <si>
    <t>00643</t>
  </si>
  <si>
    <t>00644</t>
  </si>
  <si>
    <t>00645</t>
  </si>
  <si>
    <t>BORUCA</t>
  </si>
  <si>
    <t>00646</t>
  </si>
  <si>
    <t>00650</t>
  </si>
  <si>
    <t>00651</t>
  </si>
  <si>
    <t>00652</t>
  </si>
  <si>
    <t>00653</t>
  </si>
  <si>
    <t>00654</t>
  </si>
  <si>
    <t>00656</t>
  </si>
  <si>
    <t>00657</t>
  </si>
  <si>
    <t>00659</t>
  </si>
  <si>
    <t>EL PROGRESO</t>
  </si>
  <si>
    <t>00660</t>
  </si>
  <si>
    <t>00662</t>
  </si>
  <si>
    <t>00663</t>
  </si>
  <si>
    <t>00665</t>
  </si>
  <si>
    <t>COLORADO</t>
  </si>
  <si>
    <t>00693</t>
  </si>
  <si>
    <t>00924</t>
  </si>
  <si>
    <t>00692</t>
  </si>
  <si>
    <t>PAVON</t>
  </si>
  <si>
    <t>00698</t>
  </si>
  <si>
    <t>00699</t>
  </si>
  <si>
    <t>00702</t>
  </si>
  <si>
    <t>00703</t>
  </si>
  <si>
    <t>COLINAS</t>
  </si>
  <si>
    <t>00704</t>
  </si>
  <si>
    <t>00705</t>
  </si>
  <si>
    <t>00706</t>
  </si>
  <si>
    <t>CEDRAL</t>
  </si>
  <si>
    <t>00707</t>
  </si>
  <si>
    <t>00712</t>
  </si>
  <si>
    <t>00713</t>
  </si>
  <si>
    <t>LA VIRGEN</t>
  </si>
  <si>
    <t>00717</t>
  </si>
  <si>
    <t>PLAZA ACOSTA</t>
  </si>
  <si>
    <t>00733</t>
  </si>
  <si>
    <t>00735</t>
  </si>
  <si>
    <t>00736</t>
  </si>
  <si>
    <t>00737</t>
  </si>
  <si>
    <t>00741</t>
  </si>
  <si>
    <t>00742</t>
  </si>
  <si>
    <t>00743</t>
  </si>
  <si>
    <t>NUESTRO AMO</t>
  </si>
  <si>
    <t>PACTO DEL JOCOTE</t>
  </si>
  <si>
    <t>MONTECILLOS</t>
  </si>
  <si>
    <t>00772</t>
  </si>
  <si>
    <t>TURRUCARES</t>
  </si>
  <si>
    <t>00773</t>
  </si>
  <si>
    <t>00775</t>
  </si>
  <si>
    <t>00776</t>
  </si>
  <si>
    <t>00777</t>
  </si>
  <si>
    <t>TUETAL NORTE</t>
  </si>
  <si>
    <t>00778</t>
  </si>
  <si>
    <t>CARRILLOS BAJO</t>
  </si>
  <si>
    <t>00780</t>
  </si>
  <si>
    <t>00781</t>
  </si>
  <si>
    <t>200 SUR DE LA PLAZA DE DEPORTES</t>
  </si>
  <si>
    <t>00782</t>
  </si>
  <si>
    <t>00783</t>
  </si>
  <si>
    <t>SANTA RITA</t>
  </si>
  <si>
    <t>LA GARITA</t>
  </si>
  <si>
    <t>00785</t>
  </si>
  <si>
    <t>SAN ROQUE</t>
  </si>
  <si>
    <t>00789</t>
  </si>
  <si>
    <t>00804</t>
  </si>
  <si>
    <t>00790</t>
  </si>
  <si>
    <t>EL MESON</t>
  </si>
  <si>
    <t>00792</t>
  </si>
  <si>
    <t>00794</t>
  </si>
  <si>
    <t>00795</t>
  </si>
  <si>
    <t>BARRIO LATINO</t>
  </si>
  <si>
    <t>RINCON DE SALAS</t>
  </si>
  <si>
    <t>00803</t>
  </si>
  <si>
    <t>00808</t>
  </si>
  <si>
    <t>00810</t>
  </si>
  <si>
    <t>POASITO</t>
  </si>
  <si>
    <t>00813</t>
  </si>
  <si>
    <t>00818</t>
  </si>
  <si>
    <t>00819</t>
  </si>
  <si>
    <t>00820</t>
  </si>
  <si>
    <t>00837</t>
  </si>
  <si>
    <t>TARCOLES</t>
  </si>
  <si>
    <t>00824</t>
  </si>
  <si>
    <t>00826</t>
  </si>
  <si>
    <t>CUATRO ESQUINAS</t>
  </si>
  <si>
    <t>LA CEIBA</t>
  </si>
  <si>
    <t>HACIENDA VIEJA</t>
  </si>
  <si>
    <t>LABRADOR</t>
  </si>
  <si>
    <t>00834</t>
  </si>
  <si>
    <t>00835</t>
  </si>
  <si>
    <t>00836</t>
  </si>
  <si>
    <t>00838</t>
  </si>
  <si>
    <t>00839</t>
  </si>
  <si>
    <t>00843</t>
  </si>
  <si>
    <t>00844</t>
  </si>
  <si>
    <t>00847</t>
  </si>
  <si>
    <t>QUEBRADA GANADO</t>
  </si>
  <si>
    <t>ATENAS</t>
  </si>
  <si>
    <t>SABANA LARGA</t>
  </si>
  <si>
    <t>00862</t>
  </si>
  <si>
    <t>00868</t>
  </si>
  <si>
    <t>00869</t>
  </si>
  <si>
    <t>00871</t>
  </si>
  <si>
    <t>00877</t>
  </si>
  <si>
    <t>00878</t>
  </si>
  <si>
    <t>00879</t>
  </si>
  <si>
    <t>00881</t>
  </si>
  <si>
    <t>00969</t>
  </si>
  <si>
    <t>100 ESTE Y 100 NORTE DE PERIMERCADOS</t>
  </si>
  <si>
    <t>00885</t>
  </si>
  <si>
    <t>00887</t>
  </si>
  <si>
    <t>00888</t>
  </si>
  <si>
    <t>VALLE AZUL</t>
  </si>
  <si>
    <t>00896</t>
  </si>
  <si>
    <t>00897</t>
  </si>
  <si>
    <t>00898</t>
  </si>
  <si>
    <t>00902</t>
  </si>
  <si>
    <t>CATARATAS</t>
  </si>
  <si>
    <t>00929</t>
  </si>
  <si>
    <t>TORO AMARILLO</t>
  </si>
  <si>
    <t>CANDELARIA</t>
  </si>
  <si>
    <t>01033</t>
  </si>
  <si>
    <t>00970</t>
  </si>
  <si>
    <t>00974</t>
  </si>
  <si>
    <t>00975</t>
  </si>
  <si>
    <t>00976</t>
  </si>
  <si>
    <t>00977</t>
  </si>
  <si>
    <t>00978</t>
  </si>
  <si>
    <t>00979</t>
  </si>
  <si>
    <t>00980</t>
  </si>
  <si>
    <t>00982</t>
  </si>
  <si>
    <t>VENECIA</t>
  </si>
  <si>
    <t>RIO CUARTO</t>
  </si>
  <si>
    <t>01022</t>
  </si>
  <si>
    <t>SANTA CLARA</t>
  </si>
  <si>
    <t>01024</t>
  </si>
  <si>
    <t>CONTIGUO AL EBAIS</t>
  </si>
  <si>
    <t>01027</t>
  </si>
  <si>
    <t>01028</t>
  </si>
  <si>
    <t>01032</t>
  </si>
  <si>
    <t>EL MOLINO</t>
  </si>
  <si>
    <t>01034</t>
  </si>
  <si>
    <t>01035</t>
  </si>
  <si>
    <t>QUESADA</t>
  </si>
  <si>
    <t>SUCRE</t>
  </si>
  <si>
    <t>CIUDAD QUESADA</t>
  </si>
  <si>
    <t>CONTIGUO A LA DIRECCION REGIONAL</t>
  </si>
  <si>
    <t>01055</t>
  </si>
  <si>
    <t>01060</t>
  </si>
  <si>
    <t>AGUAS ZARCAS</t>
  </si>
  <si>
    <t>LA PALMERA</t>
  </si>
  <si>
    <t>PALMERA</t>
  </si>
  <si>
    <t>LOS LLANOS</t>
  </si>
  <si>
    <t>EL SAINO</t>
  </si>
  <si>
    <t>BOCA TAPADA</t>
  </si>
  <si>
    <t>QUEBRADA GRANDE</t>
  </si>
  <si>
    <t>TILARAN</t>
  </si>
  <si>
    <t>LA PRADERA</t>
  </si>
  <si>
    <t>LA PERLA</t>
  </si>
  <si>
    <t>01113</t>
  </si>
  <si>
    <t>SONAFLUCA</t>
  </si>
  <si>
    <t>CHACHAGUA</t>
  </si>
  <si>
    <t>EL BOSQUE</t>
  </si>
  <si>
    <t>EL CASTILLO</t>
  </si>
  <si>
    <t>BOCA DE ARENAL</t>
  </si>
  <si>
    <t>SAN DIEGO</t>
  </si>
  <si>
    <t>SAN JOAQUIN</t>
  </si>
  <si>
    <t>LOS ALMENDROS</t>
  </si>
  <si>
    <t>SAN ANDRES</t>
  </si>
  <si>
    <t>COOPEVEGA</t>
  </si>
  <si>
    <t>EL CONCHO</t>
  </si>
  <si>
    <t>01177</t>
  </si>
  <si>
    <t>01179</t>
  </si>
  <si>
    <t>SAN VITO</t>
  </si>
  <si>
    <t>PARAISO</t>
  </si>
  <si>
    <t>LA ALDEA</t>
  </si>
  <si>
    <t>COQUITAL</t>
  </si>
  <si>
    <t>MEDIO QUESO</t>
  </si>
  <si>
    <t>SANTA LUCIA</t>
  </si>
  <si>
    <t>COBANO</t>
  </si>
  <si>
    <t>RIO CELESTE</t>
  </si>
  <si>
    <t>EL SILENCIO</t>
  </si>
  <si>
    <t>SIQUIRRES</t>
  </si>
  <si>
    <t>GUAPILES</t>
  </si>
  <si>
    <t>PUERTO VIEJO</t>
  </si>
  <si>
    <t>20</t>
  </si>
  <si>
    <t>LEON CORTES</t>
  </si>
  <si>
    <t>17</t>
  </si>
  <si>
    <t>OCCIDENTAL</t>
  </si>
  <si>
    <t>LOYOLA</t>
  </si>
  <si>
    <t>AGUA CALIENTE</t>
  </si>
  <si>
    <t>LA LUCHITA</t>
  </si>
  <si>
    <t>TOBOSI</t>
  </si>
  <si>
    <t>EL TEJAR</t>
  </si>
  <si>
    <t>COT</t>
  </si>
  <si>
    <t>TIERRA BLANCA</t>
  </si>
  <si>
    <t>CACHI</t>
  </si>
  <si>
    <t>BARRIO EL CARMEN</t>
  </si>
  <si>
    <t>SANTIAGO DEL MONTE</t>
  </si>
  <si>
    <t>SALITRILLO</t>
  </si>
  <si>
    <t>TURRIALBA</t>
  </si>
  <si>
    <t>JIMENEZ</t>
  </si>
  <si>
    <t>JUAN VIÑAS</t>
  </si>
  <si>
    <t>LAS AMERICAS</t>
  </si>
  <si>
    <t>PACAYITAS</t>
  </si>
  <si>
    <t>GRANO DE ORO</t>
  </si>
  <si>
    <t>TRES EQUIS</t>
  </si>
  <si>
    <t>BARRIO LOURDES</t>
  </si>
  <si>
    <t>LA PUEBLA</t>
  </si>
  <si>
    <t>SANTA BARBARA</t>
  </si>
  <si>
    <t>BELEN</t>
  </si>
  <si>
    <t>BARVA</t>
  </si>
  <si>
    <t>01655</t>
  </si>
  <si>
    <t>CASTILLA</t>
  </si>
  <si>
    <t>LA GATA</t>
  </si>
  <si>
    <t>LAS MARIAS</t>
  </si>
  <si>
    <t>LA RAMBLA</t>
  </si>
  <si>
    <t>AGUAS CLARAS</t>
  </si>
  <si>
    <t>COLONIA BLANCA</t>
  </si>
  <si>
    <t>CUATRO BOCAS</t>
  </si>
  <si>
    <t>BRASILIA</t>
  </si>
  <si>
    <t>DOS RIOS</t>
  </si>
  <si>
    <t>LOS LAURELES</t>
  </si>
  <si>
    <t>01852</t>
  </si>
  <si>
    <t>CUAJINIQUIL</t>
  </si>
  <si>
    <t>JUNTAS DEL CAOBA</t>
  </si>
  <si>
    <t>PIEDRAS AZULES</t>
  </si>
  <si>
    <t>BARRIO LA CRUZ</t>
  </si>
  <si>
    <t>GUARDIA</t>
  </si>
  <si>
    <t>CAÑAS DULCES</t>
  </si>
  <si>
    <t>02017</t>
  </si>
  <si>
    <t>NICOYA</t>
  </si>
  <si>
    <t>QUIRIMAN</t>
  </si>
  <si>
    <t>NOSARA</t>
  </si>
  <si>
    <t>MIRAMAR</t>
  </si>
  <si>
    <t>FLORIDA</t>
  </si>
  <si>
    <t>CERRILLOS</t>
  </si>
  <si>
    <t>HUACAS</t>
  </si>
  <si>
    <t>SAMARA</t>
  </si>
  <si>
    <t>01988</t>
  </si>
  <si>
    <t>LEPANTO</t>
  </si>
  <si>
    <t>VILLARREAL</t>
  </si>
  <si>
    <t>CARTAGENA</t>
  </si>
  <si>
    <t>MARBELLA</t>
  </si>
  <si>
    <t>OSTIONAL</t>
  </si>
  <si>
    <t>PENINSULAR</t>
  </si>
  <si>
    <t>CANALETE</t>
  </si>
  <si>
    <t>NAZARETH</t>
  </si>
  <si>
    <t>COLONIA PUNTARENAS</t>
  </si>
  <si>
    <t>ESPARZA</t>
  </si>
  <si>
    <t>NUEVA GUATEMALA</t>
  </si>
  <si>
    <t>02264</t>
  </si>
  <si>
    <t>02367</t>
  </si>
  <si>
    <t>MANZANILLO</t>
  </si>
  <si>
    <t>02565</t>
  </si>
  <si>
    <t>COSTA DE PAJAROS</t>
  </si>
  <si>
    <t>JUDAS</t>
  </si>
  <si>
    <t>GUACIMAL</t>
  </si>
  <si>
    <t>JUANILAMA</t>
  </si>
  <si>
    <t>MARAÑONAL</t>
  </si>
  <si>
    <t>NANCES</t>
  </si>
  <si>
    <t>PAQUITA</t>
  </si>
  <si>
    <t>CERRITOS</t>
  </si>
  <si>
    <t>POCORA</t>
  </si>
  <si>
    <t>FINCA ALAJUELA</t>
  </si>
  <si>
    <t>SIERPE</t>
  </si>
  <si>
    <t>ALTO COMTE</t>
  </si>
  <si>
    <t>COPABUENA</t>
  </si>
  <si>
    <t>CHINA KICHA</t>
  </si>
  <si>
    <t>CIUDAD NEILY</t>
  </si>
  <si>
    <t>FINCA NARANJO</t>
  </si>
  <si>
    <t>BARRA COLORADO NORTE</t>
  </si>
  <si>
    <t>LA COLINA</t>
  </si>
  <si>
    <t>BANANITO SUR</t>
  </si>
  <si>
    <t>VESTA</t>
  </si>
  <si>
    <t>EL COCAL</t>
  </si>
  <si>
    <t>MONTEVERDE</t>
  </si>
  <si>
    <t>EL CAIRO</t>
  </si>
  <si>
    <t>KATSI</t>
  </si>
  <si>
    <t>SEPECUE</t>
  </si>
  <si>
    <t>SHIROLES</t>
  </si>
  <si>
    <t>AMUBRI</t>
  </si>
  <si>
    <t>COROMA</t>
  </si>
  <si>
    <t>YORKIN</t>
  </si>
  <si>
    <t>GANDOCA</t>
  </si>
  <si>
    <t>SIXAOLA</t>
  </si>
  <si>
    <t>CAHUITA</t>
  </si>
  <si>
    <t>CUBA CREEK</t>
  </si>
  <si>
    <t>LA RITA</t>
  </si>
  <si>
    <t>CAMPO DE ATERRIZAJE</t>
  </si>
  <si>
    <t>CARMEN ESTRADA CESPEDES</t>
  </si>
  <si>
    <t>300 ESTE 75 NORTE DE LA CLINICA CARLOS DURAN</t>
  </si>
  <si>
    <t>CUATRO REINAS</t>
  </si>
  <si>
    <t>EL PARAISO</t>
  </si>
  <si>
    <t>LA HACIENDITA</t>
  </si>
  <si>
    <t>LA VALENCIA</t>
  </si>
  <si>
    <t>LA CONQUISTA</t>
  </si>
  <si>
    <t>COLONIA DEL VALLE</t>
  </si>
  <si>
    <t>LA CASONA</t>
  </si>
  <si>
    <t>NAMALDI</t>
  </si>
  <si>
    <t>LOS SAUCES</t>
  </si>
  <si>
    <t>EL CONSUELO</t>
  </si>
  <si>
    <t>ALTO QUETZAL</t>
  </si>
  <si>
    <t>LOS JARDINES</t>
  </si>
  <si>
    <t>LA ALEGRIA</t>
  </si>
  <si>
    <t>PUNTA DE RIEL</t>
  </si>
  <si>
    <t>ALTO COHEN</t>
  </si>
  <si>
    <t>SINOLI</t>
  </si>
  <si>
    <t>Barrio o Poblado:</t>
  </si>
  <si>
    <t>Dirección Exacta:</t>
  </si>
  <si>
    <t>Dirección Regional:</t>
  </si>
  <si>
    <t>Código Presupuestario:</t>
  </si>
  <si>
    <t>Educación Física</t>
  </si>
  <si>
    <t>Educación Musical</t>
  </si>
  <si>
    <t>Educación Religiosa</t>
  </si>
  <si>
    <t>Informática</t>
  </si>
  <si>
    <t>Hombres</t>
  </si>
  <si>
    <t>Mujeres</t>
  </si>
  <si>
    <t>Tipo de Cargo</t>
  </si>
  <si>
    <t>Director</t>
  </si>
  <si>
    <t>Asistente de Dirección</t>
  </si>
  <si>
    <t>Otros</t>
  </si>
  <si>
    <t>Docentes</t>
  </si>
  <si>
    <t>Inglés</t>
  </si>
  <si>
    <t>Administrativos y de Servicios</t>
  </si>
  <si>
    <t>00061</t>
  </si>
  <si>
    <t>00062</t>
  </si>
  <si>
    <t>00164</t>
  </si>
  <si>
    <t>00246</t>
  </si>
  <si>
    <t>00253</t>
  </si>
  <si>
    <t>00255</t>
  </si>
  <si>
    <t>00258</t>
  </si>
  <si>
    <t>00449</t>
  </si>
  <si>
    <t>00454</t>
  </si>
  <si>
    <t>00527</t>
  </si>
  <si>
    <t>00528</t>
  </si>
  <si>
    <t>00532</t>
  </si>
  <si>
    <t>00544</t>
  </si>
  <si>
    <t>00546</t>
  </si>
  <si>
    <t>00557</t>
  </si>
  <si>
    <t>00559</t>
  </si>
  <si>
    <t>00569</t>
  </si>
  <si>
    <t>00587</t>
  </si>
  <si>
    <t>00632</t>
  </si>
  <si>
    <t>00635</t>
  </si>
  <si>
    <t>00649</t>
  </si>
  <si>
    <t>00701</t>
  </si>
  <si>
    <t>00740</t>
  </si>
  <si>
    <t>00797</t>
  </si>
  <si>
    <t>00833</t>
  </si>
  <si>
    <t>00848</t>
  </si>
  <si>
    <t>00851</t>
  </si>
  <si>
    <t>00856</t>
  </si>
  <si>
    <t>00858</t>
  </si>
  <si>
    <t>00859</t>
  </si>
  <si>
    <t>00866</t>
  </si>
  <si>
    <t>00870</t>
  </si>
  <si>
    <t>00873</t>
  </si>
  <si>
    <t>00900</t>
  </si>
  <si>
    <t>00981</t>
  </si>
  <si>
    <t>01111</t>
  </si>
  <si>
    <t>CONTIGUO SALON COMUNAL</t>
  </si>
  <si>
    <t>00786</t>
  </si>
  <si>
    <t>00747</t>
  </si>
  <si>
    <t>00722</t>
  </si>
  <si>
    <t>00828</t>
  </si>
  <si>
    <t>00143</t>
  </si>
  <si>
    <t>00507</t>
  </si>
  <si>
    <t>02107</t>
  </si>
  <si>
    <t>00738</t>
  </si>
  <si>
    <t>00901</t>
  </si>
  <si>
    <t>00033</t>
  </si>
  <si>
    <t>00057</t>
  </si>
  <si>
    <t>00446</t>
  </si>
  <si>
    <t>00815</t>
  </si>
  <si>
    <t>00451</t>
  </si>
  <si>
    <t>02658</t>
  </si>
  <si>
    <t>00031</t>
  </si>
  <si>
    <t>00218</t>
  </si>
  <si>
    <t>00555</t>
  </si>
  <si>
    <t>00254</t>
  </si>
  <si>
    <t>00926</t>
  </si>
  <si>
    <t>00247</t>
  </si>
  <si>
    <t>00079</t>
  </si>
  <si>
    <t>00078</t>
  </si>
  <si>
    <t>00570</t>
  </si>
  <si>
    <t>21</t>
  </si>
  <si>
    <t>22</t>
  </si>
  <si>
    <t>23</t>
  </si>
  <si>
    <t>24</t>
  </si>
  <si>
    <t>25</t>
  </si>
  <si>
    <t>26</t>
  </si>
  <si>
    <t>27</t>
  </si>
  <si>
    <t>TOTAL</t>
  </si>
  <si>
    <t>Discapacidad Múltiple</t>
  </si>
  <si>
    <t>Discapacidad Visual</t>
  </si>
  <si>
    <t>Problemas Emocionales y de Conducta</t>
  </si>
  <si>
    <t>Sordera</t>
  </si>
  <si>
    <t>Sordo Ceguera</t>
  </si>
  <si>
    <t>Problemas de Aprendizaje</t>
  </si>
  <si>
    <t>Terapia del Lenguaje</t>
  </si>
  <si>
    <t>Audición y Lenguaje</t>
  </si>
  <si>
    <t>Trabajo Social</t>
  </si>
  <si>
    <t>Generalista en Educación Especial</t>
  </si>
  <si>
    <t>Artes Plásticas</t>
  </si>
  <si>
    <t>Artes Industriales</t>
  </si>
  <si>
    <t>Antártida</t>
  </si>
  <si>
    <t>Oceanía</t>
  </si>
  <si>
    <t>África</t>
  </si>
  <si>
    <t>Europa</t>
  </si>
  <si>
    <t>Asia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</si>
  <si>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</si>
  <si>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</si>
  <si>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</si>
  <si>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</si>
  <si>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</si>
  <si>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</si>
  <si>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</si>
  <si>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</si>
  <si>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</si>
  <si>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</si>
  <si>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</si>
  <si>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</si>
  <si>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</si>
  <si>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</si>
  <si>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</si>
  <si>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</si>
  <si>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</si>
  <si>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</si>
  <si>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</si>
  <si>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</si>
  <si>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</si>
  <si>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</si>
  <si>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</si>
  <si>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</si>
  <si>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</si>
  <si>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</si>
  <si>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</si>
  <si>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</si>
  <si>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</si>
  <si>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Canadá</t>
  </si>
  <si>
    <t>Estados Unidos</t>
  </si>
  <si>
    <t>México</t>
  </si>
  <si>
    <t>Belice</t>
  </si>
  <si>
    <t>Guatemala</t>
  </si>
  <si>
    <t>Honduras</t>
  </si>
  <si>
    <t>El Salvador</t>
  </si>
  <si>
    <t>Nicaragua</t>
  </si>
  <si>
    <t>Panamá</t>
  </si>
  <si>
    <t>Cuba</t>
  </si>
  <si>
    <t>República Dominicana</t>
  </si>
  <si>
    <t>Haití</t>
  </si>
  <si>
    <t>Colombia</t>
  </si>
  <si>
    <t>Ecuador</t>
  </si>
  <si>
    <t>Perú</t>
  </si>
  <si>
    <t>Bolivia</t>
  </si>
  <si>
    <t>Chile</t>
  </si>
  <si>
    <t>Argentina</t>
  </si>
  <si>
    <t>Paraguay</t>
  </si>
  <si>
    <t>Uruguay</t>
  </si>
  <si>
    <t>Brasil</t>
  </si>
  <si>
    <t>Venezuela</t>
  </si>
  <si>
    <t>Guyana</t>
  </si>
  <si>
    <t>Otros Países y Dependencias de América</t>
  </si>
  <si>
    <t>Laboratorio de Informática</t>
  </si>
  <si>
    <t>Sala de Profesores</t>
  </si>
  <si>
    <t>Lavatorios</t>
  </si>
  <si>
    <t>Servicio Sanitario Accesible (Ley 7600)</t>
  </si>
  <si>
    <t>No tiene</t>
  </si>
  <si>
    <t>Acueducto Rural o Comunal (ASADAS o CAAR).</t>
  </si>
  <si>
    <t>Acueducto Municipal.</t>
  </si>
  <si>
    <t>Acueducto A y A.</t>
  </si>
  <si>
    <t>Acueducto de una Empresa o Cooperativa.</t>
  </si>
  <si>
    <t>No tiene.</t>
  </si>
  <si>
    <t>Tanque Séptico.</t>
  </si>
  <si>
    <t>Tiene salida directa a acequia, zanja, río o estero.</t>
  </si>
  <si>
    <t>Es de hueco, pozo negro o letrina.</t>
  </si>
  <si>
    <t>El o los Servicios Sanitarios están conectados a:</t>
  </si>
  <si>
    <t>ICE o CNFL.</t>
  </si>
  <si>
    <t>ESPH o JASEC.</t>
  </si>
  <si>
    <t>Cooperativa.</t>
  </si>
  <si>
    <t>Panel Solar.</t>
  </si>
  <si>
    <t>Servicio de Biblioteca.</t>
  </si>
  <si>
    <t>Servicio de Internet.</t>
  </si>
  <si>
    <t>Correo Electrónico de la Institución:</t>
  </si>
  <si>
    <t>PRIVADA</t>
  </si>
  <si>
    <t>Sicólogo</t>
  </si>
  <si>
    <t>Sociólogo</t>
  </si>
  <si>
    <t>En buen estado</t>
  </si>
  <si>
    <t>Sin Conexión a Internet</t>
  </si>
  <si>
    <t>Computadoras en Buen Estado</t>
  </si>
  <si>
    <t>De uso estrictamente pedagógico</t>
  </si>
  <si>
    <t>De uso pedagógico y administrativo</t>
  </si>
  <si>
    <t>De uso estrictamente administrativo</t>
  </si>
  <si>
    <t>Computadora de Escritorio</t>
  </si>
  <si>
    <t>Uso</t>
  </si>
  <si>
    <t>Conecta-
das a Internet</t>
  </si>
  <si>
    <t>00252</t>
  </si>
  <si>
    <t>00249</t>
  </si>
  <si>
    <t>00257</t>
  </si>
  <si>
    <t>00765</t>
  </si>
  <si>
    <t>00729</t>
  </si>
  <si>
    <t>00927</t>
  </si>
  <si>
    <t>LANAS</t>
  </si>
  <si>
    <t>MASTATAL</t>
  </si>
  <si>
    <t>00547</t>
  </si>
  <si>
    <t>00718</t>
  </si>
  <si>
    <t>00513</t>
  </si>
  <si>
    <t>00664</t>
  </si>
  <si>
    <t>00439</t>
  </si>
  <si>
    <t>00673</t>
  </si>
  <si>
    <t>00572</t>
  </si>
  <si>
    <t>00857</t>
  </si>
  <si>
    <t>MAGALLANES</t>
  </si>
  <si>
    <t>00884</t>
  </si>
  <si>
    <t>00886</t>
  </si>
  <si>
    <t>00556</t>
  </si>
  <si>
    <t>00589</t>
  </si>
  <si>
    <t>00846</t>
  </si>
  <si>
    <t>00610</t>
  </si>
  <si>
    <t>00850</t>
  </si>
  <si>
    <t>02048</t>
  </si>
  <si>
    <t>00048</t>
  </si>
  <si>
    <t>00799</t>
  </si>
  <si>
    <t>00864</t>
  </si>
  <si>
    <t>00872</t>
  </si>
  <si>
    <t>00080</t>
  </si>
  <si>
    <t>00101</t>
  </si>
  <si>
    <t>00054</t>
  </si>
  <si>
    <t>00055</t>
  </si>
  <si>
    <t>00038</t>
  </si>
  <si>
    <t>00056</t>
  </si>
  <si>
    <t>00017</t>
  </si>
  <si>
    <t>00058</t>
  </si>
  <si>
    <t>00059</t>
  </si>
  <si>
    <t>00013</t>
  </si>
  <si>
    <t>00029</t>
  </si>
  <si>
    <t>00027</t>
  </si>
  <si>
    <t>00084</t>
  </si>
  <si>
    <t>00026</t>
  </si>
  <si>
    <t>00003</t>
  </si>
  <si>
    <t>00009</t>
  </si>
  <si>
    <t>00014</t>
  </si>
  <si>
    <t>BARRIO CORDOBA</t>
  </si>
  <si>
    <t>00028</t>
  </si>
  <si>
    <t>00024</t>
  </si>
  <si>
    <t>00063</t>
  </si>
  <si>
    <t>00015</t>
  </si>
  <si>
    <t>00032</t>
  </si>
  <si>
    <t>00025</t>
  </si>
  <si>
    <t>00034</t>
  </si>
  <si>
    <t>00090</t>
  </si>
  <si>
    <t>00089</t>
  </si>
  <si>
    <t>00097</t>
  </si>
  <si>
    <t>00219</t>
  </si>
  <si>
    <t>00037</t>
  </si>
  <si>
    <t>00088</t>
  </si>
  <si>
    <t>00120</t>
  </si>
  <si>
    <t>00051</t>
  </si>
  <si>
    <t>00205</t>
  </si>
  <si>
    <t>00222</t>
  </si>
  <si>
    <t>00140</t>
  </si>
  <si>
    <t>00142</t>
  </si>
  <si>
    <t>00099</t>
  </si>
  <si>
    <t>00141</t>
  </si>
  <si>
    <t>00035</t>
  </si>
  <si>
    <t>00098</t>
  </si>
  <si>
    <t>00251</t>
  </si>
  <si>
    <t>00139</t>
  </si>
  <si>
    <t>00161</t>
  </si>
  <si>
    <t>00363</t>
  </si>
  <si>
    <t>00447</t>
  </si>
  <si>
    <t>00087</t>
  </si>
  <si>
    <t>00495</t>
  </si>
  <si>
    <t>00634</t>
  </si>
  <si>
    <t>00450</t>
  </si>
  <si>
    <t>00506</t>
  </si>
  <si>
    <t>00841</t>
  </si>
  <si>
    <t>00809</t>
  </si>
  <si>
    <t>00225</t>
  </si>
  <si>
    <t>00796</t>
  </si>
  <si>
    <t>00224</t>
  </si>
  <si>
    <t>00829</t>
  </si>
  <si>
    <t>00825</t>
  </si>
  <si>
    <t>00421</t>
  </si>
  <si>
    <t>00135</t>
  </si>
  <si>
    <t>00136</t>
  </si>
  <si>
    <t>00245</t>
  </si>
  <si>
    <t>00145</t>
  </si>
  <si>
    <t>00163</t>
  </si>
  <si>
    <t>00166</t>
  </si>
  <si>
    <t>00229</t>
  </si>
  <si>
    <t>00571</t>
  </si>
  <si>
    <t>00590</t>
  </si>
  <si>
    <t>00787</t>
  </si>
  <si>
    <t>CENTRAL</t>
  </si>
  <si>
    <t>00854</t>
  </si>
  <si>
    <t>01023</t>
  </si>
  <si>
    <t>00611</t>
  </si>
  <si>
    <t>00852</t>
  </si>
  <si>
    <t>SOLEDAD</t>
  </si>
  <si>
    <t>BARRIO SANTIAGO</t>
  </si>
  <si>
    <t>00633</t>
  </si>
  <si>
    <t>SAN JULIAN</t>
  </si>
  <si>
    <t>Comedor</t>
  </si>
  <si>
    <t>MARIO VARGAS PEREZ</t>
  </si>
  <si>
    <t>FRENTE AL GIMNASIO MUNICIPAL</t>
  </si>
  <si>
    <t>HERIBERTO AGUILAR SANCHEZ</t>
  </si>
  <si>
    <t>150 NORTE 150 ESTE DE ROSTIPOLLOS</t>
  </si>
  <si>
    <t>CALLE CABUYA</t>
  </si>
  <si>
    <t>JORGE DEBRAVO</t>
  </si>
  <si>
    <t>DIAGONAL AL CEMENTERIO</t>
  </si>
  <si>
    <t>100 METROS NORTE DEL TEMPLO CATOLICO.</t>
  </si>
  <si>
    <t>00268</t>
  </si>
  <si>
    <t>00658</t>
  </si>
  <si>
    <t>YERI</t>
  </si>
  <si>
    <t>ALTO LOS NUÑEZ</t>
  </si>
  <si>
    <t>VILLA MILLS</t>
  </si>
  <si>
    <t>100 METROS NORTE DE LA PLAZA DE DEPORTES</t>
  </si>
  <si>
    <t>YUAVIN</t>
  </si>
  <si>
    <t>COOPE SAN JUAN</t>
  </si>
  <si>
    <t>01182</t>
  </si>
  <si>
    <t>ALTO PACUARE</t>
  </si>
  <si>
    <t>SAN AGUSTIN</t>
  </si>
  <si>
    <t>LA UNION DEL TORO</t>
  </si>
  <si>
    <t>LOS ARBOLITOS</t>
  </si>
  <si>
    <t>01720</t>
  </si>
  <si>
    <t>01939</t>
  </si>
  <si>
    <t>PLAYAS DEL COCO</t>
  </si>
  <si>
    <t>NUEVO ARENAL</t>
  </si>
  <si>
    <t>25 ESTE DE LA IGLESIA CATOLICA</t>
  </si>
  <si>
    <t>ISLA VENADO</t>
  </si>
  <si>
    <t>PLAYA CORONADO</t>
  </si>
  <si>
    <t>SAN RAFAEL DE CERROS</t>
  </si>
  <si>
    <t>Año Cursado</t>
  </si>
  <si>
    <t>OBSERVACIONES/COMENTARIOS:</t>
  </si>
  <si>
    <t>Asignatura</t>
  </si>
  <si>
    <t>Hom-bres</t>
  </si>
  <si>
    <t>Mu-jeres</t>
  </si>
  <si>
    <t>Español</t>
  </si>
  <si>
    <t>Estudios Sociales</t>
  </si>
  <si>
    <t>Ciencias</t>
  </si>
  <si>
    <t>Matemática</t>
  </si>
  <si>
    <t>Alfabetización</t>
  </si>
  <si>
    <t>Educación Diversificada a Distancia</t>
  </si>
  <si>
    <t>Biblioteca</t>
  </si>
  <si>
    <t>Taller de Artes Industriales</t>
  </si>
  <si>
    <t>Otros Talleres</t>
  </si>
  <si>
    <t>Total-Centro Educativo</t>
  </si>
  <si>
    <t>Gimnasio</t>
  </si>
  <si>
    <t>Indique si en la Institución se ofrece lo siguiente:</t>
  </si>
  <si>
    <t>Discapacidad Motora</t>
  </si>
  <si>
    <t>Ceguera</t>
  </si>
  <si>
    <t>Baja Visión</t>
  </si>
  <si>
    <t>Docentes Educación Especial</t>
  </si>
  <si>
    <t>Auxiliar Administrativo</t>
  </si>
  <si>
    <t>Orientador</t>
  </si>
  <si>
    <t>Orientador Asistente</t>
  </si>
  <si>
    <t>Bibliotecólogo</t>
  </si>
  <si>
    <t>Otros Docentes Educación Especial</t>
  </si>
  <si>
    <t>Otros Docentes</t>
  </si>
  <si>
    <t>Aspi-rantes</t>
  </si>
  <si>
    <t>Docentes que atienden los Proyectos de Educación Abierta</t>
  </si>
  <si>
    <t>Cantidad
Total</t>
  </si>
  <si>
    <t>Aulas (que no se utilizan para impartir lecciones)</t>
  </si>
  <si>
    <t>Sí</t>
  </si>
  <si>
    <t>No</t>
  </si>
  <si>
    <t>Computadora
Portátil</t>
  </si>
  <si>
    <t>Personal</t>
  </si>
  <si>
    <t>Plan Nacional (o equivalente)</t>
  </si>
  <si>
    <t>¿Proyectos de Educación Abierta?</t>
  </si>
  <si>
    <t>DEPARTAMENTO DE ANÁLISIS ESTADÍSTICO</t>
  </si>
  <si>
    <t>Dirección de Planificación Institucional</t>
  </si>
  <si>
    <t>Ministerio de Educación Pública</t>
  </si>
  <si>
    <t>Ubicación (PR/CA/DI):</t>
  </si>
  <si>
    <t>Sello Institución</t>
  </si>
  <si>
    <t>pcd</t>
  </si>
  <si>
    <t>1-01-01</t>
  </si>
  <si>
    <t>1-01-02</t>
  </si>
  <si>
    <t>1-01-03</t>
  </si>
  <si>
    <t>1-01-04</t>
  </si>
  <si>
    <t>1-01-05</t>
  </si>
  <si>
    <t>1-01-06</t>
  </si>
  <si>
    <t>1-01-07</t>
  </si>
  <si>
    <t>1-01-08</t>
  </si>
  <si>
    <t>1-01-09</t>
  </si>
  <si>
    <t>1-01-10</t>
  </si>
  <si>
    <t>1-01-11</t>
  </si>
  <si>
    <t>1-02-01</t>
  </si>
  <si>
    <t>1-02-02</t>
  </si>
  <si>
    <t>1-02-03</t>
  </si>
  <si>
    <t>1-03-01</t>
  </si>
  <si>
    <t>1-03-02</t>
  </si>
  <si>
    <t>1-03-03</t>
  </si>
  <si>
    <t>1-03-04</t>
  </si>
  <si>
    <t>1-03-05</t>
  </si>
  <si>
    <t>1-03-06</t>
  </si>
  <si>
    <t>1-03-07</t>
  </si>
  <si>
    <t>1-03-08</t>
  </si>
  <si>
    <t>1-03-09</t>
  </si>
  <si>
    <t>1-03-10</t>
  </si>
  <si>
    <t>1-03-11</t>
  </si>
  <si>
    <t>1-03-12</t>
  </si>
  <si>
    <t>1-03-13</t>
  </si>
  <si>
    <t>1-04-01</t>
  </si>
  <si>
    <t>1-04-02</t>
  </si>
  <si>
    <t>1-04-03</t>
  </si>
  <si>
    <t>1-04-04</t>
  </si>
  <si>
    <t>1-04-05</t>
  </si>
  <si>
    <t>1-04-06</t>
  </si>
  <si>
    <t>1-04-07</t>
  </si>
  <si>
    <t>1-04-08</t>
  </si>
  <si>
    <t>1-04-09</t>
  </si>
  <si>
    <t>1-05-01</t>
  </si>
  <si>
    <t>1-05-02</t>
  </si>
  <si>
    <t>1-05-03</t>
  </si>
  <si>
    <t>1-06-01</t>
  </si>
  <si>
    <t>1-06-02</t>
  </si>
  <si>
    <t>1-06-03</t>
  </si>
  <si>
    <t>1-06-04</t>
  </si>
  <si>
    <t>1-06-05</t>
  </si>
  <si>
    <t>1-06-06</t>
  </si>
  <si>
    <t>1-06-07</t>
  </si>
  <si>
    <t>1-07-01</t>
  </si>
  <si>
    <t>1-07-02</t>
  </si>
  <si>
    <t>1-07-03</t>
  </si>
  <si>
    <t>1-07-04</t>
  </si>
  <si>
    <t>1-07-05</t>
  </si>
  <si>
    <t>1-07-06</t>
  </si>
  <si>
    <t>1-08-01</t>
  </si>
  <si>
    <t>1-08-02</t>
  </si>
  <si>
    <t>1-08-03</t>
  </si>
  <si>
    <t>1-08-04</t>
  </si>
  <si>
    <t>1-08-05</t>
  </si>
  <si>
    <t>1-08-06</t>
  </si>
  <si>
    <t>1-08-07</t>
  </si>
  <si>
    <t>1-09-01</t>
  </si>
  <si>
    <t>1-09-02</t>
  </si>
  <si>
    <t>1-09-03</t>
  </si>
  <si>
    <t>1-09-04</t>
  </si>
  <si>
    <t>1-09-05</t>
  </si>
  <si>
    <t>1-09-06</t>
  </si>
  <si>
    <t>1-10-01</t>
  </si>
  <si>
    <t>1-10-02</t>
  </si>
  <si>
    <t>1-10-03</t>
  </si>
  <si>
    <t>1-10-04</t>
  </si>
  <si>
    <t>1-10-05</t>
  </si>
  <si>
    <t>1-11-01</t>
  </si>
  <si>
    <t>1-11-02</t>
  </si>
  <si>
    <t>1-11-03</t>
  </si>
  <si>
    <t>1-11-04</t>
  </si>
  <si>
    <t>1-11-05</t>
  </si>
  <si>
    <t>1-12-01</t>
  </si>
  <si>
    <t>1-12-02</t>
  </si>
  <si>
    <t>1-12-03</t>
  </si>
  <si>
    <t>1-12-04</t>
  </si>
  <si>
    <t>1-12-05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</si>
  <si>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</si>
  <si>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</si>
  <si>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</si>
  <si>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</si>
  <si>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</si>
  <si>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</si>
  <si>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</si>
  <si>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</si>
  <si>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</si>
  <si>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</si>
  <si>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</si>
  <si>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</si>
  <si>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</si>
  <si>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</si>
  <si>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</si>
  <si>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</si>
  <si>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</si>
  <si>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1-17-01</t>
  </si>
  <si>
    <t>1-17-02</t>
  </si>
  <si>
    <t>1-17-03</t>
  </si>
  <si>
    <t>1-18-01</t>
  </si>
  <si>
    <t>1-18-02</t>
  </si>
  <si>
    <t>1-18-03</t>
  </si>
  <si>
    <t>1-18-04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</si>
  <si>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</si>
  <si>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</si>
  <si>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</si>
  <si>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</si>
  <si>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</si>
  <si>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</si>
  <si>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</si>
  <si>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</si>
  <si>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</si>
  <si>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</si>
  <si>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</si>
  <si>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</si>
  <si>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</si>
  <si>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1-20-03</t>
  </si>
  <si>
    <t>1-20-04</t>
  </si>
  <si>
    <t>1-20-05</t>
  </si>
  <si>
    <t>1-20-06</t>
  </si>
  <si>
    <t>2-01-01</t>
  </si>
  <si>
    <t>2-01-02</t>
  </si>
  <si>
    <t>2-01-03</t>
  </si>
  <si>
    <t>2-01-04</t>
  </si>
  <si>
    <t>2-01-05</t>
  </si>
  <si>
    <t>2-01-06</t>
  </si>
  <si>
    <t>2-01-07</t>
  </si>
  <si>
    <t>2-01-08</t>
  </si>
  <si>
    <t>2-01-09</t>
  </si>
  <si>
    <t>2-01-10</t>
  </si>
  <si>
    <t>2-01-11</t>
  </si>
  <si>
    <t>2-01-12</t>
  </si>
  <si>
    <t>2-01-13</t>
  </si>
  <si>
    <t>2-01-14</t>
  </si>
  <si>
    <t>2-02-01</t>
  </si>
  <si>
    <t>2-02-02</t>
  </si>
  <si>
    <t>2-02-03</t>
  </si>
  <si>
    <t>2-02-04</t>
  </si>
  <si>
    <t>2-02-05</t>
  </si>
  <si>
    <t>2-02-06</t>
  </si>
  <si>
    <t>2-02-07</t>
  </si>
  <si>
    <t>2-02-08</t>
  </si>
  <si>
    <t>2-02-09</t>
  </si>
  <si>
    <t>2-02-10</t>
  </si>
  <si>
    <t>2-02-11</t>
  </si>
  <si>
    <t>2-02-12</t>
  </si>
  <si>
    <t>2-02-13</t>
  </si>
  <si>
    <t>2-03-01</t>
  </si>
  <si>
    <t>2-03-02</t>
  </si>
  <si>
    <t>2-03-03</t>
  </si>
  <si>
    <t>2-03-04</t>
  </si>
  <si>
    <t>2-03-05</t>
  </si>
  <si>
    <t>2-03-07</t>
  </si>
  <si>
    <t>2-03-08</t>
  </si>
  <si>
    <t>2-04-01</t>
  </si>
  <si>
    <t>2-04-02</t>
  </si>
  <si>
    <t>2-04-03</t>
  </si>
  <si>
    <t>2-04-04</t>
  </si>
  <si>
    <t>2-05-01</t>
  </si>
  <si>
    <t>2-05-02</t>
  </si>
  <si>
    <t>2-05-03</t>
  </si>
  <si>
    <t>2-05-04</t>
  </si>
  <si>
    <t>2-05-05</t>
  </si>
  <si>
    <t>2-05-06</t>
  </si>
  <si>
    <t>2-05-07</t>
  </si>
  <si>
    <t>2-05-08</t>
  </si>
  <si>
    <t>2-06-01</t>
  </si>
  <si>
    <t>2-06-02</t>
  </si>
  <si>
    <t>2-06-03</t>
  </si>
  <si>
    <t>2-06-04</t>
  </si>
  <si>
    <t>2-06-05</t>
  </si>
  <si>
    <t>2-06-06</t>
  </si>
  <si>
    <t>2-06-07</t>
  </si>
  <si>
    <t>2-06-08</t>
  </si>
  <si>
    <t>2-07-01</t>
  </si>
  <si>
    <t>2-07-02</t>
  </si>
  <si>
    <t>2-07-03</t>
  </si>
  <si>
    <t>2-07-04</t>
  </si>
  <si>
    <t>2-07-05</t>
  </si>
  <si>
    <t>2-07-06</t>
  </si>
  <si>
    <t>2-07-07</t>
  </si>
  <si>
    <t>2-08-01</t>
  </si>
  <si>
    <t>2-08-02</t>
  </si>
  <si>
    <t>2-08-03</t>
  </si>
  <si>
    <t>2-08-04</t>
  </si>
  <si>
    <t>2-08-05</t>
  </si>
  <si>
    <t>2-09-01</t>
  </si>
  <si>
    <t>2-09-02</t>
  </si>
  <si>
    <t>2-09-03</t>
  </si>
  <si>
    <t>2-09-04</t>
  </si>
  <si>
    <t>2-09-05</t>
  </si>
  <si>
    <t>2-10-01</t>
  </si>
  <si>
    <t>2-10-02</t>
  </si>
  <si>
    <t>2-10-03</t>
  </si>
  <si>
    <t>2-10-04</t>
  </si>
  <si>
    <t>2-10-05</t>
  </si>
  <si>
    <t>2-10-06</t>
  </si>
  <si>
    <t>2-10-07</t>
  </si>
  <si>
    <t>2-10-08</t>
  </si>
  <si>
    <t>2-10-09</t>
  </si>
  <si>
    <t>2-10-10</t>
  </si>
  <si>
    <t>2-10-11</t>
  </si>
  <si>
    <t>2-10-12</t>
  </si>
  <si>
    <t>2-10-13</t>
  </si>
  <si>
    <t>2-11-01</t>
  </si>
  <si>
    <t>2-11-02</t>
  </si>
  <si>
    <t>2-11-03</t>
  </si>
  <si>
    <t>2-11-04</t>
  </si>
  <si>
    <t>2-11-05</t>
  </si>
  <si>
    <t>2-11-06</t>
  </si>
  <si>
    <t>2-11-07</t>
  </si>
  <si>
    <t>2-12-01</t>
  </si>
  <si>
    <t>2-12-02</t>
  </si>
  <si>
    <t>2-12-03</t>
  </si>
  <si>
    <t>2-12-04</t>
  </si>
  <si>
    <t>2-12-05</t>
  </si>
  <si>
    <t>2-13-01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</si>
  <si>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</si>
  <si>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</si>
  <si>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</si>
  <si>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</si>
  <si>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</si>
  <si>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</si>
  <si>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</si>
  <si>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</si>
  <si>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</si>
  <si>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</si>
  <si>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</si>
  <si>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</si>
  <si>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</si>
  <si>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</si>
  <si>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2-15-04</t>
  </si>
  <si>
    <t>3-01-01</t>
  </si>
  <si>
    <t>3-01-02</t>
  </si>
  <si>
    <t>3-01-03</t>
  </si>
  <si>
    <t>3-01-04</t>
  </si>
  <si>
    <t>3-01-05</t>
  </si>
  <si>
    <t>3-01-06</t>
  </si>
  <si>
    <t>3-01-07</t>
  </si>
  <si>
    <t>3-01-08</t>
  </si>
  <si>
    <t>3-01-09</t>
  </si>
  <si>
    <t>3-01-10</t>
  </si>
  <si>
    <t>3-01-11</t>
  </si>
  <si>
    <t>3-02-01</t>
  </si>
  <si>
    <t>3-02-02</t>
  </si>
  <si>
    <t>3-02-03</t>
  </si>
  <si>
    <t>3-02-04</t>
  </si>
  <si>
    <t>3-02-05</t>
  </si>
  <si>
    <t>3-03-01</t>
  </si>
  <si>
    <t>3-03-02</t>
  </si>
  <si>
    <t>3-03-03</t>
  </si>
  <si>
    <t>3-03-04</t>
  </si>
  <si>
    <t>3-03-05</t>
  </si>
  <si>
    <t>3-03-06</t>
  </si>
  <si>
    <t>3-03-07</t>
  </si>
  <si>
    <t>3-03-08</t>
  </si>
  <si>
    <t>3-04-01</t>
  </si>
  <si>
    <t>3-04-02</t>
  </si>
  <si>
    <t>3-04-03</t>
  </si>
  <si>
    <t>3-05-01</t>
  </si>
  <si>
    <t>3-05-02</t>
  </si>
  <si>
    <t>3-05-03</t>
  </si>
  <si>
    <t>3-05-04</t>
  </si>
  <si>
    <t>3-05-05</t>
  </si>
  <si>
    <t>3-05-06</t>
  </si>
  <si>
    <t>3-05-07</t>
  </si>
  <si>
    <t>3-05-08</t>
  </si>
  <si>
    <t>3-05-09</t>
  </si>
  <si>
    <t>3-05-10</t>
  </si>
  <si>
    <t>3-05-11</t>
  </si>
  <si>
    <t>3-05-12</t>
  </si>
  <si>
    <t>3-06-01</t>
  </si>
  <si>
    <t>3-06-02</t>
  </si>
  <si>
    <t>3-06-03</t>
  </si>
  <si>
    <t>3-07-01</t>
  </si>
  <si>
    <t>3-07-02</t>
  </si>
  <si>
    <t>3-07-03</t>
  </si>
  <si>
    <t>3-07-04</t>
  </si>
  <si>
    <t>3-07-05</t>
  </si>
  <si>
    <t>3-08-01</t>
  </si>
  <si>
    <t>3-08-02</t>
  </si>
  <si>
    <t>3-08-03</t>
  </si>
  <si>
    <t>3-08-04</t>
  </si>
  <si>
    <t>4-01-01</t>
  </si>
  <si>
    <t>4-01-02</t>
  </si>
  <si>
    <t>4-01-03</t>
  </si>
  <si>
    <t>4-01-04</t>
  </si>
  <si>
    <t>4-01-05</t>
  </si>
  <si>
    <t>4-02-01</t>
  </si>
  <si>
    <t>4-02-02</t>
  </si>
  <si>
    <t>4-02-03</t>
  </si>
  <si>
    <t>4-02-04</t>
  </si>
  <si>
    <t>4-02-05</t>
  </si>
  <si>
    <t>4-02-06</t>
  </si>
  <si>
    <t>4-03-01</t>
  </si>
  <si>
    <t>4-03-02</t>
  </si>
  <si>
    <t>4-03-03</t>
  </si>
  <si>
    <t>4-03-04</t>
  </si>
  <si>
    <t>4-03-05</t>
  </si>
  <si>
    <t>4-03-06</t>
  </si>
  <si>
    <t>4-03-07</t>
  </si>
  <si>
    <t>4-03-08</t>
  </si>
  <si>
    <t>4-04-01</t>
  </si>
  <si>
    <t>4-04-02</t>
  </si>
  <si>
    <t>4-04-03</t>
  </si>
  <si>
    <t>4-04-04</t>
  </si>
  <si>
    <t>4-04-05</t>
  </si>
  <si>
    <t>4-04-06</t>
  </si>
  <si>
    <t>4-05-01</t>
  </si>
  <si>
    <t>4-05-02</t>
  </si>
  <si>
    <t>4-05-03</t>
  </si>
  <si>
    <t>4-05-04</t>
  </si>
  <si>
    <t>4-05-05</t>
  </si>
  <si>
    <t>4-06-01</t>
  </si>
  <si>
    <t>4-06-02</t>
  </si>
  <si>
    <t>4-06-03</t>
  </si>
  <si>
    <t>4-06-04</t>
  </si>
  <si>
    <t>4-07-01</t>
  </si>
  <si>
    <t>4-07-02</t>
  </si>
  <si>
    <t>4-07-03</t>
  </si>
  <si>
    <t>4-08-01</t>
  </si>
  <si>
    <t>4-08-02</t>
  </si>
  <si>
    <t>4-08-03</t>
  </si>
  <si>
    <t>4-09-01</t>
  </si>
  <si>
    <t>4-09-02</t>
  </si>
  <si>
    <t>4-10-01</t>
  </si>
  <si>
    <t>4-10-02</t>
  </si>
  <si>
    <t>4-10-03</t>
  </si>
  <si>
    <t>4-10-04</t>
  </si>
  <si>
    <t>4-10-05</t>
  </si>
  <si>
    <t>5-01-01</t>
  </si>
  <si>
    <t>5-01-02</t>
  </si>
  <si>
    <t>5-01-03</t>
  </si>
  <si>
    <t>5-01-04</t>
  </si>
  <si>
    <t>5-01-05</t>
  </si>
  <si>
    <t>5-02-01</t>
  </si>
  <si>
    <t>5-02-02</t>
  </si>
  <si>
    <t>5-02-03</t>
  </si>
  <si>
    <t>5-02-04</t>
  </si>
  <si>
    <t>5-02-05</t>
  </si>
  <si>
    <t>5-02-06</t>
  </si>
  <si>
    <t>5-02-07</t>
  </si>
  <si>
    <t>5-03-01</t>
  </si>
  <si>
    <t>5-03-02</t>
  </si>
  <si>
    <t>5-03-03</t>
  </si>
  <si>
    <t>5-03-04</t>
  </si>
  <si>
    <t>5-03-05</t>
  </si>
  <si>
    <t>5-03-06</t>
  </si>
  <si>
    <t>5-03-07</t>
  </si>
  <si>
    <t>5-03-08</t>
  </si>
  <si>
    <t>5-03-09</t>
  </si>
  <si>
    <t>5-04-01</t>
  </si>
  <si>
    <t>5-04-02</t>
  </si>
  <si>
    <t>5-04-03</t>
  </si>
  <si>
    <t>5-04-04</t>
  </si>
  <si>
    <t>5-05-01</t>
  </si>
  <si>
    <t>5-05-02</t>
  </si>
  <si>
    <t>5-05-03</t>
  </si>
  <si>
    <t>5-05-04</t>
  </si>
  <si>
    <t>5-06-01</t>
  </si>
  <si>
    <t>5-06-02</t>
  </si>
  <si>
    <t>5-06-03</t>
  </si>
  <si>
    <t>5-06-04</t>
  </si>
  <si>
    <t>5-06-05</t>
  </si>
  <si>
    <t>5-07-01</t>
  </si>
  <si>
    <t>5-07-02</t>
  </si>
  <si>
    <t>5-07-03</t>
  </si>
  <si>
    <t>5-07-04</t>
  </si>
  <si>
    <t>5-08-01</t>
  </si>
  <si>
    <t>5-08-02</t>
  </si>
  <si>
    <t>5-08-03</t>
  </si>
  <si>
    <t>5-08-04</t>
  </si>
  <si>
    <t>5-08-05</t>
  </si>
  <si>
    <t>5-08-06</t>
  </si>
  <si>
    <t>5-08-07</t>
  </si>
  <si>
    <t>5-09-01</t>
  </si>
  <si>
    <t>5-09-02</t>
  </si>
  <si>
    <t>5-09-03</t>
  </si>
  <si>
    <t>5-09-04</t>
  </si>
  <si>
    <t>5-09-05</t>
  </si>
  <si>
    <t>5-09-06</t>
  </si>
  <si>
    <t>5-10-01</t>
  </si>
  <si>
    <t>5-10-02</t>
  </si>
  <si>
    <t>5-10-03</t>
  </si>
  <si>
    <t>5-10-04</t>
  </si>
  <si>
    <t>5-11-01</t>
  </si>
  <si>
    <t>5-11-02</t>
  </si>
  <si>
    <t>5-11-03</t>
  </si>
  <si>
    <t>5-11-04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</si>
  <si>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</si>
  <si>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</si>
  <si>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</si>
  <si>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</si>
  <si>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</si>
  <si>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</si>
  <si>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</si>
  <si>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</si>
  <si>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</si>
  <si>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6-01-11</t>
  </si>
  <si>
    <t>6-01-12</t>
  </si>
  <si>
    <t>6-01-13</t>
  </si>
  <si>
    <t>6-01-14</t>
  </si>
  <si>
    <t>6-01-15</t>
  </si>
  <si>
    <t>6-01-16</t>
  </si>
  <si>
    <t>6-02-01</t>
  </si>
  <si>
    <t>6-02-02</t>
  </si>
  <si>
    <t>6-02-03</t>
  </si>
  <si>
    <t>6-02-04</t>
  </si>
  <si>
    <t>6-02-05</t>
  </si>
  <si>
    <t>6-03-01</t>
  </si>
  <si>
    <t>6-03-02</t>
  </si>
  <si>
    <t>6-03-03</t>
  </si>
  <si>
    <t>6-03-04</t>
  </si>
  <si>
    <t>6-03-05</t>
  </si>
  <si>
    <t>6-03-06</t>
  </si>
  <si>
    <t>6-03-07</t>
  </si>
  <si>
    <t>6-03-08</t>
  </si>
  <si>
    <t>6-03-09</t>
  </si>
  <si>
    <t>6-04-01</t>
  </si>
  <si>
    <t>6-04-02</t>
  </si>
  <si>
    <t>6-04-03</t>
  </si>
  <si>
    <t>6-05-01</t>
  </si>
  <si>
    <t>6-05-02</t>
  </si>
  <si>
    <t>6-05-03</t>
  </si>
  <si>
    <t>6-05-04</t>
  </si>
  <si>
    <t>6-05-05</t>
  </si>
  <si>
    <t>6-05-06</t>
  </si>
  <si>
    <t>6-06-01</t>
  </si>
  <si>
    <t>6-06-02</t>
  </si>
  <si>
    <t>6-06-03</t>
  </si>
  <si>
    <t>6-07-01</t>
  </si>
  <si>
    <t>6-07-02</t>
  </si>
  <si>
    <t>6-07-03</t>
  </si>
  <si>
    <t>6-07-04</t>
  </si>
  <si>
    <t>6-08-01</t>
  </si>
  <si>
    <t>6-08-02</t>
  </si>
  <si>
    <t>6-08-03</t>
  </si>
  <si>
    <t>6-08-04</t>
  </si>
  <si>
    <t>6-08-05</t>
  </si>
  <si>
    <t>6-09-01</t>
  </si>
  <si>
    <t>6-10-01</t>
  </si>
  <si>
    <t>6-10-02</t>
  </si>
  <si>
    <t>6-10-03</t>
  </si>
  <si>
    <t>6-10-04</t>
  </si>
  <si>
    <t>6-11-01</t>
  </si>
  <si>
    <t>6-11-02</t>
  </si>
  <si>
    <t>7-01-01</t>
  </si>
  <si>
    <t>7-01-02</t>
  </si>
  <si>
    <t>7-01-03</t>
  </si>
  <si>
    <t>7-01-04</t>
  </si>
  <si>
    <t>7-02-01</t>
  </si>
  <si>
    <t>7-02-02</t>
  </si>
  <si>
    <t>7-02-03</t>
  </si>
  <si>
    <t>7-02-04</t>
  </si>
  <si>
    <t>7-02-05</t>
  </si>
  <si>
    <t>7-02-06</t>
  </si>
  <si>
    <t>7-02-07</t>
  </si>
  <si>
    <t>7-03-01</t>
  </si>
  <si>
    <t>7-03-02</t>
  </si>
  <si>
    <t>7-03-03</t>
  </si>
  <si>
    <t>7-03-04</t>
  </si>
  <si>
    <t>7-03-05</t>
  </si>
  <si>
    <t>7-03-06</t>
  </si>
  <si>
    <t>7-04-01</t>
  </si>
  <si>
    <t>7-04-02</t>
  </si>
  <si>
    <t>7-04-03</t>
  </si>
  <si>
    <t>7-04-04</t>
  </si>
  <si>
    <t>7-05-01</t>
  </si>
  <si>
    <t>7-05-02</t>
  </si>
  <si>
    <t>7-05-03</t>
  </si>
  <si>
    <t>7-06-01</t>
  </si>
  <si>
    <t>7-06-02</t>
  </si>
  <si>
    <t>7-06-03</t>
  </si>
  <si>
    <t>7-06-04</t>
  </si>
  <si>
    <t>7-06-05</t>
  </si>
  <si>
    <t>pr/ca/di</t>
  </si>
  <si>
    <t>SANTA CATALINA</t>
  </si>
  <si>
    <t>HATILLO 1</t>
  </si>
  <si>
    <t>COLONIA KENNEDY</t>
  </si>
  <si>
    <t>00128</t>
  </si>
  <si>
    <t>00474</t>
  </si>
  <si>
    <t>EL BRASIL</t>
  </si>
  <si>
    <t>BARRIO ESCALANTE</t>
  </si>
  <si>
    <t>00001</t>
  </si>
  <si>
    <t>00002</t>
  </si>
  <si>
    <t>1KM NORTE DE LA SUBESTACION DEL ICE</t>
  </si>
  <si>
    <t>00004</t>
  </si>
  <si>
    <t>00016</t>
  </si>
  <si>
    <t>00044</t>
  </si>
  <si>
    <t>00066</t>
  </si>
  <si>
    <t>00129</t>
  </si>
  <si>
    <t>00194</t>
  </si>
  <si>
    <t>00195</t>
  </si>
  <si>
    <t>00211</t>
  </si>
  <si>
    <t>00221</t>
  </si>
  <si>
    <t>00227</t>
  </si>
  <si>
    <t>LOS COLEGIOS</t>
  </si>
  <si>
    <t>00226</t>
  </si>
  <si>
    <t>cosion@racsa.co.cr</t>
  </si>
  <si>
    <t>00277</t>
  </si>
  <si>
    <t>LIDDA CASCANTE ENRIQUEZ</t>
  </si>
  <si>
    <t>200 ESTE DEL BANCO NACIONAL</t>
  </si>
  <si>
    <t>00287</t>
  </si>
  <si>
    <t>info@monterrey.ed.cr</t>
  </si>
  <si>
    <t>00288</t>
  </si>
  <si>
    <t>colegio@colegiocalasanz.com</t>
  </si>
  <si>
    <t>00290</t>
  </si>
  <si>
    <t>01618</t>
  </si>
  <si>
    <t>CATOLICO EULOGIO LOPEZ OBANDO</t>
  </si>
  <si>
    <t>LOURDES FERNANDEZ CABEZAS</t>
  </si>
  <si>
    <t>cecelocr@yahoo.es</t>
  </si>
  <si>
    <t>00480</t>
  </si>
  <si>
    <t>PINDECO</t>
  </si>
  <si>
    <t>ZONA ADMINISTRATIVA PINDECO</t>
  </si>
  <si>
    <t>WILBERTH MEJIAS CRUZ</t>
  </si>
  <si>
    <t>00612</t>
  </si>
  <si>
    <t>BARRIO LA TROPICANA</t>
  </si>
  <si>
    <t>ANA ISABEL SABORIO JENKINS</t>
  </si>
  <si>
    <t>colegiomaristaalajuela@gmail.com</t>
  </si>
  <si>
    <t>600 MTS SUR DE LA IGLESIA LA AGONIA</t>
  </si>
  <si>
    <t>SAINT JOHN BAPTIST</t>
  </si>
  <si>
    <t>MARLIN PEREZ RODRIGUEZ</t>
  </si>
  <si>
    <t>00731</t>
  </si>
  <si>
    <t>00751</t>
  </si>
  <si>
    <t>KATHRYN RODELL RAMIREZ</t>
  </si>
  <si>
    <t>00764</t>
  </si>
  <si>
    <t>SANTA GERTRUDIS NORTE</t>
  </si>
  <si>
    <t>00383</t>
  </si>
  <si>
    <t>00386</t>
  </si>
  <si>
    <t>300M OESTE ENTRADA PRINCIPAL I.T.C.R</t>
  </si>
  <si>
    <t>01812</t>
  </si>
  <si>
    <t>00471</t>
  </si>
  <si>
    <t>00473</t>
  </si>
  <si>
    <t>upsandiego@gmail.com</t>
  </si>
  <si>
    <t>DON TOMAS</t>
  </si>
  <si>
    <t>ESTEBAN CAMACHO HIDALGO</t>
  </si>
  <si>
    <t>RESIDENCIAL LOS LAGOS</t>
  </si>
  <si>
    <t>JOSE LUIS SALAZAR GONZALEZ</t>
  </si>
  <si>
    <t>00631</t>
  </si>
  <si>
    <t>ACADEMIA TEOCALI</t>
  </si>
  <si>
    <t>eupi83@gmail.com</t>
  </si>
  <si>
    <t>00036</t>
  </si>
  <si>
    <t>BARRIO LIMON</t>
  </si>
  <si>
    <t>COLEGIO MONT BERKELEY INTERNACIONAL</t>
  </si>
  <si>
    <t>secretaria@montberkeley.com</t>
  </si>
  <si>
    <t>BETHEL</t>
  </si>
  <si>
    <t>ceadvpc84@gmail.com</t>
  </si>
  <si>
    <t>cealimonn@gmail.com</t>
  </si>
  <si>
    <t>direccion@mariainmaculadalimon.com</t>
  </si>
  <si>
    <t>SEK DE COSTA RICA</t>
  </si>
  <si>
    <t>SAGRADO CORAZON</t>
  </si>
  <si>
    <t>FRANCISCO PERALTA</t>
  </si>
  <si>
    <t>sagradocorazonamdg@gmail.com</t>
  </si>
  <si>
    <t>SALESIANO DON BOSCO</t>
  </si>
  <si>
    <t>300 NORTE 150 ESTE DE CASA PRESIDENCIAL</t>
  </si>
  <si>
    <t>1 KM ESTE DEL PALI DE LOURDES</t>
  </si>
  <si>
    <t>info@colegiolosangeles.ed.cr</t>
  </si>
  <si>
    <t>ROHRMOSER</t>
  </si>
  <si>
    <t>humboldt@colegiohumboldt.cr</t>
  </si>
  <si>
    <t>50 NORTE DE LA IGLESIA DE LORETO</t>
  </si>
  <si>
    <t>125 NORTE DEL FINAL DEL BOULEVARD ROHRMOSER</t>
  </si>
  <si>
    <t>INSTITUTO DE DESARROLLO DE INTELIGENCIA</t>
  </si>
  <si>
    <t>ADVENTISTA DE COSTA RICA</t>
  </si>
  <si>
    <t>NUESTRA SEÑORA DEL PILAR</t>
  </si>
  <si>
    <t>asopilar@gmail.com</t>
  </si>
  <si>
    <t>GREEN VALLEY</t>
  </si>
  <si>
    <t>NUMANCIA</t>
  </si>
  <si>
    <t>JOSE LUIS CORRALES CORDERO</t>
  </si>
  <si>
    <t>centroeducativogreenvalley@gmail.com</t>
  </si>
  <si>
    <t>BOSQUES DE DOÑA ROSA</t>
  </si>
  <si>
    <t>info@colegiobilinguesr.com</t>
  </si>
  <si>
    <t>SAINT GREGORY</t>
  </si>
  <si>
    <t>info@saintgregory.cr</t>
  </si>
  <si>
    <t>1.5 KM ESTE DEL WALTMART CURRIDABAT</t>
  </si>
  <si>
    <t>VICTORIA</t>
  </si>
  <si>
    <t>CALLE BONILLA</t>
  </si>
  <si>
    <t>OASIS DE ESPERANZA</t>
  </si>
  <si>
    <t>cecoe@iglesiaoasis.com</t>
  </si>
  <si>
    <t>DEL VALLE</t>
  </si>
  <si>
    <t>info@escuelaycolegiodelvalle.com</t>
  </si>
  <si>
    <t>LA CLAUDIA</t>
  </si>
  <si>
    <t>LUIS DIEGO BARRANTES GONZALEZ</t>
  </si>
  <si>
    <t>info@bribri.co.cr</t>
  </si>
  <si>
    <t>inmaculadajaco@gmail.com</t>
  </si>
  <si>
    <t>FANNY ALVAREZ GARBANZO</t>
  </si>
  <si>
    <t>SAN ANTONIO DE PADUA</t>
  </si>
  <si>
    <t>SAGRADA REINA DE LOS ANGELES</t>
  </si>
  <si>
    <t>JARDINES DE CASCAJAL</t>
  </si>
  <si>
    <t>asuntosacademicos@ccbr.com</t>
  </si>
  <si>
    <t>info@elcarmelo.ed.cr</t>
  </si>
  <si>
    <t>CALLE 18 B, AVENIDA 28</t>
  </si>
  <si>
    <t>SAN MIGUEL ARCANGEL</t>
  </si>
  <si>
    <t>LOS ROSALES</t>
  </si>
  <si>
    <t>INTERNACIONAL CANADIENSE</t>
  </si>
  <si>
    <t>cicvirtual@gmail.com</t>
  </si>
  <si>
    <t>WEST COLLEGE</t>
  </si>
  <si>
    <t>CYNTHIA DELGADO HIDALGO</t>
  </si>
  <si>
    <t>direccion@westcollege.net</t>
  </si>
  <si>
    <t>2 KM NORTE 100 MTS OESTE DE CONSTRUPLAZA</t>
  </si>
  <si>
    <t>cecsanicoya@hotmail.com</t>
  </si>
  <si>
    <t>LAS ACACIAS</t>
  </si>
  <si>
    <t>info@saintgabriel.ed.cr</t>
  </si>
  <si>
    <t>URBANIZACION LAS LOMAS</t>
  </si>
  <si>
    <t>CRISTIANO REFORMADO</t>
  </si>
  <si>
    <t>LOMAS DE AYARCO SUR</t>
  </si>
  <si>
    <t>COMPLEMENTARIA CAHUITA</t>
  </si>
  <si>
    <t>esccomplementariatalamanca@gmail.com</t>
  </si>
  <si>
    <t>CRISTIANA LIBERTAD</t>
  </si>
  <si>
    <t>institutomontecarlo@gmail.com</t>
  </si>
  <si>
    <t>400 NORTE Y 100 ESTE DE LA IGLESIA CATOLICA</t>
  </si>
  <si>
    <t>KILOMETRO</t>
  </si>
  <si>
    <t>EDILBERTO MEJIA PINEDA</t>
  </si>
  <si>
    <t>spacific_1200@yahoo.com</t>
  </si>
  <si>
    <t>EUROPEO</t>
  </si>
  <si>
    <t>ANNE ARONSON</t>
  </si>
  <si>
    <t>info@europeanschool.com</t>
  </si>
  <si>
    <t>THE SUMMIT SCHOOL</t>
  </si>
  <si>
    <t>ROSELYN CARVAJAL CARVAJAL</t>
  </si>
  <si>
    <t>centro_santajosefina@yahoo.es</t>
  </si>
  <si>
    <t>ceuna.11@gmail.com</t>
  </si>
  <si>
    <t>RUDY BARRANTES SALAS</t>
  </si>
  <si>
    <t>COSTADO NORTE DE LA SEDE DE LA UNED</t>
  </si>
  <si>
    <t>GREEN FOREST SCHOOL</t>
  </si>
  <si>
    <t>info@sanfraguapiles.com</t>
  </si>
  <si>
    <t>SONIA DIAZ RODRIGUEZ</t>
  </si>
  <si>
    <t>ROMMEL PORRAS GONZALEZ</t>
  </si>
  <si>
    <t>info@kamukschool.ed.cr</t>
  </si>
  <si>
    <t>info@colbilsabana.com</t>
  </si>
  <si>
    <t>MIRTA BRITO DE LA CUESTA</t>
  </si>
  <si>
    <t>info@royal.ed.cr</t>
  </si>
  <si>
    <t>400 NORTE DE CONSTRUPLAZA</t>
  </si>
  <si>
    <t>info@colegiomiravalle.com</t>
  </si>
  <si>
    <t>GLORIA RITA CHINCHILLA MIRANDA</t>
  </si>
  <si>
    <t>info@centroeducativosantarita.com</t>
  </si>
  <si>
    <t>GUILLERMO CHANTO ARAYA</t>
  </si>
  <si>
    <t>cedhori@horizontes.cr</t>
  </si>
  <si>
    <t>JUANITA ALFARO RODRIGUEZ</t>
  </si>
  <si>
    <t>MONTUFAR</t>
  </si>
  <si>
    <t>COSTA RICA CHRISTIAN SCHOOL</t>
  </si>
  <si>
    <t>info@cesemillas.ed.cr</t>
  </si>
  <si>
    <t>ANDREA BOLAÑOS CRUZ</t>
  </si>
  <si>
    <t>educabc@msn.com</t>
  </si>
  <si>
    <t>BEATRIZ ARTAVIA CAVALLINI</t>
  </si>
  <si>
    <t>300 OESTE DEL CENTRO COMERCIAL PACO</t>
  </si>
  <si>
    <t>SANCTI SPIRITUS</t>
  </si>
  <si>
    <t>ROSEMARY MOYA LOBO</t>
  </si>
  <si>
    <t>sanctispiritus1997@hotmail.com</t>
  </si>
  <si>
    <t>CAFORE ANTONIO JOSE OBANDO CHAN</t>
  </si>
  <si>
    <t>NERY JUDITH OBANDO CHAN</t>
  </si>
  <si>
    <t>COMUNIDAD EDUCATIVA CRECER</t>
  </si>
  <si>
    <t>info@comunidadeducativacrecer.com</t>
  </si>
  <si>
    <t>MOUNT VIEW SCHOOL</t>
  </si>
  <si>
    <t>info@mountviewcr.com</t>
  </si>
  <si>
    <t>JAIRO JUAREZ RAMIREZ</t>
  </si>
  <si>
    <t>SAN RAMON TRES RIOS</t>
  </si>
  <si>
    <t>sunvalleyschool@hotmail.com</t>
  </si>
  <si>
    <t>NEW WAY HIGH SCHOOL</t>
  </si>
  <si>
    <t>SANTA ANA CENTRO</t>
  </si>
  <si>
    <t>info@nuevageneracion.ed.cr</t>
  </si>
  <si>
    <t>GENESIS CHRISTIAN SCHOOL</t>
  </si>
  <si>
    <t>COMPLEJO SAN BENEDICTO</t>
  </si>
  <si>
    <t>info@saintbenedict.ed.cr</t>
  </si>
  <si>
    <t>admin@berkeleycr.com</t>
  </si>
  <si>
    <t>AMIGOS DE MONTEVERDE</t>
  </si>
  <si>
    <t>MARIAN BAKER SCHOOL</t>
  </si>
  <si>
    <t>cemariamontserrat@gmail.com</t>
  </si>
  <si>
    <t>WESTLAND SCHOOL COLEGIO BILINGÜE</t>
  </si>
  <si>
    <t>info@westlandschool.com</t>
  </si>
  <si>
    <t>PASOS DE JUVENTUD CENTRO EDUCATIVO</t>
  </si>
  <si>
    <t>LA GRUTA</t>
  </si>
  <si>
    <t>info@pasosdejuventud.ed.cr</t>
  </si>
  <si>
    <t>ATLANTIC COLLEGE</t>
  </si>
  <si>
    <t>colegiosantateresa96@gmail.com</t>
  </si>
  <si>
    <t>PINARES</t>
  </si>
  <si>
    <t>LA PAZ COMMUNITY SCHOOL</t>
  </si>
  <si>
    <t>HANNIA ARAYA ABARCA</t>
  </si>
  <si>
    <t>LAKESIDE INTERNATIONAL SCHOOL</t>
  </si>
  <si>
    <t>GUADALUPE COREA CARAVACA</t>
  </si>
  <si>
    <t>info@lakesideschoolcr.com</t>
  </si>
  <si>
    <t>SAINT MARGARET SCHOOL</t>
  </si>
  <si>
    <t>CALLE FLORES</t>
  </si>
  <si>
    <t>bilingueile@gmail.com</t>
  </si>
  <si>
    <t>00040</t>
  </si>
  <si>
    <t>IRIBO</t>
  </si>
  <si>
    <t>MI PATRIA</t>
  </si>
  <si>
    <t>FORMATIVO NUEVO MILENIO</t>
  </si>
  <si>
    <t>GRAYMAR SCHOOL</t>
  </si>
  <si>
    <t>INSTITUTO DE EDUCACION INTEGRAL</t>
  </si>
  <si>
    <t>WASHINGTON SCHOOL</t>
  </si>
  <si>
    <t>NUESTRA SEÑORA DE GUADALUPE</t>
  </si>
  <si>
    <t>FUTURO VERDE</t>
  </si>
  <si>
    <t>LOMAS AYARCO SUR</t>
  </si>
  <si>
    <t>RESIDENCIAL LAS VEGAS</t>
  </si>
  <si>
    <t>LA ALBORADA</t>
  </si>
  <si>
    <t>colemipatria@yahoo.com</t>
  </si>
  <si>
    <t>ceisjsa@racsa.co.cr</t>
  </si>
  <si>
    <t>BERNARDITA SANCHEZ BOGANTES</t>
  </si>
  <si>
    <t>GERARDO MEJIAS BRENES</t>
  </si>
  <si>
    <t>icsanmarcos1661@yahoo.com</t>
  </si>
  <si>
    <t>ROWENA MCCOOK MCCOOK</t>
  </si>
  <si>
    <t>direccion@iei.ed.cr</t>
  </si>
  <si>
    <t>100 MTS ESTE SUPER LAS VEGAS</t>
  </si>
  <si>
    <t>colegiocatoliconsg@yahoo.com</t>
  </si>
  <si>
    <t>centroninostriunfadores@gmail.com</t>
  </si>
  <si>
    <t>CUADRO 1</t>
  </si>
  <si>
    <t>Proyectos de Educación Abierta</t>
  </si>
  <si>
    <t>Matrícula Inicial</t>
  </si>
  <si>
    <t>CUADRO 4</t>
  </si>
  <si>
    <t>Provincia / Cantón / Distrito</t>
  </si>
  <si>
    <t>CUADRO 5</t>
  </si>
  <si>
    <t>CUADRO 7</t>
  </si>
  <si>
    <t>CUADRO 11</t>
  </si>
  <si>
    <t>**</t>
  </si>
  <si>
    <t>CUADRO 12</t>
  </si>
  <si>
    <t>Administrativos **</t>
  </si>
  <si>
    <t>Técnicos-Docentes **</t>
  </si>
  <si>
    <t>Oficinista **</t>
  </si>
  <si>
    <t>Trabajador Calificado **</t>
  </si>
  <si>
    <t>Oficial de Seguridad **</t>
  </si>
  <si>
    <t>Auxiliar de Vigilancia **</t>
  </si>
  <si>
    <t>Conserje **</t>
  </si>
  <si>
    <t>Cocinera **</t>
  </si>
  <si>
    <t>Otros **</t>
  </si>
  <si>
    <t>Administ. y de Servicios Reubicados / Readecuados **</t>
  </si>
  <si>
    <t>Otro lugar (indicar debajo de esta línea)</t>
  </si>
  <si>
    <t>X</t>
  </si>
  <si>
    <t>Otros Laboratorios</t>
  </si>
  <si>
    <t>Soda</t>
  </si>
  <si>
    <t>DIREG</t>
  </si>
  <si>
    <t>ZONA</t>
  </si>
  <si>
    <t>TIPODIR</t>
  </si>
  <si>
    <t>NIVEL</t>
  </si>
  <si>
    <t>AZT</t>
  </si>
  <si>
    <t>AZH</t>
  </si>
  <si>
    <t>AZM</t>
  </si>
  <si>
    <t>AZ1T</t>
  </si>
  <si>
    <t>AZ1H</t>
  </si>
  <si>
    <t>AZ2T</t>
  </si>
  <si>
    <t>AZ2H</t>
  </si>
  <si>
    <t>AZ3T</t>
  </si>
  <si>
    <t>AZ3H</t>
  </si>
  <si>
    <t>AZ4T</t>
  </si>
  <si>
    <t>AZ4H</t>
  </si>
  <si>
    <t>AZ5T</t>
  </si>
  <si>
    <t>AZ5H</t>
  </si>
  <si>
    <t>AZ6T</t>
  </si>
  <si>
    <t>AZ6H</t>
  </si>
  <si>
    <t>0000</t>
  </si>
  <si>
    <t>CARIBBEAN SCHOOL</t>
  </si>
  <si>
    <t>VALLE DEL SOL</t>
  </si>
  <si>
    <t>AZ1M</t>
  </si>
  <si>
    <t>AZ2M</t>
  </si>
  <si>
    <t>AZ3M</t>
  </si>
  <si>
    <t>AZ4M</t>
  </si>
  <si>
    <t>AZ5M</t>
  </si>
  <si>
    <t>AZ6M</t>
  </si>
  <si>
    <t>Conducta</t>
  </si>
  <si>
    <t>Académica Diurna</t>
  </si>
  <si>
    <t>¿Los estudiantes de Académica Diurna con Discapacidad o Condición, reciben algún Servicio de Apoyo Educativo?</t>
  </si>
  <si>
    <t>¿Plan Nacional (o equivalente)?</t>
  </si>
  <si>
    <t>Marque con una "X" el tipo de estructura curricular de la Institución</t>
  </si>
  <si>
    <t/>
  </si>
  <si>
    <t>Académico-Orientación Tecnológica</t>
  </si>
  <si>
    <t>Académico-Valor Agregado</t>
  </si>
  <si>
    <t>Bachillerato Internacional</t>
  </si>
  <si>
    <t>Académico-Orientación Ambientalista</t>
  </si>
  <si>
    <t>III Ciclo y Diversificado Modelo</t>
  </si>
  <si>
    <t>CODTALLER</t>
  </si>
  <si>
    <t>ESPE</t>
  </si>
  <si>
    <t>INNOVACION</t>
  </si>
  <si>
    <t>TRADICION</t>
  </si>
  <si>
    <t>V_AGREGADO</t>
  </si>
  <si>
    <t>AMBIENTALI</t>
  </si>
  <si>
    <t>O_TECNOLOG</t>
  </si>
  <si>
    <t>BILINGUE</t>
  </si>
  <si>
    <t>INTERNACIO</t>
  </si>
  <si>
    <t>MODELO</t>
  </si>
  <si>
    <t>3957</t>
  </si>
  <si>
    <t>300 NORTE IGLESIA SANTA TERESITA</t>
  </si>
  <si>
    <t>3963</t>
  </si>
  <si>
    <t>3941</t>
  </si>
  <si>
    <t>LAGOS LINDORA</t>
  </si>
  <si>
    <t>info@stjude.ed.cr</t>
  </si>
  <si>
    <t>3942</t>
  </si>
  <si>
    <t>LICEO DEL SUR</t>
  </si>
  <si>
    <t>SOR ANA ELENA RAMIREZ QUIROS</t>
  </si>
  <si>
    <t>SEMINARIO</t>
  </si>
  <si>
    <t>250 OESTE DE LA BOMBA SHELL C.C. DEL SUR</t>
  </si>
  <si>
    <t>3938</t>
  </si>
  <si>
    <t>COLEGIO SUPERIOR DE SEÑORITAS</t>
  </si>
  <si>
    <t>CALLES 3 Y 5 AVENIDAS 4 Y 6</t>
  </si>
  <si>
    <t>00011</t>
  </si>
  <si>
    <t>3940</t>
  </si>
  <si>
    <t>LICEO DE COSTA RICA</t>
  </si>
  <si>
    <t>GONZALEZ VIQUEZ</t>
  </si>
  <si>
    <t>COSTADO OESTE DE PLAZA GONZALEZ VIQUEZ</t>
  </si>
  <si>
    <t>acastro@salesianodonbosco.ed.cr</t>
  </si>
  <si>
    <t>3970</t>
  </si>
  <si>
    <t>COLEGIO EL ROSARIO</t>
  </si>
  <si>
    <t>LUJAN</t>
  </si>
  <si>
    <t>3947</t>
  </si>
  <si>
    <t>LICEO RODRIGO FACIO BRENES</t>
  </si>
  <si>
    <t>COSTADO NOROESTE DEL PARQUE NICARAGUA</t>
  </si>
  <si>
    <t>3950</t>
  </si>
  <si>
    <t>LICEO DR. JOSE MARIA CASTRO MADRIZ</t>
  </si>
  <si>
    <t>FRENTE AL MINISTERIO DE SEGURIDAD PUBLICA</t>
  </si>
  <si>
    <t>3964</t>
  </si>
  <si>
    <t>00018</t>
  </si>
  <si>
    <t>BARRIO HOLANDA</t>
  </si>
  <si>
    <t>100 NORTE 100 OESTE DEL PLANTEL FUERZA Y LUZ</t>
  </si>
  <si>
    <t>00021</t>
  </si>
  <si>
    <t>3943</t>
  </si>
  <si>
    <t>LICEO LUIS DOBLES SEGREDA</t>
  </si>
  <si>
    <t>SABANA ESTE</t>
  </si>
  <si>
    <t>3968</t>
  </si>
  <si>
    <t>150 NORESTE DE LA VETERINARIA VEHASA</t>
  </si>
  <si>
    <t>3956</t>
  </si>
  <si>
    <t>LICEO EDGAR CERVANTES VILLALTA</t>
  </si>
  <si>
    <t>100 O,100 N, Y 100 O DE LA IGLESIA CATOLICA</t>
  </si>
  <si>
    <t>3948</t>
  </si>
  <si>
    <t>LICEO ROBERTO BRENES MESEN</t>
  </si>
  <si>
    <t>500 METROS NORTE DE LA BIBLIOTECA PUBLICA</t>
  </si>
  <si>
    <t>3986</t>
  </si>
  <si>
    <t>LICEO RICARDO FERNANDEZ GUARDIA</t>
  </si>
  <si>
    <t>3952</t>
  </si>
  <si>
    <t>5072</t>
  </si>
  <si>
    <t>COLEGIO DE GRAVILIAS</t>
  </si>
  <si>
    <t>200 MTS. ESTE DEL CUERPO DE BOMBEROS.</t>
  </si>
  <si>
    <t>3983</t>
  </si>
  <si>
    <t>LICEO DE CALLE FALLAS</t>
  </si>
  <si>
    <t>3984</t>
  </si>
  <si>
    <t>COLEGIO NUESTRA SEÑORA</t>
  </si>
  <si>
    <t>direccion@colegionuestra.com</t>
  </si>
  <si>
    <t>3982</t>
  </si>
  <si>
    <t>LICEO MONSEÑOR RUBEN ODIO HERRERA</t>
  </si>
  <si>
    <t>FRENTE AL CENTRO COMERCIAL DE DESAMPARADOS.</t>
  </si>
  <si>
    <t>3985</t>
  </si>
  <si>
    <t>LICEO SAN MIGUEL</t>
  </si>
  <si>
    <t>FRENTE AL DEPOSITO LAS GRAVILIAS.</t>
  </si>
  <si>
    <t>3988</t>
  </si>
  <si>
    <t>LICEO SAN ANTONIO</t>
  </si>
  <si>
    <t>200 ESTE TEMPLO CATOLICO SAN ANTONIO.</t>
  </si>
  <si>
    <t>3997</t>
  </si>
  <si>
    <t>LICEO DE PURISCAL</t>
  </si>
  <si>
    <t>COSTADO OESTE DEL NUEVO TEMPLO CATOLICO</t>
  </si>
  <si>
    <t>4057</t>
  </si>
  <si>
    <t>LICEO DE TARRAZU</t>
  </si>
  <si>
    <t>100 METROS NORTE DE COOPESANTOS R.L</t>
  </si>
  <si>
    <t>3989</t>
  </si>
  <si>
    <t>LICEO DE ASERRI</t>
  </si>
  <si>
    <t>EL COLEGIO</t>
  </si>
  <si>
    <t>100 OESTE DEL PALACIO MUNICIPAL.</t>
  </si>
  <si>
    <t>3991</t>
  </si>
  <si>
    <t>LICEO SAN GABRIEL DE ASERRI</t>
  </si>
  <si>
    <t>3996</t>
  </si>
  <si>
    <t>LICEO DIURNO CIUDAD COLON</t>
  </si>
  <si>
    <t>liceodiurnociudadcolon@gmail.com</t>
  </si>
  <si>
    <t>600 ESTE DE SERVICENTRO DELTA</t>
  </si>
  <si>
    <t>3966</t>
  </si>
  <si>
    <t>COLEGIO MADRE DEL DIVINO PASTOR</t>
  </si>
  <si>
    <t>EDTTH ALVARADO CASTRO</t>
  </si>
  <si>
    <t>cmdp.guadalupe@gmail.com</t>
  </si>
  <si>
    <t>3945</t>
  </si>
  <si>
    <t>LICEO NAPOLEON QUESADA SALAZAR</t>
  </si>
  <si>
    <t>GUISELLE BRENES GUTIERREZ</t>
  </si>
  <si>
    <t>200 ESTE DEL CENTRO COMERCIAL DE GUADALUPE</t>
  </si>
  <si>
    <t>800 SUR 2DA ENTRADA LOMAS DE AYARCO</t>
  </si>
  <si>
    <t>3955</t>
  </si>
  <si>
    <t>MOZOTAL</t>
  </si>
  <si>
    <t>200 SUR 200 ESTE DEL PALI DE IPIS</t>
  </si>
  <si>
    <t>3959</t>
  </si>
  <si>
    <t>LICEO SANTA ANA</t>
  </si>
  <si>
    <t>300 OESTE DE LA CRUZ ROJA</t>
  </si>
  <si>
    <t>3961</t>
  </si>
  <si>
    <t>LICEO ALAJUELITA</t>
  </si>
  <si>
    <t>300 SUR 300 OESTE DE SUPER ACAPULCO</t>
  </si>
  <si>
    <t>3953</t>
  </si>
  <si>
    <t>LICEO DE CORONADO</t>
  </si>
  <si>
    <t>300 SUR DEL PARQUE CENTRAL DE CORONADO</t>
  </si>
  <si>
    <t>3954</t>
  </si>
  <si>
    <t>300 SURESTE DE LA ESCUELA PUBLICA</t>
  </si>
  <si>
    <t>3946</t>
  </si>
  <si>
    <t>GONZALEZ TRUQUER</t>
  </si>
  <si>
    <t>200 OESTE 125 NORTE DE ANTOJITOS</t>
  </si>
  <si>
    <t>COLEGIO LINCOLN SCHOOL</t>
  </si>
  <si>
    <t>jjiron@lincoln.ed.cr</t>
  </si>
  <si>
    <t>DE PIZZA HUT 25 SUR Y 125 OESTE</t>
  </si>
  <si>
    <t>00064</t>
  </si>
  <si>
    <t>SONIA PASTRANA GALLARDO</t>
  </si>
  <si>
    <t>800 ESTE 200 SUR DEL WALTMART CURRIDABAT</t>
  </si>
  <si>
    <t>COLEGIO SAINT FRANCIS</t>
  </si>
  <si>
    <t>COSTADO NORTE DE CEMENTERIO DE MORAVIA</t>
  </si>
  <si>
    <t>3958</t>
  </si>
  <si>
    <t>LICEO LABORATORIO EMMA GAMBOA UCR</t>
  </si>
  <si>
    <t>100 ESTE DEL ANTIGUO COLEGIO LINCOLN</t>
  </si>
  <si>
    <t>3965</t>
  </si>
  <si>
    <t>COLEGIO MARIA INMACULADA</t>
  </si>
  <si>
    <t>75 NORTE DEL MEGASUPER</t>
  </si>
  <si>
    <t>3949</t>
  </si>
  <si>
    <t>LICEO DE MORAVIA</t>
  </si>
  <si>
    <t>VICTOR HUGO CHAVES QUIROS</t>
  </si>
  <si>
    <t>125 NORTE 25 ESTE DEL ESTADIO PIPILO UMAÑA</t>
  </si>
  <si>
    <t>COLEGIO CALASANZ</t>
  </si>
  <si>
    <t>COLEGIO METODISTA</t>
  </si>
  <si>
    <t>secundaria@metodista.ed.cr</t>
  </si>
  <si>
    <t>3944</t>
  </si>
  <si>
    <t>LICEO JOSE JOAQUIN VARGAS CALVO</t>
  </si>
  <si>
    <t>50 OESTE Y 150 NORTE DEL BANCO POPULAR</t>
  </si>
  <si>
    <t>3962</t>
  </si>
  <si>
    <t>COLEGIO CEDROS</t>
  </si>
  <si>
    <t>3939</t>
  </si>
  <si>
    <t>LICEO ANASTASIO ALFARO</t>
  </si>
  <si>
    <t>liceoanastasioalfaro@gmail.com</t>
  </si>
  <si>
    <t>150 OESTE DE LA ROTONDA DE LA BANDERA</t>
  </si>
  <si>
    <t>3960</t>
  </si>
  <si>
    <t>LICEO DE CURRIDABAT</t>
  </si>
  <si>
    <t>150 SUR DEL EBAIS DE HACIENDA VIEJA CURRIDABA</t>
  </si>
  <si>
    <t>3951</t>
  </si>
  <si>
    <t>LICEO FRANCO COSTARRICENSE</t>
  </si>
  <si>
    <t>5 KM DE LA CASA DE JOSE FIGUERES</t>
  </si>
  <si>
    <t>4009</t>
  </si>
  <si>
    <t>LICEO UNESCO</t>
  </si>
  <si>
    <t>UNESCO</t>
  </si>
  <si>
    <t>PROYECTO EDUCATIVO SURI</t>
  </si>
  <si>
    <t>info@proyectosuri.org</t>
  </si>
  <si>
    <t>COLEGIO MARISTA</t>
  </si>
  <si>
    <t>4023</t>
  </si>
  <si>
    <t>COLEGIO EL CARMEN</t>
  </si>
  <si>
    <t>QUINTA ENTRADA DE LOTES LLOBETH</t>
  </si>
  <si>
    <t>4028</t>
  </si>
  <si>
    <t>COLEGIO REDENTORISTA SAN ALFONSO</t>
  </si>
  <si>
    <t>700 MTS ESTE DE LA IGLESIA LA AGONIA</t>
  </si>
  <si>
    <t>4022</t>
  </si>
  <si>
    <t>COLEGIO GREGORIO JOSE RAMIREZ CASTRO</t>
  </si>
  <si>
    <t>400 M NORTE DEL PLANTEL DEL MOPT</t>
  </si>
  <si>
    <t>4018</t>
  </si>
  <si>
    <t>INSTITUTO DE ALAJUELA</t>
  </si>
  <si>
    <t>RICARDO BARRANTES RAMIREZ</t>
  </si>
  <si>
    <t>COSTADO NORTE DE PLAZA ACOSTA, ALAJELA CENTRO</t>
  </si>
  <si>
    <t>4024</t>
  </si>
  <si>
    <t>LICEO SAN JOSE</t>
  </si>
  <si>
    <t>CONTIGUO AL CEMENTERIO BARRIO SAN JOSE</t>
  </si>
  <si>
    <t>1.5 KM AL NORTE DE LOS TRIBUNALES DE LA CORTE</t>
  </si>
  <si>
    <t>4025</t>
  </si>
  <si>
    <t>LICEO OTILIO ULATE BLANCO</t>
  </si>
  <si>
    <t>SAINT PAUL COLLEGE</t>
  </si>
  <si>
    <t>infocol@saintpaul.ed.cr</t>
  </si>
  <si>
    <t>500 OESTE DE LA PANASONIC</t>
  </si>
  <si>
    <t>4027</t>
  </si>
  <si>
    <t>LICEO SAN RAFAEL</t>
  </si>
  <si>
    <t>FRENTE A PLAZA DE DEPORTES SAN RAFAEL</t>
  </si>
  <si>
    <t>4029</t>
  </si>
  <si>
    <t>LICEO DE TURRUCARES</t>
  </si>
  <si>
    <t>FRENTE AL SUPER EL ESTANCO, TURRUCARES CENTRO</t>
  </si>
  <si>
    <t>4037</t>
  </si>
  <si>
    <t>GERARDO SANDOVAL BENAVIDES</t>
  </si>
  <si>
    <t>4033</t>
  </si>
  <si>
    <t>COSTADO SUR DE LOS TRIBUNALES DE JUSTICIA</t>
  </si>
  <si>
    <t>4026</t>
  </si>
  <si>
    <t>225 MTS NORTE BANCO NACIONAL DE COSTA RICA</t>
  </si>
  <si>
    <t>4020</t>
  </si>
  <si>
    <t>LICEO LEON CORTES CASTRO</t>
  </si>
  <si>
    <t>250 NORESTE DE LOS TRIBUNALES DE JUSTICIA</t>
  </si>
  <si>
    <t>4019</t>
  </si>
  <si>
    <t>LICEO DE ATENAS MARTHA MIRAMBELL UMAÑA</t>
  </si>
  <si>
    <t>ROBERTH JIMENEZ HERNANDEZ</t>
  </si>
  <si>
    <t>300 MTS AL ESTE DE LA ESCUELA CENTRAL ATENAS</t>
  </si>
  <si>
    <t>4035</t>
  </si>
  <si>
    <t>COLEGIO DE NARANJO</t>
  </si>
  <si>
    <t>4034</t>
  </si>
  <si>
    <t>EXPERIMENTAL BILINGÜE DE PALMARES</t>
  </si>
  <si>
    <t>25 M. SUR DEL BANCO POPULAR</t>
  </si>
  <si>
    <t>4021</t>
  </si>
  <si>
    <t>LICEO DE POAS</t>
  </si>
  <si>
    <t>SEIDY JIMENEZ FONSECA</t>
  </si>
  <si>
    <t>600 MTS NORTE DEL TEMPLO CATOLICO</t>
  </si>
  <si>
    <t>4046</t>
  </si>
  <si>
    <t>4045</t>
  </si>
  <si>
    <t>LICEO DE SAN CARLOS</t>
  </si>
  <si>
    <t>1 KM NORTE DEL PARQUE DE CIUDAD QUESADA</t>
  </si>
  <si>
    <t>4040</t>
  </si>
  <si>
    <t>LICEO DE ALFARO RUIZ</t>
  </si>
  <si>
    <t>BARRIO CEMENTERIO</t>
  </si>
  <si>
    <t>FRENTE AL CEMENTERIO, ZARCERO</t>
  </si>
  <si>
    <t>4055</t>
  </si>
  <si>
    <t>COLEGIO SAGRADO CORAZON DE JESUS</t>
  </si>
  <si>
    <t>4056</t>
  </si>
  <si>
    <t>UNIDAD PEDAGOGICA RAFAEL HERNANDEZ MADRIZ</t>
  </si>
  <si>
    <t>100 O DE LA BIBLEOTECA PUBLICA-CARTAGO</t>
  </si>
  <si>
    <t>4050</t>
  </si>
  <si>
    <t>LICEO VICENTE LACHNER SANDOVAL</t>
  </si>
  <si>
    <t>4051</t>
  </si>
  <si>
    <t>COLEGIO SAN LUIS GONZAGA</t>
  </si>
  <si>
    <t>IGLESIAS</t>
  </si>
  <si>
    <t>FRANKLIN SOLANO REDONDO</t>
  </si>
  <si>
    <t>4054</t>
  </si>
  <si>
    <t>COLEGIO SERAFICO SAN FRANCISCO</t>
  </si>
  <si>
    <t>300 MTS. SUR Y 100 ESTE DE LA IGLESIA CATOLIC</t>
  </si>
  <si>
    <t>4052</t>
  </si>
  <si>
    <t>LICEO DE PARAISO</t>
  </si>
  <si>
    <t>4070</t>
  </si>
  <si>
    <t>LICEO HERNAN VARGAS RAMIREZ</t>
  </si>
  <si>
    <t>COSTADO SUR DEL JUZGADO</t>
  </si>
  <si>
    <t>4069</t>
  </si>
  <si>
    <t>COLEGIO DR. CLODOMIRO PICADO TWIGHT</t>
  </si>
  <si>
    <t>150 NORTE SEDE U.C.R., SEDE ATLANTICA</t>
  </si>
  <si>
    <t>4067</t>
  </si>
  <si>
    <t>LICEO BRAULIO CARRILLO COLINA</t>
  </si>
  <si>
    <t>4053</t>
  </si>
  <si>
    <t>COLEGIO ELIAS LEIVA QUIROS</t>
  </si>
  <si>
    <t>DE BURGER KING 300 M.ESTE Y 50 SUR.</t>
  </si>
  <si>
    <t>4085</t>
  </si>
  <si>
    <t>200 OESTE DEL HOSPITAL NUEVO.</t>
  </si>
  <si>
    <t>4078</t>
  </si>
  <si>
    <t>LICEO DE HEREDIA</t>
  </si>
  <si>
    <t>FRENTE AL BANCO POPULAR CALLES 3 Y AV.CENTRAL</t>
  </si>
  <si>
    <t>4089</t>
  </si>
  <si>
    <t>COLEGIO CLARETIANO</t>
  </si>
  <si>
    <t>colegio@claretiano.com</t>
  </si>
  <si>
    <t>100 METROS NORTE DE LA PARROQUIA</t>
  </si>
  <si>
    <t>4077</t>
  </si>
  <si>
    <t>5077</t>
  </si>
  <si>
    <t>DETRAS DE LA ESCUELA PEDRO MURILLO</t>
  </si>
  <si>
    <t>4081</t>
  </si>
  <si>
    <t>QUINTANA</t>
  </si>
  <si>
    <t>GUSTAVO RODRIGUEZ VARGAS</t>
  </si>
  <si>
    <t>recepcion@samagu.ed.cr</t>
  </si>
  <si>
    <t>250 NORTE DE LA BASILICA DE SANTO DOMINGO</t>
  </si>
  <si>
    <t>4084</t>
  </si>
  <si>
    <t>4088</t>
  </si>
  <si>
    <t>STO. DOMINGO EL ROBLE,STA. BARBARA DE HEREDIA</t>
  </si>
  <si>
    <t>4080</t>
  </si>
  <si>
    <t>LICEO ING. CARLOS PASCUA ZUÑIGA</t>
  </si>
  <si>
    <t>300 METROS SUR DEL TEMPLO CATOLICO</t>
  </si>
  <si>
    <t>4086</t>
  </si>
  <si>
    <t>LICEO DE SAN ISIDRO</t>
  </si>
  <si>
    <t>200 E.Y 200 N.DE LA IGLESIA CAT.FTE.DEP.LAGAR</t>
  </si>
  <si>
    <t>4087</t>
  </si>
  <si>
    <t>WAGNER ALFARO ROMÁN</t>
  </si>
  <si>
    <t>4079</t>
  </si>
  <si>
    <t>LICEO REGIONAL DE FLORES</t>
  </si>
  <si>
    <t>100 NORTE DEL BANCO NACIONAL</t>
  </si>
  <si>
    <t>4082</t>
  </si>
  <si>
    <t>LICEO MARIO VINDAS SALAZAR</t>
  </si>
  <si>
    <t>300 METROS NORTE DEL TEMPLO CATOLICO</t>
  </si>
  <si>
    <t>CARRET.INTER.,FRENTE A CENTRO PLAZA LIBERIA.</t>
  </si>
  <si>
    <t>4102</t>
  </si>
  <si>
    <t>INSTITUTO DE GUANACASTE</t>
  </si>
  <si>
    <t>FRENTE OFICINAS M.A.G.</t>
  </si>
  <si>
    <t>4103</t>
  </si>
  <si>
    <t>LICEO LABORATORIO DE LIBERIA</t>
  </si>
  <si>
    <t>1 KM. OESTE OFICINAS CENTRALES DEL ICE</t>
  </si>
  <si>
    <t>4105</t>
  </si>
  <si>
    <t>LICEO DE NICOYA</t>
  </si>
  <si>
    <t>4108</t>
  </si>
  <si>
    <t>4101</t>
  </si>
  <si>
    <t>COLEGIO DE BAGACES</t>
  </si>
  <si>
    <t>4111</t>
  </si>
  <si>
    <t>LICEO MIGUEL ARAYA VENEGAS</t>
  </si>
  <si>
    <t>FRENTE A LAS INSTALACIONES DEL POLIDEPORTIVO</t>
  </si>
  <si>
    <t>4110</t>
  </si>
  <si>
    <t>LICEO MAURILIO ALVARADO VARGAS</t>
  </si>
  <si>
    <t>75 METROS ESTE DE LA AGENCIA DEL ICE</t>
  </si>
  <si>
    <t>4100</t>
  </si>
  <si>
    <t>EXPERIMENTAL BILINGÜE DE LA CRUZ</t>
  </si>
  <si>
    <t>300 SUR ESTADIO MUNICIPAL</t>
  </si>
  <si>
    <t>COLEGIO MONSERRAT</t>
  </si>
  <si>
    <t>4116</t>
  </si>
  <si>
    <t>LICEO DIURNO JOSE MARTI</t>
  </si>
  <si>
    <t>COSTADO OESTE DE LA CATEDRAL</t>
  </si>
  <si>
    <t>4119</t>
  </si>
  <si>
    <t>LICEO CHACARITA</t>
  </si>
  <si>
    <t>GUILLERMO HIO SOTO</t>
  </si>
  <si>
    <t>00192</t>
  </si>
  <si>
    <t>4117</t>
  </si>
  <si>
    <t>LICEO DE ESPARZA</t>
  </si>
  <si>
    <t>4118</t>
  </si>
  <si>
    <t>LICEO DE MIRAMAR</t>
  </si>
  <si>
    <t>100 SUR 350 SURESTE DE LA MUSMANNI</t>
  </si>
  <si>
    <t>4125</t>
  </si>
  <si>
    <t>LICEO CIUDAD NEILY</t>
  </si>
  <si>
    <t>CIENTIFICO DE COSTA RICA DE PEREZ ZELEDON -UNA-</t>
  </si>
  <si>
    <t>ROBERTO MORA SANCHEZ</t>
  </si>
  <si>
    <t>1 KM NORTE DE LA ESCUELA SINAI</t>
  </si>
  <si>
    <t>4134</t>
  </si>
  <si>
    <t>liceonuevodelimon@gmail.com</t>
  </si>
  <si>
    <t>CONTIGUO A LA UNIVERSIDAD DE COSTA RICA.</t>
  </si>
  <si>
    <t>4133</t>
  </si>
  <si>
    <t>COLEGIO DE LIMON</t>
  </si>
  <si>
    <t>CERRO MOCHO</t>
  </si>
  <si>
    <t>LABORATORIO DEL C.U.P.</t>
  </si>
  <si>
    <t>colelaboratorio@hotmail.com</t>
  </si>
  <si>
    <t>4092</t>
  </si>
  <si>
    <t>LICEO LOS LAGOS</t>
  </si>
  <si>
    <t>4090</t>
  </si>
  <si>
    <t>LICEO SANTO DOMINGO</t>
  </si>
  <si>
    <t>DE LA CLINICA DR.HUGO FONS.50 N.200 O.Y 100 N</t>
  </si>
  <si>
    <t>1.5 KM NORTE DEL SERVICENTRO LA GALERA</t>
  </si>
  <si>
    <t>2.5 KM. AL NORTE DE LOS SEMAFOROS DE LIBERIA.</t>
  </si>
  <si>
    <t>4000</t>
  </si>
  <si>
    <t>COOPERATIVA</t>
  </si>
  <si>
    <t>1 KM SUR DEL CEMENTERIO GENERAL</t>
  </si>
  <si>
    <t>corporacionceees88@hotmail.com</t>
  </si>
  <si>
    <t>600 MTS NORTE DEL BANCO NACIONAL</t>
  </si>
  <si>
    <t>CORALES N°3</t>
  </si>
  <si>
    <t>CALLE LA CRUZ</t>
  </si>
  <si>
    <t>50E Y 15 N DE FACULTAD DE AGRONOMIA DE LA UCR</t>
  </si>
  <si>
    <t>4120</t>
  </si>
  <si>
    <t>LICEO ANTONIO OBANDO CHAN</t>
  </si>
  <si>
    <t>JAIRO TAYLOR MATARRITA</t>
  </si>
  <si>
    <t>CONTIGUO A CLINICA ROBERTO SOTO MAYOR</t>
  </si>
  <si>
    <t>800 MTS. SUR DE AMANCO, BOSQUES DE DOÑA ROSA</t>
  </si>
  <si>
    <t>CONTIGUO AL O.I.J, LIMÓN CENTRO</t>
  </si>
  <si>
    <t>CIENTIFICO DE COSTA RICA DE CARTAGO -TEC-</t>
  </si>
  <si>
    <t>CAMPUS DEL ITCR</t>
  </si>
  <si>
    <t>JUSTO OROZCO ALVAREZ</t>
  </si>
  <si>
    <t>idirlo@gmail.com</t>
  </si>
  <si>
    <t>350 METROS DEL LICEO ROBERTO BRENES MESEN</t>
  </si>
  <si>
    <t>3975</t>
  </si>
  <si>
    <t>UNIDAD PEDAGOGICA JOSE RAFAEL ARAYA ROJAS</t>
  </si>
  <si>
    <t>4141</t>
  </si>
  <si>
    <t>LICEO DE CARIARI</t>
  </si>
  <si>
    <t>XINIA QUESADA CAMPOS</t>
  </si>
  <si>
    <t>CARIARI,GUARDIA RURAL 1,2 KMS NORTE.</t>
  </si>
  <si>
    <t>COLEGIO BILINGÜE SAN RAMON</t>
  </si>
  <si>
    <t>2.5 K OESTE DE LA SEDE DE OCCIDENTE DE LA UCR</t>
  </si>
  <si>
    <t>4036</t>
  </si>
  <si>
    <t>COLEGIO VALLE AZUL</t>
  </si>
  <si>
    <t>CIENTIFICO DE COSTA RICA DE SAN RAMON -UCR-</t>
  </si>
  <si>
    <t>colegiocientifico.sr@gmail.com</t>
  </si>
  <si>
    <t>1 K. OESTE DEL BANCO NAL. SEDE OCCIDENTE UCR</t>
  </si>
  <si>
    <t>ILPPAL</t>
  </si>
  <si>
    <t>COLEGIO LAS AMERICAS</t>
  </si>
  <si>
    <t>200 ESTE DE LA UNIVERSIDAD CATOLICA</t>
  </si>
  <si>
    <t>00248</t>
  </si>
  <si>
    <t>400 ESTE DE LA UNIVERSIDAD LATINA</t>
  </si>
  <si>
    <t>4010</t>
  </si>
  <si>
    <t>LICEO SAN PEDRO</t>
  </si>
  <si>
    <t>EDGAR ROJAS CESPEDES</t>
  </si>
  <si>
    <t>100 METROS SUR DE LA ESCUELA SAN PEDRO</t>
  </si>
  <si>
    <t>4093</t>
  </si>
  <si>
    <t>COLEGIO LA AURORA</t>
  </si>
  <si>
    <t>CONTIGUO A LA IGLESIA CATOLICA LA AURORA</t>
  </si>
  <si>
    <t>4001</t>
  </si>
  <si>
    <t>4003</t>
  </si>
  <si>
    <t>LICEO EL CARMEN</t>
  </si>
  <si>
    <t>2,5 KM.NORESTE DE LA ESC.JUAN RAFAEL MORA P.</t>
  </si>
  <si>
    <t>4002</t>
  </si>
  <si>
    <t>LICEO POTRERO GRANDE</t>
  </si>
  <si>
    <t>300 SUROESTE DE LA IGLESIA C.DE POTRERO GRAND</t>
  </si>
  <si>
    <t>4030</t>
  </si>
  <si>
    <t>ALI ANTONIO SIBAJA SIBAJA</t>
  </si>
  <si>
    <t>COSTADO NOROESTE DE LA PLAZA DE FUTBOL</t>
  </si>
  <si>
    <t>B° LA COLINA</t>
  </si>
  <si>
    <t>CARRETARA A SAOPIN, FRENTE A INSTAL. LA UNED.</t>
  </si>
  <si>
    <t>4132</t>
  </si>
  <si>
    <t>LICEO MARYLAND</t>
  </si>
  <si>
    <t>LA RECTA DE IMPERIO</t>
  </si>
  <si>
    <t>RECTA DE IMPERIO, SIQUIRRES</t>
  </si>
  <si>
    <t>4135</t>
  </si>
  <si>
    <t>AL FRENTE RADIO VOZ DE TALAMANCA, AMUBRI TAL.</t>
  </si>
  <si>
    <t>4066</t>
  </si>
  <si>
    <t>EL PEDEGRAL</t>
  </si>
  <si>
    <t>4058</t>
  </si>
  <si>
    <t>LICEO DE COT</t>
  </si>
  <si>
    <t>4151</t>
  </si>
  <si>
    <t>75 M NORESTE DE LA ENTRADA A LA CAMELIAS</t>
  </si>
  <si>
    <t>EMILCE CASTILLO OBANDO</t>
  </si>
  <si>
    <t>3971</t>
  </si>
  <si>
    <t>3990</t>
  </si>
  <si>
    <t>LICEO DE FRAILES</t>
  </si>
  <si>
    <t>400 MTS.OESTE DEL TEMPLO CATOLICO DE FRAILES.</t>
  </si>
  <si>
    <t>CIENTIFICO DE COSTA RICA DE GUANACASTE -UCR-</t>
  </si>
  <si>
    <t>GIOVANNI ARRIETA MURILLO</t>
  </si>
  <si>
    <t>cccguanacaste@gmail.com</t>
  </si>
  <si>
    <t>4113</t>
  </si>
  <si>
    <t>LICEO DE COLORADO</t>
  </si>
  <si>
    <t>2 KM OESTE DE LA CRUZ ROJA</t>
  </si>
  <si>
    <t>300 OESTE DEL CEMENTERIO GENERAL DE OROTINA</t>
  </si>
  <si>
    <t>DE LA "Y" DESAMPARADOS 200 SUR Y 200 OESTE</t>
  </si>
  <si>
    <t>COLEGIO ISAAC MARTIN</t>
  </si>
  <si>
    <t>DEL LICEO EMMA GAMBOA 500 NORTE Y 125 OESTE</t>
  </si>
  <si>
    <t>4095</t>
  </si>
  <si>
    <t>LICEO LA VIRGEN</t>
  </si>
  <si>
    <t>800 MTS SUR 350 OESTE CLINICA SEGURO SOCIAL</t>
  </si>
  <si>
    <t>4076</t>
  </si>
  <si>
    <t>GILBERTH GONZALEZ GUERRERO</t>
  </si>
  <si>
    <t>400 METROS NORTE DE LA ENTRADA A ROBLE ALTO</t>
  </si>
  <si>
    <t>4123</t>
  </si>
  <si>
    <t>800 M DEL SUPERMERC SUP COMTE CARR A GOLFITO</t>
  </si>
  <si>
    <t>4071</t>
  </si>
  <si>
    <t>LICEO TUCURRIQUE</t>
  </si>
  <si>
    <t>LA FLORA</t>
  </si>
  <si>
    <t>CESAR PORTUGUEZ SANABRIA</t>
  </si>
  <si>
    <t>liceo.tucurrique@gmail.com</t>
  </si>
  <si>
    <t>300 ESTE CENTRO AGRICOLA CANTONAL</t>
  </si>
  <si>
    <t>4060</t>
  </si>
  <si>
    <t>COLEGIO SAN FRANCISCO</t>
  </si>
  <si>
    <t>4121</t>
  </si>
  <si>
    <t>LICEO DE CHOMES</t>
  </si>
  <si>
    <t>COLEGIO SANTA TERESA</t>
  </si>
  <si>
    <t>600 SUR DE LA ESCUELA LIDER PACTO DEL JOCOTE</t>
  </si>
  <si>
    <t>4065</t>
  </si>
  <si>
    <t>COLEGIO ALEJANDRO QUESADA R.</t>
  </si>
  <si>
    <t>1KM NOROESTE DE LA AGENCIA POLICIAL</t>
  </si>
  <si>
    <t>LEONARDO RIVERA ASTUA</t>
  </si>
  <si>
    <t>4122</t>
  </si>
  <si>
    <t>LICEO DE CHIRA</t>
  </si>
  <si>
    <t>JICARO</t>
  </si>
  <si>
    <t>3973</t>
  </si>
  <si>
    <t>ARMANDO CHACON MORA</t>
  </si>
  <si>
    <t>200 ESTE 75 NORTE DE LA PLAZA DE DEPORTES</t>
  </si>
  <si>
    <t>DE PLAZA LINCOLN 100 ESTE 600 NORTE Y 75 OEST</t>
  </si>
  <si>
    <t>4131</t>
  </si>
  <si>
    <t>MATINA CENTRO</t>
  </si>
  <si>
    <t>IRIS BARAHONA SALAZAR</t>
  </si>
  <si>
    <t>4124</t>
  </si>
  <si>
    <t>LICEO PACIFICO SUR</t>
  </si>
  <si>
    <t>100 M.NORTE DE LA MUNICIPALIDAD DE OSA</t>
  </si>
  <si>
    <t>3972</t>
  </si>
  <si>
    <t>4129</t>
  </si>
  <si>
    <t>DEL COMANDO FRONTERIZO 300 M. SUR Y 150 OESTE</t>
  </si>
  <si>
    <t>4128</t>
  </si>
  <si>
    <t>4225</t>
  </si>
  <si>
    <t>CRUZ ROJA</t>
  </si>
  <si>
    <t>50 METROS SUR DE LA CRUZ ROJA</t>
  </si>
  <si>
    <t>4127</t>
  </si>
  <si>
    <t>EXPERIMENTAL BILINGÜE DE AGUA BUENA</t>
  </si>
  <si>
    <t>COLEGIO ENRIQUE MALAVASSI VARGAS</t>
  </si>
  <si>
    <t>emvacolegio@ice.co.cr</t>
  </si>
  <si>
    <t>600 ESTE DEL PALI</t>
  </si>
  <si>
    <t>4142</t>
  </si>
  <si>
    <t>1 KM. NORTE,175 E. DEL CEMENTERIO DE GUAPILES</t>
  </si>
  <si>
    <t>CIENTIFICO DE COSTA RICA DE SAN CARLOS -TEC-</t>
  </si>
  <si>
    <t>INSTALACIONES DEL ITCR SAN CARLOS</t>
  </si>
  <si>
    <t>4150</t>
  </si>
  <si>
    <t>LICEO BIJAGUA</t>
  </si>
  <si>
    <t>ASENTAMIENTO CARLOS VARGAS</t>
  </si>
  <si>
    <t>DEL LA VETERINRIA BIJAGUA 200M SUR.</t>
  </si>
  <si>
    <t>COLEGIO ANGLOAMERICANO</t>
  </si>
  <si>
    <t>1 KM NORTE DE LA SUBESTACION DEL ICE</t>
  </si>
  <si>
    <t>4007</t>
  </si>
  <si>
    <t>JUAN CARLOS QUESADA QUESADA</t>
  </si>
  <si>
    <t>colegiolaasuncionpz@yahoo.es</t>
  </si>
  <si>
    <t>4008</t>
  </si>
  <si>
    <t>150 OESTE DE RITEVE PALMARES DE PZ</t>
  </si>
  <si>
    <t>4107</t>
  </si>
  <si>
    <t>EXPERIMENTAL BILINGÜE DE SANTA CRUZ</t>
  </si>
  <si>
    <t>200 NORTE DE LA  FABRICA PANASONIC</t>
  </si>
  <si>
    <t>VILASECA</t>
  </si>
  <si>
    <t>500 M.OESTE Y 100 NORTE DE LA MUNICIPALIDAD.</t>
  </si>
  <si>
    <t>900 NORTE DEL PALACIO DE LOS DEPORTES</t>
  </si>
  <si>
    <t>SAINT GEORGE HIGH SCHOOL</t>
  </si>
  <si>
    <t>saintgeorgesa@hotmail.com</t>
  </si>
  <si>
    <t>125 SUR DEL PARQUEO DE LA UNIVERSAL</t>
  </si>
  <si>
    <t>MIRAVALLE</t>
  </si>
  <si>
    <t>400 M.OESTE DEL SERVICENTRO MOIN,CAR. SAOPIN</t>
  </si>
  <si>
    <t>3993</t>
  </si>
  <si>
    <t>LICEO DE SABANILLAS</t>
  </si>
  <si>
    <t>4114</t>
  </si>
  <si>
    <t>EXPERIMENTAL BILINGÜE DE NUEVO ARENAL</t>
  </si>
  <si>
    <t>300 ESTE INSTALACIONES DEL PLANTEL DE RECOPE</t>
  </si>
  <si>
    <t>4072</t>
  </si>
  <si>
    <t>LICEO SANTA TERESITA</t>
  </si>
  <si>
    <t>MARIA ISABEL SANCHEZ MONTOYA</t>
  </si>
  <si>
    <t>800 NORTE DEL EBAIS</t>
  </si>
  <si>
    <t>800 MTS.S.DE TRIBUNALES DE JUSTICIA,GUAPILES.</t>
  </si>
  <si>
    <t>4145</t>
  </si>
  <si>
    <t>LICEO LA RITA</t>
  </si>
  <si>
    <t>ROLANDO CRUZ CASTRO</t>
  </si>
  <si>
    <t>200 MT.NORTE Y 600 O.DE LA PARROQUIA STA.RITA</t>
  </si>
  <si>
    <t>4138</t>
  </si>
  <si>
    <t>BARRIO LA UNION</t>
  </si>
  <si>
    <t>1 KM. SUROESTE DEL SERVICENTRO TICABAN.</t>
  </si>
  <si>
    <t>4099</t>
  </si>
  <si>
    <t>COLEGIO SANTA CECILIA</t>
  </si>
  <si>
    <t>LOS MILLONARIOS</t>
  </si>
  <si>
    <t>SUSANA RUIZ RUIZ</t>
  </si>
  <si>
    <t>600 ESTE DE ESCUELA SANTA CECILIA</t>
  </si>
  <si>
    <t>4042</t>
  </si>
  <si>
    <t>LICEO DE FLORENCIA</t>
  </si>
  <si>
    <t>4041</t>
  </si>
  <si>
    <t>LICEO SUCRE</t>
  </si>
  <si>
    <t>JORGE ANTONIO ALVARADO SAENZ</t>
  </si>
  <si>
    <t>150 METROS SUR DEL SALON COMUNAL</t>
  </si>
  <si>
    <t>EAST SIDE HIGH SCHOOL</t>
  </si>
  <si>
    <t>COSTADO ESTE  HOGAR ANCIANOS SANTIAGO CRESPO</t>
  </si>
  <si>
    <t>4012</t>
  </si>
  <si>
    <t>LICEO CARRILLOS DE POAS</t>
  </si>
  <si>
    <t>3998</t>
  </si>
  <si>
    <t>COLEGIO DE TABARCIA</t>
  </si>
  <si>
    <t>4104</t>
  </si>
  <si>
    <t>COLEGIO BOCAS DE NOSARA</t>
  </si>
  <si>
    <t>FRENTE A LA SODA PORCHOTES</t>
  </si>
  <si>
    <t>4148</t>
  </si>
  <si>
    <t>LICEO AGUAS CLARAS</t>
  </si>
  <si>
    <t>LORENA GUIDO ZAMORA</t>
  </si>
  <si>
    <t>200 M NORTE DE LA ENTRADA DE RIO NEGRO</t>
  </si>
  <si>
    <t>4149</t>
  </si>
  <si>
    <t>LICEO KATIRA</t>
  </si>
  <si>
    <t>ALEXIS HERRERA LOPEZ</t>
  </si>
  <si>
    <t>FRENTE AL CAMPO FERIAL DE KATIRA</t>
  </si>
  <si>
    <t>4147</t>
  </si>
  <si>
    <t>LICEO BRASILIA</t>
  </si>
  <si>
    <t>800M OESTE DE LA ESCUELA DE BRASILIA</t>
  </si>
  <si>
    <t>3979</t>
  </si>
  <si>
    <t>LICEO TEODORO PICADO</t>
  </si>
  <si>
    <t>300 OESTE 50 SUR DE RITEVE</t>
  </si>
  <si>
    <t>3977</t>
  </si>
  <si>
    <t>150 SURESTE DE COOPECORONADO</t>
  </si>
  <si>
    <t>300 NORTE 125 ESTE DEL PARQUE LA AMISTAD</t>
  </si>
  <si>
    <t>00389</t>
  </si>
  <si>
    <t>ALTO DE GUADALUPE</t>
  </si>
  <si>
    <t>JORGE FERNANDEZ SANDI</t>
  </si>
  <si>
    <t>300 ESTE EL CRUCE DE MORAVIA</t>
  </si>
  <si>
    <t>CAMPESTRE</t>
  </si>
  <si>
    <t>75 OESTE DE URB MALAGA</t>
  </si>
  <si>
    <t>BILINGÜE JORGE VOLIO JIMENEZ</t>
  </si>
  <si>
    <t>info.jorgevolio@gmail.com</t>
  </si>
  <si>
    <t>4061</t>
  </si>
  <si>
    <t>LICEO DE CORRALILLO</t>
  </si>
  <si>
    <t>4064</t>
  </si>
  <si>
    <t>COLEGIO FRANCISCA CARRASCO JIMENEZ</t>
  </si>
  <si>
    <t>200 MTS ESTE OFICINAS DEL PODER JUDICIAL</t>
  </si>
  <si>
    <t>4004</t>
  </si>
  <si>
    <t>LICEO BORUCA</t>
  </si>
  <si>
    <t>200 MTS.ESTE DE LA PLAZA DE DEPORTES</t>
  </si>
  <si>
    <t>SAINT PETERS HIGH SCHOOL</t>
  </si>
  <si>
    <t>LA ITABA</t>
  </si>
  <si>
    <t>COLEGIO VICTORIA SCHOOL</t>
  </si>
  <si>
    <t>info@colegivictoria.com</t>
  </si>
  <si>
    <t>4144</t>
  </si>
  <si>
    <t>4143</t>
  </si>
  <si>
    <t>BARRIO FRUTA PAN</t>
  </si>
  <si>
    <t>IVÁN MORA SIEZAR</t>
  </si>
  <si>
    <t>2 KM.O.DE LA ESC.DR.LUIS SHAPIRO,VILLAFRANCA.</t>
  </si>
  <si>
    <t>4059</t>
  </si>
  <si>
    <t>LICEO SAN DIEGO</t>
  </si>
  <si>
    <t>4047</t>
  </si>
  <si>
    <t>LICEO CHACHAGUA</t>
  </si>
  <si>
    <t>LIGIA SOLANO DELGADO</t>
  </si>
  <si>
    <t>200 M. NOROESTE DEL EBAIS DE CHACHAGUA</t>
  </si>
  <si>
    <t>4043</t>
  </si>
  <si>
    <t>LICEO PAVON</t>
  </si>
  <si>
    <t>400 METROS OESTE DE LA GASOLINERA EL PAVON</t>
  </si>
  <si>
    <t>4015</t>
  </si>
  <si>
    <t>COLEGIO AMBIENTALISTA EL ROBLE</t>
  </si>
  <si>
    <t>EL ROBLE DE ALAJUELA</t>
  </si>
  <si>
    <t>4013</t>
  </si>
  <si>
    <t>COLEGIO TUETAL NORTE</t>
  </si>
  <si>
    <t>CRISTINA SOLANO CORDERO</t>
  </si>
  <si>
    <t>4014</t>
  </si>
  <si>
    <t>LICEO SAN ROQUE</t>
  </si>
  <si>
    <t>100 M SUR DE LA PLAZA DE DEPORTES</t>
  </si>
  <si>
    <t>4112</t>
  </si>
  <si>
    <t>COLEGIO SAN RAFAEL</t>
  </si>
  <si>
    <t>DIAGONAL A LA PLAZA DE FUTBOL</t>
  </si>
  <si>
    <t>5079</t>
  </si>
  <si>
    <t>LICEO VILLARREAL</t>
  </si>
  <si>
    <t>800 MTS OESTE DEL EBAIS</t>
  </si>
  <si>
    <t>400 METROS NORTE DE LA PARROQUIA,MANO IZQ.</t>
  </si>
  <si>
    <t>4137</t>
  </si>
  <si>
    <t>4032</t>
  </si>
  <si>
    <t>LICEO NUESTRA SEÑORA DE LOS ANGELES</t>
  </si>
  <si>
    <t>DANNY PERALTA CRUZ</t>
  </si>
  <si>
    <t>500 M. NORTE Y 300 OESTE DEL POLIDEPORTIVO</t>
  </si>
  <si>
    <t>4106</t>
  </si>
  <si>
    <t>LICEO SAN FRANCISCO DE COYOTE</t>
  </si>
  <si>
    <t>600 NOROESTE DEL RANCHO LOMA CLARA</t>
  </si>
  <si>
    <t>100 OESTE Y 100 NORTE DEL EBAIS</t>
  </si>
  <si>
    <t>3978</t>
  </si>
  <si>
    <t>ROLANDO SOLANO MORALES</t>
  </si>
  <si>
    <t>ANGEL HIGH SCHOOL</t>
  </si>
  <si>
    <t>ANA ISABEL LOPEZ VARGAS</t>
  </si>
  <si>
    <t>4044</t>
  </si>
  <si>
    <t>LICEO SANTA RITA</t>
  </si>
  <si>
    <t>GRUSHENSKA CASTILLO FERNANDEZ</t>
  </si>
  <si>
    <t>4011</t>
  </si>
  <si>
    <t>LICEO DE SANTA GERTRUDIS</t>
  </si>
  <si>
    <t>LUIS DIEGO CHACON MARTINEZ</t>
  </si>
  <si>
    <t>200 MTS SURESTE DE LA IGLESIA CATOLICA</t>
  </si>
  <si>
    <t>GEMMA NAVARRO FALLAS</t>
  </si>
  <si>
    <t>cbenjaminfraklin@gmail.com</t>
  </si>
  <si>
    <t>100 MTS NORESTE PUENTE SOBRE RIO CIRUELAS</t>
  </si>
  <si>
    <t>4098</t>
  </si>
  <si>
    <t>COLEGIO CAÑAS DULCES</t>
  </si>
  <si>
    <t>B.LA PLAZA,ESQ.NE.DE PLAZA DEPORTES 600 NORTE</t>
  </si>
  <si>
    <t>400 METROS ESTE DEL BANCO NACIONAL</t>
  </si>
  <si>
    <t>4126</t>
  </si>
  <si>
    <t>CAMBOYA</t>
  </si>
  <si>
    <t>DEL CTP DE JACO 200 M S Y 100 M E B. CAMBOYA</t>
  </si>
  <si>
    <t>4038</t>
  </si>
  <si>
    <t>EXPERIMENTAL BILINGÜE DE NARANJO</t>
  </si>
  <si>
    <t>4130</t>
  </si>
  <si>
    <t>FRENTE AL CEMENTERIO EL CAIRO, SIQUIRRES</t>
  </si>
  <si>
    <t>25 METROS SUR DEL HOGAR DE ANCIANOS</t>
  </si>
  <si>
    <t>200 NORTE DE LA IGLESIA CATOLICA</t>
  </si>
  <si>
    <t>300 MTS OESTE Y 200 MTS SUR DEL COLYPRO</t>
  </si>
  <si>
    <t>3999</t>
  </si>
  <si>
    <t>B° SINAI</t>
  </si>
  <si>
    <t>150 ESTE DE LA UNIVERSIDAD NACIONAL</t>
  </si>
  <si>
    <t>ACADEMIA DE LA TECNOLOGIA MODERNA</t>
  </si>
  <si>
    <t>200 OESTE Y 75 NORTE DEL CLUB LA GLORIA</t>
  </si>
  <si>
    <t>4031</t>
  </si>
  <si>
    <t>LICEO DE TAMBOR</t>
  </si>
  <si>
    <t>225 SUR DE LA PLAZA DE DEPORTES</t>
  </si>
  <si>
    <t>COLEGIO SAN RAFAEL-ATENAS</t>
  </si>
  <si>
    <t>JOSE JOAQUIN RIVERA CHACON</t>
  </si>
  <si>
    <t>colegiosanrafaelatenas@gmail.com</t>
  </si>
  <si>
    <t>50 MTS OESTE Y 100 MTS SUR MULTIFRIO</t>
  </si>
  <si>
    <t>LIGIA Mª AGUILAR GRANADOS</t>
  </si>
  <si>
    <t>1 KM NORTE DEL PARQUE DE SAN RAFAEL</t>
  </si>
  <si>
    <t>4075</t>
  </si>
  <si>
    <t>COLEGIO AMBIENTALISTA DE PEJIBAYE</t>
  </si>
  <si>
    <t>50 NORTE DEL ANTIGUO BENEFICIO DE CAFE</t>
  </si>
  <si>
    <t>4073</t>
  </si>
  <si>
    <t>EXPERIMENTAL BILINGÜE DE TURRIALBA</t>
  </si>
  <si>
    <t>SEIDY NAJERA NUÑEZ</t>
  </si>
  <si>
    <t>4074</t>
  </si>
  <si>
    <t>LICEO TRES EQUIS</t>
  </si>
  <si>
    <t>200 SUR EMPACADORA CAR DEL ATLANTICO</t>
  </si>
  <si>
    <t>FERNANDO GRAY ROGERS</t>
  </si>
  <si>
    <t>5536</t>
  </si>
  <si>
    <t>COLEGIO BARRA DE COLORADO</t>
  </si>
  <si>
    <t>5176</t>
  </si>
  <si>
    <t>LICEO RURAL BARRA DE TORTUGUERO</t>
  </si>
  <si>
    <t>BARRA TORTUGUERO</t>
  </si>
  <si>
    <t>75 ESTE DE CABINAS MARISCAR</t>
  </si>
  <si>
    <t>5316</t>
  </si>
  <si>
    <t>ROMMEL GUEVARA SALAS</t>
  </si>
  <si>
    <t>5171</t>
  </si>
  <si>
    <t>5142</t>
  </si>
  <si>
    <t>LICEO RURAL SAN JORGE</t>
  </si>
  <si>
    <t>700 METROS SUR DE LA PLAZA DE DEPORTES</t>
  </si>
  <si>
    <t>5144</t>
  </si>
  <si>
    <t>PONGOLA</t>
  </si>
  <si>
    <t>5146</t>
  </si>
  <si>
    <t>LICEO RURAL EL CONCHO</t>
  </si>
  <si>
    <t>200 METROS SUR DEL SALON COMUNAL</t>
  </si>
  <si>
    <t>5156</t>
  </si>
  <si>
    <t>LICEO RURAL GRANO DE ORO</t>
  </si>
  <si>
    <t>5133</t>
  </si>
  <si>
    <t>100 NORTE DE LA ESCUELA IGNACIO DURAN VEGA</t>
  </si>
  <si>
    <t>5300</t>
  </si>
  <si>
    <t>LICEO LAS ESPERANZAS</t>
  </si>
  <si>
    <t>5073</t>
  </si>
  <si>
    <t>LICEO LA UVITA</t>
  </si>
  <si>
    <t>UVITA</t>
  </si>
  <si>
    <t>5299</t>
  </si>
  <si>
    <t>GRACE BRENES CAMPOS</t>
  </si>
  <si>
    <t>200 METROS NORTE DE LA IGLESIA CATOLICA</t>
  </si>
  <si>
    <t>5134</t>
  </si>
  <si>
    <t>6 KM AL NORTE DE LA BOMBA DEL BRUJO</t>
  </si>
  <si>
    <t>5136</t>
  </si>
  <si>
    <t>5163</t>
  </si>
  <si>
    <t>5162</t>
  </si>
  <si>
    <t>5145</t>
  </si>
  <si>
    <t>LICEO RURAL SAN JOAQUIN DE CUTRIS</t>
  </si>
  <si>
    <t>5167</t>
  </si>
  <si>
    <t>AGUJITAS DE DRAKE</t>
  </si>
  <si>
    <t>5159</t>
  </si>
  <si>
    <t>LICEO SAMARA</t>
  </si>
  <si>
    <t>COSTADO NORTE HOTEL VILLAS PLAYA SAMARA</t>
  </si>
  <si>
    <t>5152</t>
  </si>
  <si>
    <t>5303</t>
  </si>
  <si>
    <t>LICEO CAPITAN MANUEL QUIROS</t>
  </si>
  <si>
    <t>ELMER VILLALOBOS GONZALEZ</t>
  </si>
  <si>
    <t>100 METROS NOROESTE DE LA ESCUELA</t>
  </si>
  <si>
    <t>4913</t>
  </si>
  <si>
    <t>LICEO DOS RIOS</t>
  </si>
  <si>
    <t>5166</t>
  </si>
  <si>
    <t>LICEO FINCA ALAJUELA</t>
  </si>
  <si>
    <t>1.5 K.DE LA BOMBA DE CHACARIT.CAMINO A PTO J.</t>
  </si>
  <si>
    <t>cmdpcoloradito99@yahoo.es</t>
  </si>
  <si>
    <t>KM. 342 CARRETERA INTERAMERICANA SUR</t>
  </si>
  <si>
    <t>4139</t>
  </si>
  <si>
    <t>LICEO DE POCORA</t>
  </si>
  <si>
    <t>MARVIN RODRÍGUEZ LEÓN</t>
  </si>
  <si>
    <t>COSTADO ESTE PLAZA DE DEPORTES,POCORA CENTRO.</t>
  </si>
  <si>
    <t>4140</t>
  </si>
  <si>
    <t>LICEO AMBIENTALISTA LLANO BONITO</t>
  </si>
  <si>
    <t>CARLOS RODRIGUEZ GUZMAN</t>
  </si>
  <si>
    <t>CARMEN IDA INFANTE MELENDEZ</t>
  </si>
  <si>
    <t>FRENTE A LAS BOLETERIAS DEL ESTADIO SAPRISSA</t>
  </si>
  <si>
    <t>COLEGIO SAN ENRIQUE DE OSSO</t>
  </si>
  <si>
    <t>5170</t>
  </si>
  <si>
    <t>LICEO RURAL BARRA PARISMINA</t>
  </si>
  <si>
    <t>5173</t>
  </si>
  <si>
    <t>5683</t>
  </si>
  <si>
    <t>CONTIGUO A LA PLAZA DE DEPORTES, CUBA CREEK</t>
  </si>
  <si>
    <t>1.5 KM NORTE DEL HOSPITAL DE SAN CARLOS</t>
  </si>
  <si>
    <t>5532</t>
  </si>
  <si>
    <t>LICEO BOCA DE ARENAL</t>
  </si>
  <si>
    <t>5151</t>
  </si>
  <si>
    <t>LICEO BUENOS AIRES DE POCOSOL</t>
  </si>
  <si>
    <t>100 ESTE Y 300 NORTE DE LA BOMBA BUENOS AIRES</t>
  </si>
  <si>
    <t>5318</t>
  </si>
  <si>
    <t>LICEO CORONEL MANUEL ARGÜELLO</t>
  </si>
  <si>
    <t>DETRAS AGENCIA DEL MAG</t>
  </si>
  <si>
    <t>4039</t>
  </si>
  <si>
    <t>COLEGIO DR. RICARDO MORENO CAÑAS</t>
  </si>
  <si>
    <t>colegio_rincon@hotmail.com</t>
  </si>
  <si>
    <t>ALAIN CAMACHO CUADRA</t>
  </si>
  <si>
    <t>4049</t>
  </si>
  <si>
    <t>LICEO MANUEL EMILIO RODRIGUEZ</t>
  </si>
  <si>
    <t>5132</t>
  </si>
  <si>
    <t>2 KM. OESTE DEL CENTRO DE COLINAS.</t>
  </si>
  <si>
    <t>5531</t>
  </si>
  <si>
    <t>FRENTE A LA PLAZA DE DEPORTES,CONCEPCION</t>
  </si>
  <si>
    <t>5125</t>
  </si>
  <si>
    <t>CHANGUENA CENTRO</t>
  </si>
  <si>
    <t>JONATHAN FONSECA SALAZAR</t>
  </si>
  <si>
    <t>FRENTE AL SALON CUMUNAL DE CHANGUENA,CENTRO</t>
  </si>
  <si>
    <t>5530</t>
  </si>
  <si>
    <t>LICEO SAN FRANCISCO</t>
  </si>
  <si>
    <t>5301</t>
  </si>
  <si>
    <t>GUSTAVO MORA ARIAS</t>
  </si>
  <si>
    <t>lic.platanillo@drepz.ed.cr</t>
  </si>
  <si>
    <t>200 NORESTE DEL EBAIS DE PLATANILLO</t>
  </si>
  <si>
    <t>5161</t>
  </si>
  <si>
    <t>LICEO RURAL LA ESPERANZA</t>
  </si>
  <si>
    <t>4109</t>
  </si>
  <si>
    <t>5155</t>
  </si>
  <si>
    <t>LICEO RURAL PACAYITAS</t>
  </si>
  <si>
    <t>liceoruralpacayitas@gmail.com</t>
  </si>
  <si>
    <t>DIAGONAL DELEGACION POLICIAL DE PACAYITAS</t>
  </si>
  <si>
    <t>5165</t>
  </si>
  <si>
    <t>LICEO RURAL ISLA VENADO</t>
  </si>
  <si>
    <t>200 M AL NORTE DE PLATA LA ESPAÑOLA</t>
  </si>
  <si>
    <t>4915</t>
  </si>
  <si>
    <t>LICEO RURAL CABECERAS</t>
  </si>
  <si>
    <t>CABECERA</t>
  </si>
  <si>
    <t>800 METROS NOROESTE DEL SALON COMUNAL</t>
  </si>
  <si>
    <t>5139</t>
  </si>
  <si>
    <t>OSCAR RODRIGUEZ APOSTOL</t>
  </si>
  <si>
    <t>300 SUR Y 50 ESTE DE LA PLAZA DE DEPORTES</t>
  </si>
  <si>
    <t>5178</t>
  </si>
  <si>
    <t>LICEO LAS DELICIAS</t>
  </si>
  <si>
    <t>300M NORTE DE LA IGLESIA CATOLICA</t>
  </si>
  <si>
    <t>5707</t>
  </si>
  <si>
    <t>COLEGIO ACADEMICO DE COSTA DE PAJAROS</t>
  </si>
  <si>
    <t>5121</t>
  </si>
  <si>
    <t>LICEO RURAL LAS CEIBAS</t>
  </si>
  <si>
    <t>EL LLANO DE LA MESA</t>
  </si>
  <si>
    <t>SAINT GABRIEL</t>
  </si>
  <si>
    <t>100 NORTE 50 ESTE 200 NORTE DEL ICE</t>
  </si>
  <si>
    <t>COLEGIO BILINGÜE NUEVA ESPERANZA</t>
  </si>
  <si>
    <t>direccionsecundaria@nuevaesperanza.co.cr</t>
  </si>
  <si>
    <t>COLEGIO DEL MUNDO UNIDO COSTA RICA</t>
  </si>
  <si>
    <t>info@uwccostarica.org</t>
  </si>
  <si>
    <t>NUEVO MUNDO</t>
  </si>
  <si>
    <t>75 METROS SUR DE LA ESCUELA SANTA MARTA</t>
  </si>
  <si>
    <t>DE LA ESC PUBLICA 125M ESTE</t>
  </si>
  <si>
    <t>125 METROS NORTE FRENTE LABORATORIOS ZEPOL</t>
  </si>
  <si>
    <t>thesummischool@tsscr.com</t>
  </si>
  <si>
    <t>125 ESTE  DE LA ESCUELA SAN RAFAEL</t>
  </si>
  <si>
    <t>3980</t>
  </si>
  <si>
    <t>LICEO HERNAN ZAMORA ELIZONDO</t>
  </si>
  <si>
    <t>200 NORTE DE LA TERMINAL DE DULCE NOMBRE</t>
  </si>
  <si>
    <t>5197</t>
  </si>
  <si>
    <t>5288</t>
  </si>
  <si>
    <t>LICEO RURAL MANZANILLO</t>
  </si>
  <si>
    <t>4097</t>
  </si>
  <si>
    <t>colegiojosemariag@gmail.com</t>
  </si>
  <si>
    <t>650 NOROESTE DEL SALON COMUNAL</t>
  </si>
  <si>
    <t>5154</t>
  </si>
  <si>
    <t>LICEO RURAL SAN JOAQUIN</t>
  </si>
  <si>
    <t>DETRAS TEMPLO CATOLICO</t>
  </si>
  <si>
    <t>4115</t>
  </si>
  <si>
    <t>LICEO EMILIANO ODIO MADRIGAL</t>
  </si>
  <si>
    <t>MARJORIE CHAVES MONTOYA</t>
  </si>
  <si>
    <t>CONTIGUO AL CEMENTERIO 3 MARIAS</t>
  </si>
  <si>
    <t>5137</t>
  </si>
  <si>
    <t>LICEO LA GUACIMA</t>
  </si>
  <si>
    <t>5080</t>
  </si>
  <si>
    <t>GUIDO FALLAS CAMBRONERO</t>
  </si>
  <si>
    <t>100 M O DEL GIMNASIO DE LA LUCHA.</t>
  </si>
  <si>
    <t>5289</t>
  </si>
  <si>
    <t>LICEO RURAL DE CEDRAL</t>
  </si>
  <si>
    <t>5177</t>
  </si>
  <si>
    <t>LICEO RURAL EL PORVENIR</t>
  </si>
  <si>
    <t>SONIA ARANA GONZALEZ</t>
  </si>
  <si>
    <t>100M SUR ESCUELA EL PORVERNIR</t>
  </si>
  <si>
    <t>5075</t>
  </si>
  <si>
    <t>LICEO FRANCISCO AMIGUETTE HERRERA</t>
  </si>
  <si>
    <t>50 ESTE 200 SUR DE LA IGLESIA CATOLICA</t>
  </si>
  <si>
    <t>5076</t>
  </si>
  <si>
    <t>LICEO GASTON PERALTA CARRANZA</t>
  </si>
  <si>
    <t>MARTIN CARMELO PINNOCK JOHNSON</t>
  </si>
  <si>
    <t>CONTIGUO A LA PLAZA DE LOS LLANOS</t>
  </si>
  <si>
    <t>5150</t>
  </si>
  <si>
    <t>5148</t>
  </si>
  <si>
    <t>LICEO RURAL SAN RAFAEL</t>
  </si>
  <si>
    <t>5149</t>
  </si>
  <si>
    <t>LICEO RURAL MEDIO QUESO</t>
  </si>
  <si>
    <t>4048</t>
  </si>
  <si>
    <t>LICEO ENRIQUE GUIER SAENZ</t>
  </si>
  <si>
    <t>CACHI CENTRO 50M ESTE EL EBAIS</t>
  </si>
  <si>
    <t>3995</t>
  </si>
  <si>
    <t>LICEO JOAQUIN GUTIERREZ MANGEL</t>
  </si>
  <si>
    <t>200 OESTE GUARDA RURAL, SAN RAFAEL ARRIBA</t>
  </si>
  <si>
    <t>5347</t>
  </si>
  <si>
    <t>LICEO RURAL BUENA VISTA</t>
  </si>
  <si>
    <t>150 METROS SUR DEL TEMPLO CATOLICO</t>
  </si>
  <si>
    <t>5297</t>
  </si>
  <si>
    <t>COLEGIO LA PALMA</t>
  </si>
  <si>
    <t>5350</t>
  </si>
  <si>
    <t>CONTIGUO A ENTRADA, AL VALLE DE LIMONCITO</t>
  </si>
  <si>
    <t>5317</t>
  </si>
  <si>
    <t>LICEO CANALETE</t>
  </si>
  <si>
    <t>DE SORMARIA ROMERO 2KM SUROESTE HACIA GUACALI</t>
  </si>
  <si>
    <t>4068</t>
  </si>
  <si>
    <t>LICEO LLANO BONITO</t>
  </si>
  <si>
    <t>saintedwardhighschool@gmail.com</t>
  </si>
  <si>
    <t>CARTAGO EL CARMEN-URB. VILLA FONTANA</t>
  </si>
  <si>
    <t>4006</t>
  </si>
  <si>
    <t>LICEO YOLANDA OREAMUNO UNGER</t>
  </si>
  <si>
    <t>URBANIZACION EL PROGRESO</t>
  </si>
  <si>
    <t>MARIELOS PORRAS ALTAMIRANO</t>
  </si>
  <si>
    <t>D.CEMENTERIO.100 N.100 O.,100 N Y 100 OESTE</t>
  </si>
  <si>
    <t>5294</t>
  </si>
  <si>
    <t>LICEO RURAL USEKLA</t>
  </si>
  <si>
    <t>A 8 K. AL NOROESTE DE LA ESCUELA DE SHIROLES</t>
  </si>
  <si>
    <t>5129</t>
  </si>
  <si>
    <t>KM 97 CARRETERA INTERAMERICANA</t>
  </si>
  <si>
    <t>5128</t>
  </si>
  <si>
    <t>5168</t>
  </si>
  <si>
    <t>LICEO RURAL BOCA DE SIERPE</t>
  </si>
  <si>
    <t>WENDY LATOUCHE SEGURA</t>
  </si>
  <si>
    <t>FRENTE A PLAZA DE DEPORTES DE SIERPE DE OSA</t>
  </si>
  <si>
    <t>5131</t>
  </si>
  <si>
    <t>5302</t>
  </si>
  <si>
    <t>LICEO LOS ANGELES</t>
  </si>
  <si>
    <t>5293</t>
  </si>
  <si>
    <t>LICEO RURAL BOCA TAPADA</t>
  </si>
  <si>
    <t>MARIA LIDIETH ALFARO MONDRAGON</t>
  </si>
  <si>
    <t>5304</t>
  </si>
  <si>
    <t>LICEO NICOLAS AGUILAR MURILLO</t>
  </si>
  <si>
    <t>SAINT NICHOLAS OF FLÜE SCHOOL</t>
  </si>
  <si>
    <t>direc.secund@saintnicholas.ed.cr</t>
  </si>
  <si>
    <t>300 M.OESTE DE LA IGLESIA CATOLICA DE SN LORE</t>
  </si>
  <si>
    <t>KAMUK SCHOOL</t>
  </si>
  <si>
    <t>200 NORTE 200 OESTE DE LOS APTOS. LLORENTE</t>
  </si>
  <si>
    <t>5290</t>
  </si>
  <si>
    <t>LICEO DE CASCAJAL</t>
  </si>
  <si>
    <t>EUGENIA VARGAS JIMENEZ</t>
  </si>
  <si>
    <t>DEL SERVICENTRO JSM 200 E Y 200 N</t>
  </si>
  <si>
    <t>SANTA ANA HIGH SCHOOL</t>
  </si>
  <si>
    <t>SAN MIGUEL PALMAR</t>
  </si>
  <si>
    <t>4091</t>
  </si>
  <si>
    <t>LICEO DE RIO FRIO</t>
  </si>
  <si>
    <t>FINCA 11</t>
  </si>
  <si>
    <t>300 M E DE LA ESCUELA FINCA II</t>
  </si>
  <si>
    <t>5295</t>
  </si>
  <si>
    <t>LICEO LA PERLA</t>
  </si>
  <si>
    <t>5291</t>
  </si>
  <si>
    <t>200 SUR DEL CENTRO DE ACOPIO DE ASPROFRIJO</t>
  </si>
  <si>
    <t>5575</t>
  </si>
  <si>
    <t>LICEO RURAL ABROJO MOCTEZUMA</t>
  </si>
  <si>
    <t>5576</t>
  </si>
  <si>
    <t>5590</t>
  </si>
  <si>
    <t>LICEO JUNTAS DE CAOBA</t>
  </si>
  <si>
    <t>FLOR COREA VIALES</t>
  </si>
  <si>
    <t>5535</t>
  </si>
  <si>
    <t>LICEO DE GUARDIA</t>
  </si>
  <si>
    <t>GRACE LILLIANA MORALEZ LOPEZ</t>
  </si>
  <si>
    <t>5583</t>
  </si>
  <si>
    <t>LICEO CUATRO BOCAS</t>
  </si>
  <si>
    <t>MARIELOS SOLIS ALVARADO</t>
  </si>
  <si>
    <t>5584</t>
  </si>
  <si>
    <t>LICEO RURAL LA CONQUISTA</t>
  </si>
  <si>
    <t>VERONICA PERAZA ALVAREZ</t>
  </si>
  <si>
    <t>2 KM AL NORTE DE LA BOMBA ISLA GRANDE</t>
  </si>
  <si>
    <t>5568</t>
  </si>
  <si>
    <t>COLEGIO SEPECUE</t>
  </si>
  <si>
    <t>OSCAR ALMENGOR FERNÁNDEZ</t>
  </si>
  <si>
    <t>200 MTS. SUR DE LA DELEGACIÓN POLICIAL</t>
  </si>
  <si>
    <t>5567</t>
  </si>
  <si>
    <t>ALFREDO BRUNLEY ROBINSON</t>
  </si>
  <si>
    <t>5577</t>
  </si>
  <si>
    <t>LICEO EL SAINO</t>
  </si>
  <si>
    <t>5533</t>
  </si>
  <si>
    <t>5582</t>
  </si>
  <si>
    <t>VISTA ATENAS HIGH SCHOOL</t>
  </si>
  <si>
    <t>bramirezgv@hotmail.com</t>
  </si>
  <si>
    <t>URBANIZACION VISTA ATENAS, SABANA LARGA</t>
  </si>
  <si>
    <t>SAINT ANTHONY HIGH SCHOOL</t>
  </si>
  <si>
    <t>BARRIO ALONDRA</t>
  </si>
  <si>
    <t>1KM OESTE DE ROMANAS BALLAR</t>
  </si>
  <si>
    <t>DIAGONAL A LA ESCUELA RICARDO ANDRE</t>
  </si>
  <si>
    <t>CIENTIFICO DE COSTA RICA DEL ATLANTICO -UNED-</t>
  </si>
  <si>
    <t>SUSANA PENA RAWSON</t>
  </si>
  <si>
    <t>5580</t>
  </si>
  <si>
    <t>LICEO RURAL SANTIAGO</t>
  </si>
  <si>
    <t>CONTIGUO A LA ESCUELA SANTIAGO</t>
  </si>
  <si>
    <t>5579</t>
  </si>
  <si>
    <t>200 ESTE DEL CEMENTERIO DE SAN ANTONIO</t>
  </si>
  <si>
    <t>5581</t>
  </si>
  <si>
    <t>LICEO RURAL SAN RAFAEL DE CABAGRA</t>
  </si>
  <si>
    <t>SAN RAFAEL CABAGRA</t>
  </si>
  <si>
    <t>SN RAFAEL,CABAGRA 100 MTS.SURESTE DEL EBAIS.</t>
  </si>
  <si>
    <t>5585</t>
  </si>
  <si>
    <t>LICEO RURAL LA ALDEA</t>
  </si>
  <si>
    <t>WENDY SALAS SIBAJA</t>
  </si>
  <si>
    <t>5356</t>
  </si>
  <si>
    <t>5296</t>
  </si>
  <si>
    <t>LICEO RURAL SALVADOR DURAN OCAMPO</t>
  </si>
  <si>
    <t>20 KILOMETROS AL SURESTRE DE PUERTO VIEJO</t>
  </si>
  <si>
    <t>5587</t>
  </si>
  <si>
    <t>LICEO RURAL SAN JULIAN</t>
  </si>
  <si>
    <t>YURI VANESSA CASANOVA AZOFEIFA</t>
  </si>
  <si>
    <t>50 METROS AL ESTE DE LA ESCUELA SAN JULIAN</t>
  </si>
  <si>
    <t>SALVADOR SALAS BENAVIDES</t>
  </si>
  <si>
    <t>5662</t>
  </si>
  <si>
    <t>LICEO RURAL DE PUERTO VIEJO</t>
  </si>
  <si>
    <t>5598</t>
  </si>
  <si>
    <t>5578</t>
  </si>
  <si>
    <t>LICEO RURAL LA GUARIA DE POCOSOL</t>
  </si>
  <si>
    <t>FRENTE A LA ESCUELA LA GUARIA</t>
  </si>
  <si>
    <t>5729</t>
  </si>
  <si>
    <t>COLEGIO PLAYAS DEL COCO</t>
  </si>
  <si>
    <t>100 MTS OESTE Y 50 SUR DEL CORREO</t>
  </si>
  <si>
    <t>5728</t>
  </si>
  <si>
    <t>LICEO SANTA MARTA</t>
  </si>
  <si>
    <t>200 OESTE, 500 N. Y 130 O DE LA IGLESIA. CAT.</t>
  </si>
  <si>
    <t>5658</t>
  </si>
  <si>
    <t>LICEO RURAL YERI</t>
  </si>
  <si>
    <t>10 KM. NORTE DEL CT.P.DE BUENOS AIRES</t>
  </si>
  <si>
    <t>5657</t>
  </si>
  <si>
    <t>BAJO LOS INDIOS</t>
  </si>
  <si>
    <t>5679</t>
  </si>
  <si>
    <t>COLEGIO CANDELARIA</t>
  </si>
  <si>
    <t>SEHIRIS VILLALOBOS CARAZO</t>
  </si>
  <si>
    <t>ALTO MURILLO, CANDELARIA</t>
  </si>
  <si>
    <t>5656</t>
  </si>
  <si>
    <t>LICEO RURAL SANTA CRUZ</t>
  </si>
  <si>
    <t>1 KM AL OESTE DELA IGLESIA</t>
  </si>
  <si>
    <t>5655</t>
  </si>
  <si>
    <t>LICEO DE SAN ANDRES</t>
  </si>
  <si>
    <t>5661</t>
  </si>
  <si>
    <t>LICEO RURAL LAS MARIAS</t>
  </si>
  <si>
    <t>25 KILOMETROS NORESTRE DE PUERTO VIEJO</t>
  </si>
  <si>
    <t>5718</t>
  </si>
  <si>
    <t>5596</t>
  </si>
  <si>
    <t>LOS JAZMINES B.</t>
  </si>
  <si>
    <t>5670</t>
  </si>
  <si>
    <t>LICEO COLONIA PUNTARENAS</t>
  </si>
  <si>
    <t>ADONAIS JIMENEZ VASQUEZ</t>
  </si>
  <si>
    <t>CONTIGUO A LA CENTRAL TELEFONICA DEL ICE</t>
  </si>
  <si>
    <t>5671</t>
  </si>
  <si>
    <t>LICEO COLONIA VILLA NUEVA</t>
  </si>
  <si>
    <t>VILLANUEVA</t>
  </si>
  <si>
    <t>ROGER VALLE GUERRA</t>
  </si>
  <si>
    <t>5672</t>
  </si>
  <si>
    <t>LICEO RURAL VALLE VERDE</t>
  </si>
  <si>
    <t>5674</t>
  </si>
  <si>
    <t>LICEO RURAL PIEDRAS AZULES</t>
  </si>
  <si>
    <t>SALON COMUNAL DE PIEDRAS AZULES</t>
  </si>
  <si>
    <t>5673</t>
  </si>
  <si>
    <t>LICEO RURAL SAN LUIS</t>
  </si>
  <si>
    <t>SAN LUIS DE DOS RIOS</t>
  </si>
  <si>
    <t>5591</t>
  </si>
  <si>
    <t>LICEO SAN JORGE</t>
  </si>
  <si>
    <t>5709</t>
  </si>
  <si>
    <t>LICEO RURAL DE TARCOLES</t>
  </si>
  <si>
    <t>5660</t>
  </si>
  <si>
    <t>5667</t>
  </si>
  <si>
    <t>LICEO RURAL JUANILAMA</t>
  </si>
  <si>
    <t>SOFIA SEQUEIRA RUIZ</t>
  </si>
  <si>
    <t>3 KM OESTE DE LA ENTRADA A TRES Y TRES</t>
  </si>
  <si>
    <t>5666</t>
  </si>
  <si>
    <t>5677</t>
  </si>
  <si>
    <t>COLEGIO SAN MARTIN</t>
  </si>
  <si>
    <t>LESBIA NAVARRETE CORONADO</t>
  </si>
  <si>
    <t>500 SUR 200 ESTE DE LA IGLESIA CATOLICA</t>
  </si>
  <si>
    <t>5735</t>
  </si>
  <si>
    <t>COSTADO ESTE PLAZA DE DEPORTES VALENCIA.</t>
  </si>
  <si>
    <t>5664</t>
  </si>
  <si>
    <t>LICEO RURAL SAN ANTONIO</t>
  </si>
  <si>
    <t>200 SURESTE DE PLAZA DEPORTES</t>
  </si>
  <si>
    <t>5663</t>
  </si>
  <si>
    <t>LICEO RURAL LA PALMA</t>
  </si>
  <si>
    <t>350 SUR DEL PUENTE REAL</t>
  </si>
  <si>
    <t>5645</t>
  </si>
  <si>
    <t>LICEO BEBEDERO</t>
  </si>
  <si>
    <t>150 METROS ESTE DEL EBAIS</t>
  </si>
  <si>
    <t>DE LA IGLESIA 200 E 200 S</t>
  </si>
  <si>
    <t>5665</t>
  </si>
  <si>
    <t>300 METROS SUR DEL PUESTO DE POLICIA DE BOCA</t>
  </si>
  <si>
    <t>5708</t>
  </si>
  <si>
    <t>LICEO RURAL LA GARITA</t>
  </si>
  <si>
    <t>350 SUR DEL COMANDO LA GARITA</t>
  </si>
  <si>
    <t>75 AL NORTE DE BANCO POPULAR</t>
  </si>
  <si>
    <t>5659</t>
  </si>
  <si>
    <t>LICEO RURAL CARTAGENA</t>
  </si>
  <si>
    <t>FRENTE A LA PLAZA DE DEPORTES CARTAGENA</t>
  </si>
  <si>
    <t>CIENTIFICO DE COSTA RICA DE PUNTARENAS -UCR-</t>
  </si>
  <si>
    <t>5852</t>
  </si>
  <si>
    <t>LICEO PICAGRES DE MORA</t>
  </si>
  <si>
    <t>5873</t>
  </si>
  <si>
    <t>LICEO DE BARBACOAS</t>
  </si>
  <si>
    <t>GEOVANNY LOPEZ MENA</t>
  </si>
  <si>
    <t>200 OESTE DEL TEMPLO CATOLICO</t>
  </si>
  <si>
    <t>5586</t>
  </si>
  <si>
    <t>LICEO EL PARAISO</t>
  </si>
  <si>
    <t>HENRY RAMIREZ VASQUEZ</t>
  </si>
  <si>
    <t>2 KM ESTE PIÑALES DE SANTA CLARA SAN GERARDO</t>
  </si>
  <si>
    <t>250 NORTE DE LA IGLESIA CATOLICA ALAJUELITA</t>
  </si>
  <si>
    <t>6156</t>
  </si>
  <si>
    <t>DONALD ARAYA VARGAS</t>
  </si>
  <si>
    <t>5870</t>
  </si>
  <si>
    <t>SAN JUAN DE DIOS 400 SUR DEL TEMPLO CATOLICO</t>
  </si>
  <si>
    <t>5814</t>
  </si>
  <si>
    <t>LICEO VUELTA DE JORCO</t>
  </si>
  <si>
    <t>5834</t>
  </si>
  <si>
    <t>UNIDAD PEDAGOGICA SAN DIEGO</t>
  </si>
  <si>
    <t>5840</t>
  </si>
  <si>
    <t>LICEO RURAL LA LUCHITA</t>
  </si>
  <si>
    <t>5841</t>
  </si>
  <si>
    <t>LICEO SAN CARLOS</t>
  </si>
  <si>
    <t>COSTADO NORTE DEL EBAIS.</t>
  </si>
  <si>
    <t>5845</t>
  </si>
  <si>
    <t>LICEO EL CONSUELO</t>
  </si>
  <si>
    <t>ASENTAMIENTO EL CONSUELO, QUEBRADA GRANDE</t>
  </si>
  <si>
    <t>5844</t>
  </si>
  <si>
    <t>LICEO CUAJINIQUIL</t>
  </si>
  <si>
    <t>5838</t>
  </si>
  <si>
    <t>LICEO RURAL COOPESILENCIO</t>
  </si>
  <si>
    <t>400 MTS OESTE DE LA PLAZA DE DEPORTES</t>
  </si>
  <si>
    <t>5836</t>
  </si>
  <si>
    <t>LICEO RURAL SANTO DOMINGO</t>
  </si>
  <si>
    <t>5837</t>
  </si>
  <si>
    <t>LICEO RURAL CERRITOS</t>
  </si>
  <si>
    <t>300 M NORTE IGLESIA ALTOS DE TIERRA FERTIL</t>
  </si>
  <si>
    <t>5871</t>
  </si>
  <si>
    <t>LONDRES CENTRO</t>
  </si>
  <si>
    <t>5853</t>
  </si>
  <si>
    <t>5869</t>
  </si>
  <si>
    <t>LICEO AEROPUERTO JERUSALEN</t>
  </si>
  <si>
    <t>5817</t>
  </si>
  <si>
    <t>LICEO LA PALMERA</t>
  </si>
  <si>
    <t>NAPOLEON RODRIGUEZ OBANDO</t>
  </si>
  <si>
    <t>300 OESTE DEL SALON COMUNAL</t>
  </si>
  <si>
    <t>5854</t>
  </si>
  <si>
    <t>LICEO RURAL EL VENADO</t>
  </si>
  <si>
    <t>EL VENADO</t>
  </si>
  <si>
    <t>VANESSA TORRES ALVAREZ</t>
  </si>
  <si>
    <t>DEPORTIVO SANTO DOMINGO</t>
  </si>
  <si>
    <t>SANTO DOMINGO CENTRO</t>
  </si>
  <si>
    <t>grecode@gmail.com</t>
  </si>
  <si>
    <t>300 METROS SUR DEL PALI</t>
  </si>
  <si>
    <t>5858</t>
  </si>
  <si>
    <t>LICEO RURAL LA GATA</t>
  </si>
  <si>
    <t>JUANA MARIA HERNANDEZ PEREZ</t>
  </si>
  <si>
    <t>SALON COMUNAL LA GATA 200 M SUR DEL EBAIS</t>
  </si>
  <si>
    <t>5850</t>
  </si>
  <si>
    <t>LICEO BELEN</t>
  </si>
  <si>
    <t>150 NOROESTE DEL CEMENTERIO DE BELEN</t>
  </si>
  <si>
    <t>5886</t>
  </si>
  <si>
    <t>EXPERIMENTAL BILINGÜE DE SARCHI SUR</t>
  </si>
  <si>
    <t>5891</t>
  </si>
  <si>
    <t>LICEO RURAL EL CARMEN PARRITA</t>
  </si>
  <si>
    <t>200 MTS OESTE DEL SALON COMUNAL EL CARMEN</t>
  </si>
  <si>
    <t>5820</t>
  </si>
  <si>
    <t>LICEO DE TERRABA</t>
  </si>
  <si>
    <t>MARCOS ANT. RIVERA FERNANDEZ</t>
  </si>
  <si>
    <t>800 SUROESTE DEL LA IGLESIA CATOLICA</t>
  </si>
  <si>
    <t>CENTRO SANTA ANA</t>
  </si>
  <si>
    <t>5847</t>
  </si>
  <si>
    <t>LICEO RURAL LA CELINA</t>
  </si>
  <si>
    <t>LA CELINA</t>
  </si>
  <si>
    <t>5882</t>
  </si>
  <si>
    <t>EXPERIMENTAL BILINGÜE DE SIQUIRRES</t>
  </si>
  <si>
    <t>BARRIO EL MANGAL</t>
  </si>
  <si>
    <t>DE LA RUTA 32, 150 M. NORTE Y 25 OESTE.</t>
  </si>
  <si>
    <t>5848</t>
  </si>
  <si>
    <t>FRENTE A LA PLAZA DE DEPORTES DE BOCA COHÉN</t>
  </si>
  <si>
    <t>5842</t>
  </si>
  <si>
    <t>5849</t>
  </si>
  <si>
    <t>LICEO RURAL ROCA QUEMADA</t>
  </si>
  <si>
    <t>TSINIKLARI</t>
  </si>
  <si>
    <t>TSINIKLARI, CHIRRIPO</t>
  </si>
  <si>
    <t>5851</t>
  </si>
  <si>
    <t>COSTADO NE DE LA PLAZA DE SANTA TERESA</t>
  </si>
  <si>
    <t>5874</t>
  </si>
  <si>
    <t>LICEO AMBIENTALISTA DE HORQUETAS</t>
  </si>
  <si>
    <t>FRENTE A TROPICAL GREEN LA RAMBLA</t>
  </si>
  <si>
    <t>5734</t>
  </si>
  <si>
    <t>COLONIA CUBUJUQUI</t>
  </si>
  <si>
    <t>5846</t>
  </si>
  <si>
    <t>5860</t>
  </si>
  <si>
    <t>LICEO RURAL LAS NUBES CRISTO REY</t>
  </si>
  <si>
    <t>5843</t>
  </si>
  <si>
    <t>5855</t>
  </si>
  <si>
    <t>5895</t>
  </si>
  <si>
    <t>LICEO RURAL AGUAS ZARCAS</t>
  </si>
  <si>
    <t>3 KM SURESTE DEL CENTRO DE TURRIALBA</t>
  </si>
  <si>
    <t>5897</t>
  </si>
  <si>
    <t>SAN DANIEL COMBONI</t>
  </si>
  <si>
    <t>TILARAN CENTRO</t>
  </si>
  <si>
    <t>RUTH ARCE CASTILLO</t>
  </si>
  <si>
    <t>genesischritianschool@hotmail.com</t>
  </si>
  <si>
    <t>350 OESTE DEL SUPER DE ACAPULCO</t>
  </si>
  <si>
    <t>MARIAMALIA HERRERA FLORES</t>
  </si>
  <si>
    <t>herrera_valledelsol@yahoo.es</t>
  </si>
  <si>
    <t>500 M.E.Y 125 N.DE LA ESTACION SERV.STA CLARA</t>
  </si>
  <si>
    <t>5999</t>
  </si>
  <si>
    <t>LICEO RURAL SAN ISIDRO</t>
  </si>
  <si>
    <t>SAN ISIDRO CENTRO</t>
  </si>
  <si>
    <t>5968</t>
  </si>
  <si>
    <t>LICEO RURAL CAÑON DE EL GUARCO</t>
  </si>
  <si>
    <t>CAÑON GUARCO</t>
  </si>
  <si>
    <t>KM 58 CARRETERA INTERAMERICANA SUR</t>
  </si>
  <si>
    <t>5979</t>
  </si>
  <si>
    <t>LICEO SAN NICOLAS DE TOLENTINO</t>
  </si>
  <si>
    <t>TARAS SAN NICOLAS</t>
  </si>
  <si>
    <t>GUIDO ZARATE SANCHEZ</t>
  </si>
  <si>
    <t>5993</t>
  </si>
  <si>
    <t>UNIDAD PEDAGOGICA BARRIO NUEVO</t>
  </si>
  <si>
    <t>FRENTE A LA PLAZA DE DEPORTES BARRIO NUEVO</t>
  </si>
  <si>
    <t>5975</t>
  </si>
  <si>
    <t>LICEO RURAL BANDERAS</t>
  </si>
  <si>
    <t>BANDERAS DE POCOSOL</t>
  </si>
  <si>
    <t>5976</t>
  </si>
  <si>
    <t>5994</t>
  </si>
  <si>
    <t>LICEO LA AMISTAD</t>
  </si>
  <si>
    <t>600 METROS NORTE DE LA IGLESIA CATOLICA</t>
  </si>
  <si>
    <t>5988</t>
  </si>
  <si>
    <t>LICEO QUEBRADA GANADO</t>
  </si>
  <si>
    <t>5967</t>
  </si>
  <si>
    <t>LICEO RURAL NUEVA GUATEMALA</t>
  </si>
  <si>
    <t>6017</t>
  </si>
  <si>
    <t>LICEO LA LUCHA</t>
  </si>
  <si>
    <t>LA LUCHA POTRERO GRANDE</t>
  </si>
  <si>
    <t>1 KM. AL OESTE DE ESCUELA LA MARAVILLA</t>
  </si>
  <si>
    <t>5970</t>
  </si>
  <si>
    <t>LICEO RURAL ISLAS DEL CHIRRIPO</t>
  </si>
  <si>
    <t>FINCA 10 RIO FRIO</t>
  </si>
  <si>
    <t>5973</t>
  </si>
  <si>
    <t>100 METROS SUR PLAZA DE DEPORTES</t>
  </si>
  <si>
    <t>5992</t>
  </si>
  <si>
    <t>LICEO LAGUNA</t>
  </si>
  <si>
    <t>450 M. OESTE DEL EDIFICIO ELIAS VALENCIANO</t>
  </si>
  <si>
    <t>5995</t>
  </si>
  <si>
    <t>LICEO DE MAGALLANES</t>
  </si>
  <si>
    <t>500 M. OESTE DE LA ENTRADA A MAGALLANES</t>
  </si>
  <si>
    <t>5996</t>
  </si>
  <si>
    <t>EXPERIMENTAL BILINGÜE DE SAN RAMON</t>
  </si>
  <si>
    <t>450 M.NORESTE DE ESC.LABORATORIO,CALLE VARELA</t>
  </si>
  <si>
    <t>5985</t>
  </si>
  <si>
    <t>LICEO RURAL ZAPATON</t>
  </si>
  <si>
    <t>150 OESTE DEL TEMPLO CATOLICO</t>
  </si>
  <si>
    <t>6030</t>
  </si>
  <si>
    <t>LICEO VIRGEN MEDALLA MILAGROSA</t>
  </si>
  <si>
    <t>100 ESTE DE LA IGLESIA CATOLICA</t>
  </si>
  <si>
    <t>5998</t>
  </si>
  <si>
    <t>LICEO PACTO DEL JOCOTE</t>
  </si>
  <si>
    <t>800 MTS SUR DEL COLEGIO SANTA TERESITA</t>
  </si>
  <si>
    <t>6020</t>
  </si>
  <si>
    <t>LICEO DEPORTIVO DE GRECIA</t>
  </si>
  <si>
    <t>300 NORTE DEL MERCADO MUNICIPAL DE GRECIA</t>
  </si>
  <si>
    <t>5974</t>
  </si>
  <si>
    <t>6027</t>
  </si>
  <si>
    <t>LICEO HIGUITO</t>
  </si>
  <si>
    <t>TERESITA MONGE BARRANTES</t>
  </si>
  <si>
    <t>direcciondehiguito@gmail.com</t>
  </si>
  <si>
    <t>DE LA GUARDIA DE PROXIMIDAD, 1 KM SUR</t>
  </si>
  <si>
    <t>5990</t>
  </si>
  <si>
    <t>LICEO LAS MERCEDES</t>
  </si>
  <si>
    <t>150 NOROESTE DE LA ESC.REPUBLICA DE MEXICO</t>
  </si>
  <si>
    <t>5971</t>
  </si>
  <si>
    <t>LICEO RURAL UNION DEL TORO</t>
  </si>
  <si>
    <t>MICHAEL MORALES BALDI</t>
  </si>
  <si>
    <t>6000</t>
  </si>
  <si>
    <t>LICEO CUATRO ESQUINAS</t>
  </si>
  <si>
    <t>liceocuatroesquinas@gmail.com</t>
  </si>
  <si>
    <t>300 MTS DE LA DELEGACION DE POLICIA</t>
  </si>
  <si>
    <t>5986</t>
  </si>
  <si>
    <t>CRISTIAN HIDALGO AVILA</t>
  </si>
  <si>
    <t>8KM AL ESTE DEL CENTRO DE ACOPIO DE GRANO DE</t>
  </si>
  <si>
    <t>6043</t>
  </si>
  <si>
    <t>6044</t>
  </si>
  <si>
    <t>5969</t>
  </si>
  <si>
    <t>LICEO RURAL SANTA ROSA</t>
  </si>
  <si>
    <t>5972</t>
  </si>
  <si>
    <t>5984</t>
  </si>
  <si>
    <t>6133</t>
  </si>
  <si>
    <t>LICEO PUENTE DE PIEDRA</t>
  </si>
  <si>
    <t>EN LAS INSTALACIONES DEPORTIVAS RINCON SALAS</t>
  </si>
  <si>
    <t>6045</t>
  </si>
  <si>
    <t>LICEO RURAL YORKIN</t>
  </si>
  <si>
    <t>DE LA ESCUELA DE YORKIN 200 M. SUR</t>
  </si>
  <si>
    <t>6103</t>
  </si>
  <si>
    <t>6127</t>
  </si>
  <si>
    <t>6137</t>
  </si>
  <si>
    <t>LICEO OCCIDENTAL</t>
  </si>
  <si>
    <t>6128</t>
  </si>
  <si>
    <t>I.E.G.B. AMERICA CENTRAL</t>
  </si>
  <si>
    <t>BARRIO PILAR</t>
  </si>
  <si>
    <t>6135</t>
  </si>
  <si>
    <t>6096</t>
  </si>
  <si>
    <t>6108</t>
  </si>
  <si>
    <t>6146</t>
  </si>
  <si>
    <t>I.E.G.B. NUESTRA SEÑORA DE SION</t>
  </si>
  <si>
    <t>COCAL PUNTARENAS</t>
  </si>
  <si>
    <t>25M NORTE DE LA PULPERIA FLOR DE CAÑA</t>
  </si>
  <si>
    <t>6149</t>
  </si>
  <si>
    <t>LICEO BUENOS AIRES</t>
  </si>
  <si>
    <t>75 ESTE DE LA ESCUELA HOLANDA</t>
  </si>
  <si>
    <t>6050</t>
  </si>
  <si>
    <t>6115</t>
  </si>
  <si>
    <t>WILBER JOSE MARIN JIMENEZ</t>
  </si>
  <si>
    <t>6112</t>
  </si>
  <si>
    <t>COLEGIO FINCA NARANJO</t>
  </si>
  <si>
    <t>6046</t>
  </si>
  <si>
    <t>5981</t>
  </si>
  <si>
    <t>1 KM NORTE DE CONSTRUPLAZA</t>
  </si>
  <si>
    <t>6106</t>
  </si>
  <si>
    <t>I.E.G.B. PBRO. YANUARIO QUESADA</t>
  </si>
  <si>
    <t>SAN RAFAEL CENTRO</t>
  </si>
  <si>
    <t>6157</t>
  </si>
  <si>
    <t>I.E.G.B. LA VICTORIA</t>
  </si>
  <si>
    <t>SAINT JOSEPH`S</t>
  </si>
  <si>
    <t>dirsecundaria@saintjoseph.ed.cr</t>
  </si>
  <si>
    <t>COSTADO SURESTE DEL CLUB LA GUARIA</t>
  </si>
  <si>
    <t>D.WALMARK 1KM O.Y 50 N.CONT.A LA PIST CUADRAC</t>
  </si>
  <si>
    <t>6129</t>
  </si>
  <si>
    <t>LICEO RURAL KATSI</t>
  </si>
  <si>
    <t>30 M. OESTE DE LA ESCUELA KATSI.</t>
  </si>
  <si>
    <t>6215</t>
  </si>
  <si>
    <t>UNIDAD PEDAGOGICA EL TORITO</t>
  </si>
  <si>
    <t>TORITO</t>
  </si>
  <si>
    <t>50 ESTE DE LA ESCUELA EL TORITO</t>
  </si>
  <si>
    <t>6216</t>
  </si>
  <si>
    <t>LLANO DE ANGELES</t>
  </si>
  <si>
    <t>6217</t>
  </si>
  <si>
    <t>FRENTE A LA IGLESIA CATOLICA DE GUACIMAL</t>
  </si>
  <si>
    <t>6219</t>
  </si>
  <si>
    <t>MARIBEL ROJAS CONEJO</t>
  </si>
  <si>
    <t>6220</t>
  </si>
  <si>
    <t>LICEO RURAL COLONIA DEL VALLE</t>
  </si>
  <si>
    <t>6236</t>
  </si>
  <si>
    <t>LICEO RURAL PALMERA</t>
  </si>
  <si>
    <t>DE LA ENTRADA DE ZENT, 8 K. AL SUROESTE</t>
  </si>
  <si>
    <t>6235</t>
  </si>
  <si>
    <t>LICEO RURAL NAMALDI</t>
  </si>
  <si>
    <t>BAJO CHIRRIPÓ. 12 K AL SUR DE ENTRADA BRISTOL</t>
  </si>
  <si>
    <t>6224</t>
  </si>
  <si>
    <t>LICEO RURAL COROMA</t>
  </si>
  <si>
    <t>HEINER YASIN MAYORGA GABB</t>
  </si>
  <si>
    <t>25 M. OESTE Y 200 M. SUR DE LA ESC. COROMA</t>
  </si>
  <si>
    <t>6244</t>
  </si>
  <si>
    <t>LICEO SONAFLUCA</t>
  </si>
  <si>
    <t>6273</t>
  </si>
  <si>
    <t>LICEO RURAL CERROS</t>
  </si>
  <si>
    <t>DETRAS DE LA ESCUELA CERROS, SAN RAFAEL</t>
  </si>
  <si>
    <t>6222</t>
  </si>
  <si>
    <t>COLEGIO QUEBRADA GRANDE</t>
  </si>
  <si>
    <t>liceoquebradagrande@gmail.com</t>
  </si>
  <si>
    <t>6269</t>
  </si>
  <si>
    <t>COLEGIO MATA DE PLATANO</t>
  </si>
  <si>
    <t>6267</t>
  </si>
  <si>
    <t>LICEO RURAL LOS ALMENDROS</t>
  </si>
  <si>
    <t>ALMENDROS</t>
  </si>
  <si>
    <t>CENTRO LOS ALMENDROS</t>
  </si>
  <si>
    <t>6375</t>
  </si>
  <si>
    <t>VALLEY FORGE FUTURE</t>
  </si>
  <si>
    <t>ROSA MARIA SOTO PALADINO</t>
  </si>
  <si>
    <t>direccion@valleyforge.co.cr</t>
  </si>
  <si>
    <t>150 OESTE DEL PARQUE DE TIBAS</t>
  </si>
  <si>
    <t>info@colegiodelfines.com</t>
  </si>
  <si>
    <t>400 METROS ESTE DEL HOGAR DE ANCIANOS PAQUITA</t>
  </si>
  <si>
    <t>CIENTIFICO DE COSTA RICA DE ALAJUELA -UNED-</t>
  </si>
  <si>
    <t>CALLE 18-20, AVE. CENTRAL FRENTE PLAZA FERIAS</t>
  </si>
  <si>
    <t>150 OESTE-300 SUR DE LA CRUZ ROJA</t>
  </si>
  <si>
    <t>6385</t>
  </si>
  <si>
    <t>ALVARO ROMAN GONZALEZ</t>
  </si>
  <si>
    <t>50 MTS.N.Y 50 OESTE DE LA ESC.SAN.ANTONIO.</t>
  </si>
  <si>
    <t>6350</t>
  </si>
  <si>
    <t>DE LA ESTACION DE RITEVE 250 M. OESTE.</t>
  </si>
  <si>
    <t>6372</t>
  </si>
  <si>
    <t>LICEO TIERRA BLANCA</t>
  </si>
  <si>
    <t>SANDRA FIGUEROA BARQUERO</t>
  </si>
  <si>
    <t>6384</t>
  </si>
  <si>
    <t>LICEO DE TOBOSI</t>
  </si>
  <si>
    <t>VERA VIOLETA ELIZONDO HERRERA</t>
  </si>
  <si>
    <t>6376</t>
  </si>
  <si>
    <t>LICEO SAN JOSE DEL RIO</t>
  </si>
  <si>
    <t>SAN JOSE DE RIO</t>
  </si>
  <si>
    <t>BARRIO LA COLONIA</t>
  </si>
  <si>
    <t>6409</t>
  </si>
  <si>
    <t>LICEO RURAL SALITRE</t>
  </si>
  <si>
    <t>LIDIA SUAREZ CALDERON</t>
  </si>
  <si>
    <t>6406</t>
  </si>
  <si>
    <t>LICEO RURAL SHIKABALI</t>
  </si>
  <si>
    <t>SHIKABALI</t>
  </si>
  <si>
    <t>COMUNIDAD SHIKIARI, ZONA INDIGENA ALTO CHIRRI</t>
  </si>
  <si>
    <t>6407</t>
  </si>
  <si>
    <t>LICEO RURAL KJAKUO SULO</t>
  </si>
  <si>
    <t>6408</t>
  </si>
  <si>
    <t>FRENTE A LAS INSTALACIONES ACOMUITA,SHIROLES</t>
  </si>
  <si>
    <t>JOHNNY ALBERTO SILES CUBILLO</t>
  </si>
  <si>
    <t>250 NORTE DEL SUPER NARANJO</t>
  </si>
  <si>
    <t>SANTA MARIA TECHNICAL SCHOOL</t>
  </si>
  <si>
    <t>500 AL SUR DE LA IGLESIA CATOLICA</t>
  </si>
  <si>
    <t>coceic@gmail.com</t>
  </si>
  <si>
    <t>400 NORTE DEL CRUCE CON RAFAEL</t>
  </si>
  <si>
    <t>6456</t>
  </si>
  <si>
    <t>COLEGIO OMAR SALAZAR OBANDO</t>
  </si>
  <si>
    <t>COSTADO NORTE DEL CUERPO DE BOMBEROS.</t>
  </si>
  <si>
    <t>6429</t>
  </si>
  <si>
    <t>13 KM OESTE DE NICOYA</t>
  </si>
  <si>
    <t>6465</t>
  </si>
  <si>
    <t>ADRIANA MABEL TORRES ORTIZ</t>
  </si>
  <si>
    <t>20 KM.SUESTE DEL CENTRO DE BUENOS AIRES</t>
  </si>
  <si>
    <t>6480</t>
  </si>
  <si>
    <t>LICEO RURAL ALTO COHEN</t>
  </si>
  <si>
    <t>CONTIGUO A LA PLAZA DE DEPORTES, ALTO COHEN</t>
  </si>
  <si>
    <t>6479</t>
  </si>
  <si>
    <t>COLEGIO DE GUACIMO</t>
  </si>
  <si>
    <t>200MTS NORTE DE LA ALCALDIA MIXTA GUACIMO</t>
  </si>
  <si>
    <t>800 SUROESTE DEL LUBRICENTRO SAN FRANCISCO</t>
  </si>
  <si>
    <t>EDUCATIONAL CENTER ABC</t>
  </si>
  <si>
    <t>800 MTS N DE ESCUELA EULOGIA RUIZ</t>
  </si>
  <si>
    <t>JOHN F. KENNEDY HIGH SCHOOL-SAN VITO</t>
  </si>
  <si>
    <t>3 RIOS, DE LA CAPILLA DE VELA 150N</t>
  </si>
  <si>
    <t>COLEGIO SAN CARLOS BORROMEO</t>
  </si>
  <si>
    <t>colegiocooperativo@urcozon.com</t>
  </si>
  <si>
    <t>CONTIGUO A LA CIUDAD DEPORTIVA BARRIO JARDIN</t>
  </si>
  <si>
    <t>colegio@lapazschool.org</t>
  </si>
  <si>
    <t>6501</t>
  </si>
  <si>
    <t>COLEGIO FLORIDA</t>
  </si>
  <si>
    <t>EVETT FULLER FULLER</t>
  </si>
  <si>
    <t>6500</t>
  </si>
  <si>
    <t>COLEGIO DE PACUARE</t>
  </si>
  <si>
    <t>25 M. AL ESTE DE LA ESC. PACUARE OJO DE AGUA</t>
  </si>
  <si>
    <t>6498</t>
  </si>
  <si>
    <t>CURRE</t>
  </si>
  <si>
    <t>ISAAC PHILLIPE PRIMARY &amp; HIGH SCHOOL</t>
  </si>
  <si>
    <t>ROCIO OROZCO CHAVARRIA</t>
  </si>
  <si>
    <t>isaacphillipeschool@gmail.com</t>
  </si>
  <si>
    <t>250 ESTE DE LA PLAZA DE DEPORTES DE CASTILLA</t>
  </si>
  <si>
    <t>6512</t>
  </si>
  <si>
    <t>LICEO SANTISIMA TRINIDAD</t>
  </si>
  <si>
    <t>DEL CEMENTERIO CENTRAL DE GUAPILES 1KM OESTE</t>
  </si>
  <si>
    <t>DE LA BOMBA TOTAL 2.8 KMS OESTE CARRET. COCO</t>
  </si>
  <si>
    <t>LAS NUBES SCHOOL</t>
  </si>
  <si>
    <t>LARISSA QUIROS AGUILAR</t>
  </si>
  <si>
    <t>mariapaz@lasnubes.ed.cr</t>
  </si>
  <si>
    <t>1 KM AL SUR DE LA GASOLINERA DE HERRADURA</t>
  </si>
  <si>
    <t>SUN VALLEY HIGH SCHOOL</t>
  </si>
  <si>
    <t>HOGAR ANCIANOSDE MORA 200 NORTE Y 200 OESTE</t>
  </si>
  <si>
    <t>LAURA VARGAS VIQUEZ</t>
  </si>
  <si>
    <t>150 METROS NORTE DE LA CASA CURAL</t>
  </si>
  <si>
    <t>6564</t>
  </si>
  <si>
    <t>LICEO COPEY</t>
  </si>
  <si>
    <t>SECTOR CENTRAL</t>
  </si>
  <si>
    <t>6570</t>
  </si>
  <si>
    <t>LICEO RURAL CHINA KICHA</t>
  </si>
  <si>
    <t>DE LAS INSTAL. ADITICA, 6 K.CARRET.GAVILÁN C.</t>
  </si>
  <si>
    <t>6569</t>
  </si>
  <si>
    <t>LICEO RURAL ARANJUEZ</t>
  </si>
  <si>
    <t>6568</t>
  </si>
  <si>
    <t>6571</t>
  </si>
  <si>
    <t>LICEO RURAL EL PROGRESO</t>
  </si>
  <si>
    <t>JAFFETH SALAZAR ARROYO</t>
  </si>
  <si>
    <t>6567</t>
  </si>
  <si>
    <t>LICEO RURAL LA UNION</t>
  </si>
  <si>
    <t>6565</t>
  </si>
  <si>
    <t>CARLOS ROJAS MORALES</t>
  </si>
  <si>
    <t>1.3 KM SURESTE DEL BANCO NACIONAL</t>
  </si>
  <si>
    <t>100 SUR Y 25 ESTE DE LAVAND, LA MARGARITA</t>
  </si>
  <si>
    <t>100 SUR Y 75 OESTE DEL INS EN CARTAGO</t>
  </si>
  <si>
    <t>DEL BNCR EN BELEN CENTRO,300 N.Y 150 OESTE</t>
  </si>
  <si>
    <t>LIANA M. BARQUERO RESTREPO</t>
  </si>
  <si>
    <t>6636</t>
  </si>
  <si>
    <t>LICEO RURAL TSIRURURI</t>
  </si>
  <si>
    <t>14 KM ESTE DE ALTO QUETZAL</t>
  </si>
  <si>
    <t>6625</t>
  </si>
  <si>
    <t>LICEO RURAL JAK KSARI</t>
  </si>
  <si>
    <t>ÑARI ÑAKA</t>
  </si>
  <si>
    <t>DAVID GARCIA MONTERO</t>
  </si>
  <si>
    <t>NARI NAK</t>
  </si>
  <si>
    <t>6631</t>
  </si>
  <si>
    <t>DE LA ANTIGUA GAR 200 OESTE</t>
  </si>
  <si>
    <t>6632</t>
  </si>
  <si>
    <t>6624</t>
  </si>
  <si>
    <t>800 MTS SUR DE LA GASOLINERA HERMANOS MONTES</t>
  </si>
  <si>
    <t>Académica Nocturna</t>
  </si>
  <si>
    <t>Biología</t>
  </si>
  <si>
    <t>Química</t>
  </si>
  <si>
    <t>Física</t>
  </si>
  <si>
    <t>Educación para la Vida Cotidiana</t>
  </si>
  <si>
    <t>Educación Cívica</t>
  </si>
  <si>
    <t>Filosofía</t>
  </si>
  <si>
    <t>Sicología</t>
  </si>
  <si>
    <t>Laboratorio de Química</t>
  </si>
  <si>
    <t>** Considere al personal que atiende el Plan Nacional.</t>
  </si>
  <si>
    <t>CUADRO 13</t>
  </si>
  <si>
    <t>Docentes-Académica Diurna</t>
  </si>
  <si>
    <t>CUADRO 10</t>
  </si>
  <si>
    <t>10º</t>
  </si>
  <si>
    <t>BILINGÜE BOCA DEL MONTE</t>
  </si>
  <si>
    <t>LICEO RURAL KABEBATA</t>
  </si>
  <si>
    <t xml:space="preserve">Docentes </t>
  </si>
  <si>
    <t>III Ciclo</t>
  </si>
  <si>
    <t>Educación Diversificada</t>
  </si>
  <si>
    <t>00149</t>
  </si>
  <si>
    <t>4083</t>
  </si>
  <si>
    <t>CONSERVATORIO CASTELLA</t>
  </si>
  <si>
    <t>BARREAL</t>
  </si>
  <si>
    <t>DE LA GASOLINERA UNO,300 SUR BARREAL DE HERED</t>
  </si>
  <si>
    <t>00345</t>
  </si>
  <si>
    <t>4096</t>
  </si>
  <si>
    <t>LA CARRETA</t>
  </si>
  <si>
    <t>Subdirector</t>
  </si>
  <si>
    <t>CUADRO 6</t>
  </si>
  <si>
    <t>Administrativos Reubicados</t>
  </si>
  <si>
    <t>Técnicos-Docentes Reubicados</t>
  </si>
  <si>
    <t>Docentes Reubicados</t>
  </si>
  <si>
    <t>Docentes Reubicados de Educación Especial</t>
  </si>
  <si>
    <t>Académico-Tradicional</t>
  </si>
  <si>
    <t>7º</t>
  </si>
  <si>
    <t>8º</t>
  </si>
  <si>
    <t>9º</t>
  </si>
  <si>
    <t>11º</t>
  </si>
  <si>
    <t>12º</t>
  </si>
  <si>
    <t>(No incluir Bachillerato Internacional)</t>
  </si>
  <si>
    <t>ESTUDIANTES DE ACADÉMICA DIURNA QUE ADELANTAN UNA O MAS ASIGNATURAS</t>
  </si>
  <si>
    <t>Adelantan una o más asignaturas de:</t>
  </si>
  <si>
    <t>Discapacidad/Condición</t>
  </si>
  <si>
    <t>Cubículos</t>
  </si>
  <si>
    <t>SAINT CLARE</t>
  </si>
  <si>
    <t>COLEGIO DIOCESANO PADRE ELADIO SANCHO</t>
  </si>
  <si>
    <t>LICEO SANTA CRUZ, CLIMACO A. PEREZ</t>
  </si>
  <si>
    <t>EL ESPIRITU SANTO</t>
  </si>
  <si>
    <t>MARIA INMACULADA</t>
  </si>
  <si>
    <t>LICEO RIO BANANO</t>
  </si>
  <si>
    <t>COLEGIO DEPORTIVO DE LIMON</t>
  </si>
  <si>
    <t>MOIN</t>
  </si>
  <si>
    <t>ADVENTISTA DE LIMON</t>
  </si>
  <si>
    <t>PUEBLO NUEVO</t>
  </si>
  <si>
    <t>NUESTRA SEÑORA DE LOURDES</t>
  </si>
  <si>
    <t>C.E.I. SAN JORGE</t>
  </si>
  <si>
    <t>LICEO LA ALEGRIA</t>
  </si>
  <si>
    <t>CATOLICO SAN AMBROSIO</t>
  </si>
  <si>
    <t>EUPI</t>
  </si>
  <si>
    <t>LICEO RODRIGO SOLANO QUIROS</t>
  </si>
  <si>
    <t>NUEVA GENERACION "EL COPEY"</t>
  </si>
  <si>
    <t>TOMAS GUARDIA</t>
  </si>
  <si>
    <t>COLEGIO SANTA EDUVIGES</t>
  </si>
  <si>
    <t>LICEO RURAL JOSE LUIS JIMENEZ ALCALA</t>
  </si>
  <si>
    <t>LICEO VERACRUZ</t>
  </si>
  <si>
    <t>BARRA DE PARISMINA</t>
  </si>
  <si>
    <t>UNIDAD PEDAGOGICA RIO CUBA</t>
  </si>
  <si>
    <t>COLEGIO CEBITT INTERNACIONAL</t>
  </si>
  <si>
    <t>CAMINANTES</t>
  </si>
  <si>
    <t>BARRIO TIPO H</t>
  </si>
  <si>
    <t>LICEO SAN MARCOS</t>
  </si>
  <si>
    <t>UNIVERSITARIO PARA NIÑOS Y ADOLESCENTES</t>
  </si>
  <si>
    <t>ABROJO MONTEZUMA</t>
  </si>
  <si>
    <t>MONTECARLO</t>
  </si>
  <si>
    <t>LICEO COQUITAL</t>
  </si>
  <si>
    <t>LICEO RURAL ALTO COMTE</t>
  </si>
  <si>
    <t>00756</t>
  </si>
  <si>
    <t>TALLER PEDAGOGICO MONTEBELLO</t>
  </si>
  <si>
    <t>LICEO LLANO LOS ANGELES</t>
  </si>
  <si>
    <t>I.E.G.B. LIMON 2000</t>
  </si>
  <si>
    <t>LICEO RURAL VILLA HERMOSA</t>
  </si>
  <si>
    <t>EL CARMELO</t>
  </si>
  <si>
    <t>BILINGÜE VIRGEN DEL PILAR</t>
  </si>
  <si>
    <t>ADVENTISTA PASO CANOAS</t>
  </si>
  <si>
    <t>SEMILLAS</t>
  </si>
  <si>
    <t>UNIDAD PEDAGOGICA ISLA CABALLO</t>
  </si>
  <si>
    <t>01038</t>
  </si>
  <si>
    <t>SAN MIGUELITO</t>
  </si>
  <si>
    <t>AMERICANA SAN PATRICIO</t>
  </si>
  <si>
    <t>01062</t>
  </si>
  <si>
    <t>6666</t>
  </si>
  <si>
    <t>COLEGIO SAN FRANCISCO DE LA PALMERA</t>
  </si>
  <si>
    <t>01063</t>
  </si>
  <si>
    <t>6676</t>
  </si>
  <si>
    <t>COLEGIO DE LEPANTO</t>
  </si>
  <si>
    <t>01064</t>
  </si>
  <si>
    <t>6667</t>
  </si>
  <si>
    <t>PALACIOS</t>
  </si>
  <si>
    <t>LICEO RURAL PALACIOS</t>
  </si>
  <si>
    <t>01065</t>
  </si>
  <si>
    <t>LIGHTHOUSE INTERNATIONAL SCHOOL</t>
  </si>
  <si>
    <t>01066</t>
  </si>
  <si>
    <t>EL COYOL</t>
  </si>
  <si>
    <t>01070</t>
  </si>
  <si>
    <t>VIRGEN DE GUADALUPE</t>
  </si>
  <si>
    <t>01071</t>
  </si>
  <si>
    <t>VALUES IN ACTION</t>
  </si>
  <si>
    <t>01072</t>
  </si>
  <si>
    <t>PLAYAS DE COCO</t>
  </si>
  <si>
    <t>DOLPHINS ACADEMY SCHOOL</t>
  </si>
  <si>
    <t>SUBVENCIONADA</t>
  </si>
  <si>
    <t>SILVIO CALDERON MONTERO</t>
  </si>
  <si>
    <t>ROSIBEL AGÜERO QUIROS</t>
  </si>
  <si>
    <t>HENRY ALVARADO ZUMBADO</t>
  </si>
  <si>
    <t>JORGE ALEXIS PICADO CORRALES</t>
  </si>
  <si>
    <t>MERLYN GONZALEZ REID</t>
  </si>
  <si>
    <t>LUCRECIA AMADOR MEZA</t>
  </si>
  <si>
    <t>JEFRY ROJAS JIMENEZ</t>
  </si>
  <si>
    <t>SANTIAGO HERRERA BARRANTES</t>
  </si>
  <si>
    <t>CARLOS EMILIO ALVAREZ GARAY</t>
  </si>
  <si>
    <t>ILIANA RAMIREZ HERNANDEZ</t>
  </si>
  <si>
    <t>LETICIA ARRIETA CHACON</t>
  </si>
  <si>
    <t>JOSE WILMAR DIAZ ORIAS</t>
  </si>
  <si>
    <t>RODOLFO OROZCO JUAREZ</t>
  </si>
  <si>
    <t>ADRIAN CARPIO GOMEZ</t>
  </si>
  <si>
    <t>RONNY GARITA CHAVARRIA</t>
  </si>
  <si>
    <t>ALBINO MIRANDA CORRALES</t>
  </si>
  <si>
    <t>MAUREEN VARELA ARAYA</t>
  </si>
  <si>
    <t>YERLIN JARA AMORES</t>
  </si>
  <si>
    <t>DIEGO BALTODANO ARCE</t>
  </si>
  <si>
    <t>GERARDO MURILLO GAMBOA</t>
  </si>
  <si>
    <t>HELEN VILLANUEVA VARGAS</t>
  </si>
  <si>
    <t>JESSICA SOTO CORRALES</t>
  </si>
  <si>
    <t>JOSE RAMON ESPINOZA LOPEZ</t>
  </si>
  <si>
    <t>ANA T BARQUERO SANABRIA</t>
  </si>
  <si>
    <t>ANA CECILIA AUED FLORES</t>
  </si>
  <si>
    <t>DAMARIS GARCIA VARGAS</t>
  </si>
  <si>
    <t>200 E 200 S CLINICA MORENO CAÑAS</t>
  </si>
  <si>
    <t>lic.detarrazu@mep.go.cr</t>
  </si>
  <si>
    <t>lic.gregoriojoseramirez@mep.go.cr</t>
  </si>
  <si>
    <t>lic.leoncortescastro@mep.go.cr</t>
  </si>
  <si>
    <t>lic.deatenas@mep.go.cr</t>
  </si>
  <si>
    <t>DEL CUERPO DE BOMBEROS 100 SUR</t>
  </si>
  <si>
    <t>col.deguanacaste@mep.go.cr</t>
  </si>
  <si>
    <t>lic.santacruz@mep.go.cr</t>
  </si>
  <si>
    <t>lic.maurilioalvaradovargas@mep.go.cr</t>
  </si>
  <si>
    <t>liceo.josemarti@mep.go.cr</t>
  </si>
  <si>
    <t>FRENTE AL CEMENTERIO DE LA COMUNIDAD</t>
  </si>
  <si>
    <t>lic.deciudadneilly@mep.go.cr</t>
  </si>
  <si>
    <t>A UN COSTADO DE LA ESCUELA ALBERTO ECHANDI</t>
  </si>
  <si>
    <t>col.delimondiurno@mep.go.cr</t>
  </si>
  <si>
    <t>DIAGONAL AL TALLER DEL INA</t>
  </si>
  <si>
    <t>lic.antonioobandochan@mep.go.cr</t>
  </si>
  <si>
    <t>lic.decariari@mep.go.cr</t>
  </si>
  <si>
    <t>lic.sanpedro@mep.go.cr</t>
  </si>
  <si>
    <t>upe.josebreiderhoff@mep.go.cr</t>
  </si>
  <si>
    <t>100 N Y 400 E DE PALI</t>
  </si>
  <si>
    <t>100 NORTE DE PLAZA DE DEPORTES, CUATRO REINAS</t>
  </si>
  <si>
    <t>CONTIGUO AL PUENTE DEL EL RIO AGUACALIENTE</t>
  </si>
  <si>
    <t>1 K. AL ESTE DE LA MUNICIPALIDAD DE MATINA</t>
  </si>
  <si>
    <t>lic.pacificosur@mep.go.cr</t>
  </si>
  <si>
    <t>lic.expbilinguedepococi@mep.go.cr</t>
  </si>
  <si>
    <t>lic.expbilinguesantacruz@mep.go.cr</t>
  </si>
  <si>
    <t>lic.deticaban@mep.go.cr</t>
  </si>
  <si>
    <t>lic.desantacecilia@mep.go.cr</t>
  </si>
  <si>
    <t>col.diurnodeflorencia@mep.go.cr</t>
  </si>
  <si>
    <t>lic.decarrillos@mep.go.cr</t>
  </si>
  <si>
    <t>1KM OESTE DEL TEMPLO CATOLICO</t>
  </si>
  <si>
    <t>col.detabarcia@mep.go.cr</t>
  </si>
  <si>
    <t>lic.debocasdenosara@mep.go.cr</t>
  </si>
  <si>
    <t>lic.debrasilia@mep.go.cr</t>
  </si>
  <si>
    <t>500 NORTE DE LA IGLESIA CATOLICA-CORRLILLO</t>
  </si>
  <si>
    <t>550 SUR DE LA PLAZA DE DEPORTES DE GUADALUPE</t>
  </si>
  <si>
    <t>lic.deduacari@mep.go.cr</t>
  </si>
  <si>
    <t>FABRICA DE CAJETAS DE SAN DIEGO 300 AL OESTE</t>
  </si>
  <si>
    <t>lic.depavon@mep.go.cr</t>
  </si>
  <si>
    <t>col.ambientalistaelroble@mep.go.cr</t>
  </si>
  <si>
    <t>lic.laalegria@mep.go.cr</t>
  </si>
  <si>
    <t>300 M. ESTE DE PLAZA DE DEPORTES, LA ALEGRIA</t>
  </si>
  <si>
    <t>lic.santarita@mep.go.cr</t>
  </si>
  <si>
    <t>col.republicadeitalia@mep.go.cr</t>
  </si>
  <si>
    <t>lic.rodrigosolanoquiros@mep.go.cr</t>
  </si>
  <si>
    <t>lic.sinai@mep.go.cr</t>
  </si>
  <si>
    <t>DE LA IGLESIA TESTIGOS DE JEHOVA 200MTS ESTE</t>
  </si>
  <si>
    <t>licruralbarradeltortuguer@mep.go.cr</t>
  </si>
  <si>
    <t>300 M. OESTE DE LA IGLESIA CATOLICA</t>
  </si>
  <si>
    <t>VESTA VALLE LA ESTRELLA</t>
  </si>
  <si>
    <t>lic.ruralelconcho@mep.go.cr</t>
  </si>
  <si>
    <t>lic.ruralgranodeoro@mep.go.cr</t>
  </si>
  <si>
    <t>lic.rurallosangelesdeparamo@mep.go.cr</t>
  </si>
  <si>
    <t>lic.lasesperanzas@mep.go.cr</t>
  </si>
  <si>
    <t>lic.canaan@mep.go.cr</t>
  </si>
  <si>
    <t>lic.ruralsantaeduviges@mep.go.cr</t>
  </si>
  <si>
    <t>lic.ruralsanjoaquin@mep.go.cr</t>
  </si>
  <si>
    <t>lic.samara@mep.go.cr</t>
  </si>
  <si>
    <t>lic.dosrios@mep.go.cr</t>
  </si>
  <si>
    <t>lic.ambientalistallanobonito@mep.go.cr</t>
  </si>
  <si>
    <t>lic.ruralbarraparismina@mep.go.cr</t>
  </si>
  <si>
    <t>upe.riocuba@mep.go.cr</t>
  </si>
  <si>
    <t>lic.bocadearenal@mep.go.cr</t>
  </si>
  <si>
    <t>lic.buenosaires@mep.go.cr</t>
  </si>
  <si>
    <t>lic.coronelmanuelarguello@mep.go.cr</t>
  </si>
  <si>
    <t>lic.sanfranciscodecajon@mep.go.cr</t>
  </si>
  <si>
    <t>lic.debelen@mep.go.cr</t>
  </si>
  <si>
    <t>lic.ruralislavenado@mep.go.cr</t>
  </si>
  <si>
    <t>lic.ruralcabeceras@mep.go.cr</t>
  </si>
  <si>
    <t>lic.ruralmanzanillo@mep.go.cr</t>
  </si>
  <si>
    <t>lic.ruralsanjoaquindetuis@mep.go.cr</t>
  </si>
  <si>
    <t>lic.elporvenir@mep.go.cr</t>
  </si>
  <si>
    <t>lic.franciscoamighettiherrera@mep.go.cr</t>
  </si>
  <si>
    <t>lic.ruralbuenavista@mep.go.cr</t>
  </si>
  <si>
    <t>DE LA ENTRADA A PLAYA BLANCA 300 M. AL SUR</t>
  </si>
  <si>
    <t>lic.ruraleljardin@mep.go.cr</t>
  </si>
  <si>
    <t>lic.ruralrionuevo@mep.go.cr</t>
  </si>
  <si>
    <t>lic.ruralabrojomontezuma@mep.go.cr</t>
  </si>
  <si>
    <t>lic.deguardia@mep.go.cr</t>
  </si>
  <si>
    <t>A UN COSTADO DEL EBAIS DE VENECIA</t>
  </si>
  <si>
    <t>lic.ruralsantiagodesanpedro@mep.go.cr</t>
  </si>
  <si>
    <t>lic.academicosanantonio@mep.go.cr</t>
  </si>
  <si>
    <t>col.playasdelcoco@mep.go.cr</t>
  </si>
  <si>
    <t>lic.expbilinguejimenez@mep.go.cr</t>
  </si>
  <si>
    <t>lic.villanueva@mep.go.cr</t>
  </si>
  <si>
    <t>lic.ruralpiedrasazules@mep.go.cr</t>
  </si>
  <si>
    <t>lic.ruralidasanluis@mep.go.cr</t>
  </si>
  <si>
    <t>lic.ruralsanantonio@mep.go.cr</t>
  </si>
  <si>
    <t>lic.debebedero@mep.go.cr</t>
  </si>
  <si>
    <t>tele.bocario@mep.go.cr</t>
  </si>
  <si>
    <t>lic.rurallagarita@mep.go.cr</t>
  </si>
  <si>
    <t>lic.elconsueloquebradagrande@mep.go.cr</t>
  </si>
  <si>
    <t>liceo.aeropuertojerusalen@mep.go.cr</t>
  </si>
  <si>
    <t>lic.lapalmera@mep.go.cr</t>
  </si>
  <si>
    <t>lic.ruralbelen@mep.go.cr</t>
  </si>
  <si>
    <t>lic.ruralaguaszarcas@mep.go.cr</t>
  </si>
  <si>
    <t>lic.ruralcanondelguarco@mep.go.cr</t>
  </si>
  <si>
    <t>lic.banderasdepocosol@mep.go.cr</t>
  </si>
  <si>
    <t>lic.laluchadeprotrerogrande@mep.go.cr</t>
  </si>
  <si>
    <t>lic.lasmercedes@mep.go.cr</t>
  </si>
  <si>
    <t>CONTIGUO A CRUZ ROJA DE STA ROSA</t>
  </si>
  <si>
    <t>lic.academicodebuenosaires@mep.go.cr</t>
  </si>
  <si>
    <t>col.academicofincanaranjo@mep.go.cr</t>
  </si>
  <si>
    <t>300 M NOROESTE DE GUARDIA RURAL, FCA. NARANJO</t>
  </si>
  <si>
    <t>lic.ruralparaiso@mep.go.cr</t>
  </si>
  <si>
    <t>upe.eltorito@mep.go.cr</t>
  </si>
  <si>
    <t>lic.sonafluca@mep.go.cr</t>
  </si>
  <si>
    <t>lic.sanantoniodelhumo@mep.go.cr</t>
  </si>
  <si>
    <t>liceotierrablanca@gmail.com</t>
  </si>
  <si>
    <t>100 NORTE DE LA IGLESIA TIERRA BLANCA</t>
  </si>
  <si>
    <t>EN AULAS PARROQUIALES DEL TEMPLO CATOLICO</t>
  </si>
  <si>
    <t>lic.rural.kjakuosulo@mep.go.cr</t>
  </si>
  <si>
    <t>4 KILOMETROS ESTE DEL PUENTE DE VAREH</t>
  </si>
  <si>
    <t>col.omarsalazarobando@mep.go.cr</t>
  </si>
  <si>
    <t>col.florida@mep.go.cr</t>
  </si>
  <si>
    <t>col.pacuare@mep.go.cr</t>
  </si>
  <si>
    <t>lic.santisimatrinidad@mep.go.cr</t>
  </si>
  <si>
    <t>1 KM ESTE ANTES DE LLEGAR A ESC. DEL PROGRESO</t>
  </si>
  <si>
    <t>lic.rural.launion@mep.go.cr</t>
  </si>
  <si>
    <t>lic.ruraltsirururi@mep.go.cr</t>
  </si>
  <si>
    <t>david.garcia.montero@mep.go.cr</t>
  </si>
  <si>
    <t>col.ruralislacaballo@mep.go.cr</t>
  </si>
  <si>
    <t>PLAYA CORONADO, ISLA CABALLO</t>
  </si>
  <si>
    <t>02782</t>
  </si>
  <si>
    <t>COSTA RICA INTERNATIONAL ACADEMY</t>
  </si>
  <si>
    <t>01067</t>
  </si>
  <si>
    <t>01068</t>
  </si>
  <si>
    <t>PLAYA BRASILITO</t>
  </si>
  <si>
    <t>MONTE ROCA</t>
  </si>
  <si>
    <t>1 KM. OESTE DEL BANCO DAVIVIENDA</t>
  </si>
  <si>
    <t>semi@colegioseminario.net</t>
  </si>
  <si>
    <t>EDGARDO PIEDRA GARITA</t>
  </si>
  <si>
    <t>DAVID JONATHON BERRIDGE</t>
  </si>
  <si>
    <t>brit.sch.cr@gmail.com</t>
  </si>
  <si>
    <t>MARALI RODRIGUEZ RAMIREZ</t>
  </si>
  <si>
    <t>sfc@stfrancis.ed.cr</t>
  </si>
  <si>
    <t>100 SUR DE ESCUELA CARLOS SANABRIA</t>
  </si>
  <si>
    <t>EDIFIO DE LA UTN,PASEO DE LOS TURISTAS</t>
  </si>
  <si>
    <t>URBANIZACION TERRAZAS DEL MAR</t>
  </si>
  <si>
    <t>secundaria@colegiosaintjohn.com</t>
  </si>
  <si>
    <t>125 ESTE DE LA PLAZA DE DEPORTES</t>
  </si>
  <si>
    <t>JUAN BAUTISTA CASTRO ELIZONDO</t>
  </si>
  <si>
    <t>info@colebilinguedelvalle.com</t>
  </si>
  <si>
    <t>1200 MTS SUR DL RESTAURANTE DOÑA LELA</t>
  </si>
  <si>
    <t>secundaria@anglo.ed.cr</t>
  </si>
  <si>
    <t>MARIA FELICIA CAMPOS MENDEZ</t>
  </si>
  <si>
    <t>NUMAN ALVARADO MOLINA</t>
  </si>
  <si>
    <t>2KM SUR DEL RESTAURANTE DOÑA LELA</t>
  </si>
  <si>
    <t>ANA MARCELA RODRIGUEZ ALVAREZ</t>
  </si>
  <si>
    <t>EUGENIA MARIA OVARES RODRIGUEZ</t>
  </si>
  <si>
    <t>PLAYA NEGRA,CAHUITA DETRAS DE PULP.LA AMISTAD</t>
  </si>
  <si>
    <t>ANA TERESA SALAZAR QUIROS</t>
  </si>
  <si>
    <t>125 SUR DE LA SEDE DE LA UCR CARRETERA OROSI</t>
  </si>
  <si>
    <t>JOHNNY MORA CAMPOS</t>
  </si>
  <si>
    <t>caminantescr@yahoo.com/caminanteseduc@gmail.com</t>
  </si>
  <si>
    <t>MARCO VINICIO RODRIGUEZ</t>
  </si>
  <si>
    <t>mrodriguezb@racsa.co.cr</t>
  </si>
  <si>
    <t>cccpuntarenas@gmail.com</t>
  </si>
  <si>
    <t>INSTALACIONES UCR SEDE DEL PACIFICO</t>
  </si>
  <si>
    <t>JOSE CONTRERAS CARRILLO</t>
  </si>
  <si>
    <t>100 METROS NORTE DE LA PANADERIA MUSMANNI</t>
  </si>
  <si>
    <t>JOHANNA SALAZAR ARAYA</t>
  </si>
  <si>
    <t>400 M NORTE ENTRADA A SAN MIGUELITO</t>
  </si>
  <si>
    <t>info@criacademy.com</t>
  </si>
  <si>
    <t>400 M SUR HOTEL WESTIN</t>
  </si>
  <si>
    <t>LAURA BARQUERO SANCHO</t>
  </si>
  <si>
    <t>DE SPOON PLAZA LOS LAURELES, 50 MTS AL OESTE</t>
  </si>
  <si>
    <t>LUIS CASCANTE FERNANDEZ</t>
  </si>
  <si>
    <t>600 M OESTE DE RITEVE</t>
  </si>
  <si>
    <t>educagustin@escuelabilinguesanagustin.com</t>
  </si>
  <si>
    <t>NAHIMA PIEDRA DELGADO</t>
  </si>
  <si>
    <t>loveatworkschool@gmail.com</t>
  </si>
  <si>
    <t>LICEO RURAL BOCA RIO SAN CARLOS</t>
  </si>
  <si>
    <t>LICEO LABRADOR</t>
  </si>
  <si>
    <t>LICEO RURAL QUIRIMAN</t>
  </si>
  <si>
    <t>01076</t>
  </si>
  <si>
    <t>6742</t>
  </si>
  <si>
    <t>LICEO DE SANTIAGO</t>
  </si>
  <si>
    <t>01077</t>
  </si>
  <si>
    <t>6714</t>
  </si>
  <si>
    <t>LICEO NUEVO DE PURISCAL</t>
  </si>
  <si>
    <t>01078</t>
  </si>
  <si>
    <t>6717</t>
  </si>
  <si>
    <t>COLEGIO DE SIQUIRRES</t>
  </si>
  <si>
    <t>01080</t>
  </si>
  <si>
    <t>6752</t>
  </si>
  <si>
    <t>LICEO RURAL VARA BLANCA</t>
  </si>
  <si>
    <t>01081</t>
  </si>
  <si>
    <t>6716</t>
  </si>
  <si>
    <t>LICEO DE GUARARI</t>
  </si>
  <si>
    <t>JUNQUILLO ARRIBA</t>
  </si>
  <si>
    <t>VARA BLANCA</t>
  </si>
  <si>
    <t>GUARARI</t>
  </si>
  <si>
    <t>lic.deboruca@mep.go.cr</t>
  </si>
  <si>
    <t>lic.ambientalistadehorquetas@mep.go.cr</t>
  </si>
  <si>
    <t>LOVE AT WORK INTERNATIONAL CHRISTIAN SCHOOL</t>
  </si>
  <si>
    <t>01069</t>
  </si>
  <si>
    <t>SISTEMA EDUCATIVO CENIT</t>
  </si>
  <si>
    <t>CAPULIN</t>
  </si>
  <si>
    <t>MARLEN SALAZAR SOLORZANO</t>
  </si>
  <si>
    <t>info@cenitcr.com</t>
  </si>
  <si>
    <t>SILVIA CAMBRONERO MORAGA</t>
  </si>
  <si>
    <t>JUAN ANTONIO RODRIGUEZ LOBO</t>
  </si>
  <si>
    <t>350 ESTE DEL MEGASUPER</t>
  </si>
  <si>
    <t>MELISSA ELIZONDO AGUERO</t>
  </si>
  <si>
    <t>Si requiere más filas, insértelas.</t>
  </si>
  <si>
    <t>Datos del director(a):</t>
  </si>
  <si>
    <t xml:space="preserve">Nombre: </t>
  </si>
  <si>
    <t xml:space="preserve">Firma: </t>
  </si>
  <si>
    <t>Datos del supervisor(a):</t>
  </si>
  <si>
    <t>1-07-07</t>
  </si>
  <si>
    <t>1-19-12</t>
  </si>
  <si>
    <t>2-02-14</t>
  </si>
  <si>
    <t>6-02-06</t>
  </si>
  <si>
    <t>6-08-06</t>
  </si>
  <si>
    <t>LICEO ING. SAMUEL SAENZ FLORES</t>
  </si>
  <si>
    <t>COLEGIO RODRIGO HERNANDEZ VARGAS</t>
  </si>
  <si>
    <t>COLEGIO SANTA MARIA DE GUADALUPE</t>
  </si>
  <si>
    <t>EXPERIMENTAL BILINGÜE DE BELEN</t>
  </si>
  <si>
    <t>SAN JOSE DE LA MONTAÑA</t>
  </si>
  <si>
    <t>LICEO RURAL BAHIA DRAKE</t>
  </si>
  <si>
    <t>LICEO RURAL GUACIMAL</t>
  </si>
  <si>
    <t>01087</t>
  </si>
  <si>
    <t>6357</t>
  </si>
  <si>
    <t>NIÑO JESUS DE BELEN</t>
  </si>
  <si>
    <t>BARRIO SAN JOSE</t>
  </si>
  <si>
    <t>LA CORTE, SAN RAMON</t>
  </si>
  <si>
    <t>SAN JOAQUIN FLORES</t>
  </si>
  <si>
    <t>MILENA MUÑOZ AGUIRRE</t>
  </si>
  <si>
    <t>liceo.escazu@mep.go.cr</t>
  </si>
  <si>
    <t>col.degravilias@mep.go.cr</t>
  </si>
  <si>
    <t>lic.sanmiguel@mep.go.cr</t>
  </si>
  <si>
    <t>lic.sanantonio@mep.go.cr</t>
  </si>
  <si>
    <t>lic.depuriscal@mep.go.cr</t>
  </si>
  <si>
    <t>150 MTS NOROESTE ABASTECEDOR PADILLA</t>
  </si>
  <si>
    <t>lic.santaana@mep.go.cr</t>
  </si>
  <si>
    <t>lic.decoronado@mep.go.cr</t>
  </si>
  <si>
    <t>lic.maurofernandezacuna@mep.go.cr</t>
  </si>
  <si>
    <t>lic.laboratorioemmagamboa@mep.go.cr</t>
  </si>
  <si>
    <t>GEOVANNY ESQUIVEL ALFARO</t>
  </si>
  <si>
    <t>col.decedros@mep.go.cr</t>
  </si>
  <si>
    <t>col.elcarmendealajuela@mep.go.cr</t>
  </si>
  <si>
    <t>LUIS DIEGO QUESADA ROSALES</t>
  </si>
  <si>
    <t>lic.otilioulateblanco@mep.go.cr</t>
  </si>
  <si>
    <t>lic.sanrafael.alajuela@mep.go.cr</t>
  </si>
  <si>
    <t>JUAN CARLOS QUESADA FONSECA</t>
  </si>
  <si>
    <t>col.patriarcasanjosesecundaria@mep.go.cr</t>
  </si>
  <si>
    <t>col.superiorjulioacosta@mep.go.cr</t>
  </si>
  <si>
    <t>col.denaranjo@mep.go.cr</t>
  </si>
  <si>
    <t>lic.depoas@mep.go.cr</t>
  </si>
  <si>
    <t>col.diocesanoeladiosnacho@mep.go.cr</t>
  </si>
  <si>
    <t>lic.sancarlos@mep.go.cr</t>
  </si>
  <si>
    <t>lic.vicentelachnersandoval@mep.go.cr</t>
  </si>
  <si>
    <t>lic.deparaiso@mep.go.cr</t>
  </si>
  <si>
    <t>lic.brauliocarrillocolina@mep.go.cr</t>
  </si>
  <si>
    <t>lic.eliasleivaquiros@mep.go.cr</t>
  </si>
  <si>
    <t>lic.ingmanuelbenavides@mep.go.cr</t>
  </si>
  <si>
    <t>lic.desantabarbara@mep.go.cr</t>
  </si>
  <si>
    <t>700 MTRS N DE LA IGLESIA CATOLICA</t>
  </si>
  <si>
    <t>TERESITA SANCHEZ ELIZONDO</t>
  </si>
  <si>
    <t>upe.elroble@mep.go.cr</t>
  </si>
  <si>
    <t>lic.regionaldeflores@mep.go.cr</t>
  </si>
  <si>
    <t>liceo.mario.vindas@mep.go.cr</t>
  </si>
  <si>
    <t>JAYRON OBANDO OSES</t>
  </si>
  <si>
    <t>ROSEMARY SOTO OVARES</t>
  </si>
  <si>
    <t>lic.deesparza@mep.go.cr</t>
  </si>
  <si>
    <t>100 MTS. OESTE DE CORREOS DE COSTA RICA</t>
  </si>
  <si>
    <t>lic.loslagos@mep.go.cr</t>
  </si>
  <si>
    <t>DETRAS DE LA PLAZA DE DEPORTES, VALLE AZUL</t>
  </si>
  <si>
    <t>GILBERTH MORA GRANADOS</t>
  </si>
  <si>
    <t>lic.expbilinguedegrecia@mep.go.cr</t>
  </si>
  <si>
    <t>lic.expbilinguejosefigueres@mep.go.cr</t>
  </si>
  <si>
    <t>lic.defrailes@mep.go.cr</t>
  </si>
  <si>
    <t>lic.academicocomte@mep.go.cr</t>
  </si>
  <si>
    <t>liceo.sanfrancisco@hotmail.com</t>
  </si>
  <si>
    <t>400 M. OESTE CARRETERA A PUNTA MORALES</t>
  </si>
  <si>
    <t>lic.isladechira@mep.go.cr</t>
  </si>
  <si>
    <t>50 MTS OESTE DE LA IGLESIA CATOLICA</t>
  </si>
  <si>
    <t>lic.expbilinguelatrinidad@mep.go.cr</t>
  </si>
  <si>
    <t>lic.dematina@mep.go.cr</t>
  </si>
  <si>
    <t>lic.riobanano@mep.go.cr</t>
  </si>
  <si>
    <t>col.deportivodelimon@mep.go.cr</t>
  </si>
  <si>
    <t>col.artisticofelipeperez@mep.go.cr</t>
  </si>
  <si>
    <t>600 ESTE Y 50 NORTE DE PANADERIA SANCHEZ</t>
  </si>
  <si>
    <t>lic.santateresita.turrialba@mep.go.cr</t>
  </si>
  <si>
    <t>lic.desucre@mep.go.cr</t>
  </si>
  <si>
    <t>lic.dekatira@mep.go.cr</t>
  </si>
  <si>
    <t>lic.teodoropicado@mep.go.cr</t>
  </si>
  <si>
    <t>lic.sanantoniodecoronado@mep.go.cr</t>
  </si>
  <si>
    <t>lic.corralillo@mep.go.cr</t>
  </si>
  <si>
    <t>lic.dechachagua@mep.go.cr</t>
  </si>
  <si>
    <t>lic.sanroque@mep.go.cr</t>
  </si>
  <si>
    <t>lic.nuestrasenoradelosangeles@mep.go.cr</t>
  </si>
  <si>
    <t>lic.sanfranciscodecoyote@mep.go.cr</t>
  </si>
  <si>
    <t>col.rincongrande@mep.go.cr</t>
  </si>
  <si>
    <t>lic.expbilinguedenaranjo@mep.go.cr</t>
  </si>
  <si>
    <t>col.ambientalistapejibaye@mep.go.cr</t>
  </si>
  <si>
    <t>CARLOS GABRIEL UMANA POVEDA</t>
  </si>
  <si>
    <t>lic.tresequis@mep.go.cr</t>
  </si>
  <si>
    <t>lic.capitanramonrivas@mep.go.cr</t>
  </si>
  <si>
    <t>lic.ruralsanjorge@mep.go.cr</t>
  </si>
  <si>
    <t>100 NORTE,50 E Y 100 N PLAZA DE DEPORTES</t>
  </si>
  <si>
    <t>col.indigenaujarras@mep.go.cr</t>
  </si>
  <si>
    <t>DENNIS FERNANDEZ GOMEZ</t>
  </si>
  <si>
    <t>MARIA EDUVIGES MOYA HERRERA</t>
  </si>
  <si>
    <t>col.fincaalajuela@mep.go.cr</t>
  </si>
  <si>
    <t>lic.depocora@mep.go.cr</t>
  </si>
  <si>
    <t>WARNER ANTONIO VEGA SOLIS</t>
  </si>
  <si>
    <t>lic.deconcepcion@mep.go.cr</t>
  </si>
  <si>
    <t>lic.changuana@mep.go.cr</t>
  </si>
  <si>
    <t>licrurallaesperanza@mep.go.cr</t>
  </si>
  <si>
    <t>lic.lasdelicias@mep.go.cr</t>
  </si>
  <si>
    <t>col.costadepajaros@mep.go.cr</t>
  </si>
  <si>
    <t>100 M. NORTE DE LA ESCUELA BRISAS DEL GOLFO</t>
  </si>
  <si>
    <t>lic.hernanzamoraelizondo@mep.go.cr</t>
  </si>
  <si>
    <t>upe.casahogartiatere@mep.go.cr</t>
  </si>
  <si>
    <t>300 OESTE DEL SALON COMUNAL DE MANZANILLO</t>
  </si>
  <si>
    <t>lic.laguacima@mep.go.cr</t>
  </si>
  <si>
    <t>lic.ruraldecedral@mep.go.cr</t>
  </si>
  <si>
    <t>lic.ruralsanrafael@mep.go.cr</t>
  </si>
  <si>
    <t>lic.ruralmedioqueso@mep.go.cr</t>
  </si>
  <si>
    <t>150 MTS. OESTE Y 100 SUR DEL EBAIS</t>
  </si>
  <si>
    <t>lic.enriqueguiersaenz@mep.go.cr</t>
  </si>
  <si>
    <t>col.academicolapalma@mep.go.cr</t>
  </si>
  <si>
    <t>lic.sabanillas@mep.go.cr</t>
  </si>
  <si>
    <t>lic.canalete@mep.go.cr</t>
  </si>
  <si>
    <t>lic.yolandaoreamuno@mep.go.cr</t>
  </si>
  <si>
    <t>lic.ruralbocatapada@mep.go.cr</t>
  </si>
  <si>
    <t>lic.nicolasagulilarmurillo@mep.go.cr</t>
  </si>
  <si>
    <t>lic.academicodecascajal@mep.go.cr</t>
  </si>
  <si>
    <t>col.diurnoderiofrio@mep.go.cr</t>
  </si>
  <si>
    <t>lic.ruralsantarosa@mep.go.cr</t>
  </si>
  <si>
    <t>lic.juntasdecaoba@mep.go.cr</t>
  </si>
  <si>
    <t>lic.rurallaconquista@mep.go.cr</t>
  </si>
  <si>
    <t>lic.devenecia@mep.go.cr</t>
  </si>
  <si>
    <t>lic.saino@mep.go.cr</t>
  </si>
  <si>
    <t>lic.bilinguelosangeles@mep.go.cr</t>
  </si>
  <si>
    <t>lic.ruraldecabagra@mep.go.cr</t>
  </si>
  <si>
    <t>lic.rurallaaldea@mep.go.cr</t>
  </si>
  <si>
    <t>lic.ruralsalvadorduran@mep.go.cr</t>
  </si>
  <si>
    <t>lic.rurallaguardiadepocosol@mep.go.cr</t>
  </si>
  <si>
    <t>lic.ruralsanrafaelnorte@mep.go.cr</t>
  </si>
  <si>
    <t>lic.coloniapuntarenas@mep.go.cr</t>
  </si>
  <si>
    <t>1.5KM NORTEDE EBAIS VILLA NUEVA, SJ DE UPALA</t>
  </si>
  <si>
    <t>JUAN PABLO OJEDA ROSALES</t>
  </si>
  <si>
    <t>lic.sanjorge@mep.go.cr</t>
  </si>
  <si>
    <t>lic.ruraljuanilama@mep.go.cr</t>
  </si>
  <si>
    <t>upe.lavalencia@mep.go.cr</t>
  </si>
  <si>
    <t>col.barbacoas@mep.go.cr</t>
  </si>
  <si>
    <t>lic.bilingueitalocostarricense@mep.go.cr</t>
  </si>
  <si>
    <t>upe.soterogonzalezbarquero@mep.go.cr</t>
  </si>
  <si>
    <t>lic.cuajiniquil@mep.go.cr</t>
  </si>
  <si>
    <t>lic.ruralcoopesilencio@mep.go.cr</t>
  </si>
  <si>
    <t>lic.ruralelvenado@mep.go.cr</t>
  </si>
  <si>
    <t>lic.expbilinguedesarchi@mep.go.cr</t>
  </si>
  <si>
    <t>1 K O.E DE CCSS</t>
  </si>
  <si>
    <t>lic.ruralelcarmen@mep.go.cr</t>
  </si>
  <si>
    <t>lic.ruralrocaquemada@mep.go.cr</t>
  </si>
  <si>
    <t>lic.rurallasnubesdecristorey@mep.go.cr</t>
  </si>
  <si>
    <t>lic.ruralaltocomte@mep.go.cr</t>
  </si>
  <si>
    <t>upe.barrionuevo@mep.go.cr</t>
  </si>
  <si>
    <t>lic.ruralislasdelchirripo@mep.go.cr</t>
  </si>
  <si>
    <t>BRAULIO CHACON HERRERA</t>
  </si>
  <si>
    <t>lic.expbilinguesanramon@mep.go.cr</t>
  </si>
  <si>
    <t>LILLIAM CALLEJAS ESCOBAR</t>
  </si>
  <si>
    <t>lic.deportivodegrecia@mep.go.cr</t>
  </si>
  <si>
    <t>lic.ruraluniodeltoro@mep.go.cr</t>
  </si>
  <si>
    <t>ROY MONTENEGRO NUNEZ</t>
  </si>
  <si>
    <t>lic.ruralsantarosadeoreamuno@mep.go.cr</t>
  </si>
  <si>
    <t>iegb.republica.panama@mep.go.cr</t>
  </si>
  <si>
    <t>lic.sanrafael@mep.go.cr</t>
  </si>
  <si>
    <t>iegb.yanuarioquesada@mep.go.cr</t>
  </si>
  <si>
    <t>lic.katsi@mep.go.cr</t>
  </si>
  <si>
    <t>lic.academicollanolosangeles@mep.go.cr</t>
  </si>
  <si>
    <t>VERNY ULATE MOLINA</t>
  </si>
  <si>
    <t>lic.matadeplatano@mep.go.cr</t>
  </si>
  <si>
    <t>lic.rurallosalmendros@mep.go.cr</t>
  </si>
  <si>
    <t>lic.ruralsalitre@mep.go.cr</t>
  </si>
  <si>
    <t>lic.ruralshikabali@mep.go.cr</t>
  </si>
  <si>
    <t>lic.ruralriogrande@mep.go.cr</t>
  </si>
  <si>
    <t>lic.ruralelprogreso@mep.go.cr</t>
  </si>
  <si>
    <t>CONTIGUO A LA GUARDIA RURAL</t>
  </si>
  <si>
    <t>lic.ruralsikriyok@mep.go.cr</t>
  </si>
  <si>
    <t>col.sanfranciscodelapalmera@mep.go.cr</t>
  </si>
  <si>
    <t>col.delepanto@mep.go.cr</t>
  </si>
  <si>
    <t>COSTADO OESTE PLAZA DEPORTES LEPANTO</t>
  </si>
  <si>
    <t>liceo.ruralpalacioselceibo@mep.go.cr</t>
  </si>
  <si>
    <t>1KM AL SUR DE LA ESC VEGAS RIOS PALACIOS</t>
  </si>
  <si>
    <t>25 M SURESTE DE LA IGLESIA CATOLICA DE SANTIA</t>
  </si>
  <si>
    <t>lic.nuevodepuriscal@mep.go.cr</t>
  </si>
  <si>
    <t>300 ESTE DEL CORREO</t>
  </si>
  <si>
    <t>VARA BLANCA,CONTIGUO A FUERZA PUBLICA</t>
  </si>
  <si>
    <t>ALEXANDRA BUSTOS BÖCKER</t>
  </si>
  <si>
    <t>JUANA FRANCISCA ROMERO</t>
  </si>
  <si>
    <t>hcarmelitasdesj@hotmail.com</t>
  </si>
  <si>
    <t>02335</t>
  </si>
  <si>
    <t>02461</t>
  </si>
  <si>
    <t>01026</t>
  </si>
  <si>
    <t>01083</t>
  </si>
  <si>
    <t>01084</t>
  </si>
  <si>
    <t>01085</t>
  </si>
  <si>
    <t>01086</t>
  </si>
  <si>
    <t>01088</t>
  </si>
  <si>
    <t>COLEGIO MARIA AUXILIADORA</t>
  </si>
  <si>
    <t>AMERICAN INTERNACIONAL SCHOOL</t>
  </si>
  <si>
    <t>SANTA INES</t>
  </si>
  <si>
    <t>COLEGIO YURUSTI</t>
  </si>
  <si>
    <t>BERKELEY ACADEMY</t>
  </si>
  <si>
    <t>CENTRO EDUCATIVO BILINGÜE ILE</t>
  </si>
  <si>
    <t>PROFESOR SAUL CARDENAS CUBILLO</t>
  </si>
  <si>
    <t>CONNELL ACADEMY</t>
  </si>
  <si>
    <t>MONSEÑOR VITTORINO GIRARDI STELLIN</t>
  </si>
  <si>
    <t>CENTRO EDUCATIVO YORI</t>
  </si>
  <si>
    <t>DEL MAR ACADEMY</t>
  </si>
  <si>
    <t>URBANIZACION COOPEISEDREÑA</t>
  </si>
  <si>
    <t>URBANIZACION ZAYQUI</t>
  </si>
  <si>
    <t>COLORADITO</t>
  </si>
  <si>
    <t>CALLE LA RINCONADA</t>
  </si>
  <si>
    <t>CHOROTEGA</t>
  </si>
  <si>
    <t>GRANADILLA SUR</t>
  </si>
  <si>
    <t>cmheredia1@gmail.com</t>
  </si>
  <si>
    <t>colegio.monserrat.cr@gmail.com</t>
  </si>
  <si>
    <t>sekcostarica@sekmail.com</t>
  </si>
  <si>
    <t>cesmarco25@gmail.com</t>
  </si>
  <si>
    <t>MARICRUZ SOLIS VARGAS</t>
  </si>
  <si>
    <t>ilppalcolegio@gmail.com</t>
  </si>
  <si>
    <t>DE LA MCDONALD'S DE SABANA SUR, 50 M. SUR</t>
  </si>
  <si>
    <t>PATRICIA VILLANEA BREALEY</t>
  </si>
  <si>
    <t>JEHANINA FALLAS GONZALEZ</t>
  </si>
  <si>
    <t>LIONEL HERNANDEZ GAMBOA</t>
  </si>
  <si>
    <t>800 OESTE 200 NORTE URBAN. COLONIA ISIDREÑA</t>
  </si>
  <si>
    <t>info@institutosangerardo.ed.cr</t>
  </si>
  <si>
    <t>ENNIO GONZALES MORALES</t>
  </si>
  <si>
    <t>MARIA LUISA YEN PEÑA</t>
  </si>
  <si>
    <t>direccion@cidep.ed.cr</t>
  </si>
  <si>
    <t>santasofiadirectora@gmail.com</t>
  </si>
  <si>
    <t>200 M. OESTE ESCUELA HERIBERTO ZELEDON</t>
  </si>
  <si>
    <t>DEL AUTOMERCADO LOS YOSES 75 OESTE</t>
  </si>
  <si>
    <t>DE LA ESC.MIGUEL AGUILAR B. 600 M. NORESTE</t>
  </si>
  <si>
    <t>300 M. SUR DE LA FABRICA DE QUESOS</t>
  </si>
  <si>
    <t>preescolarlasirenita@hotmail.com</t>
  </si>
  <si>
    <t>EN LAS INSTALACIONES DE LA UNA, VERACRUZ</t>
  </si>
  <si>
    <t>ORFILIA LEON QUESADA</t>
  </si>
  <si>
    <t>CARLOS VEGA VALVERDE</t>
  </si>
  <si>
    <t>cvega@gvsstaff.com</t>
  </si>
  <si>
    <t>150 M. NORESTE DEL ABASTECEDOR J Y J SAN VITO</t>
  </si>
  <si>
    <t>DE LA ENTRADA PRINCIPAL, 150 SUR.</t>
  </si>
  <si>
    <t>500 METROS OESTE DEL TEMPLO CATOLICO.</t>
  </si>
  <si>
    <t>IRIS ARAYA UGALDE</t>
  </si>
  <si>
    <t>info@saulcardenascubillo.ed.cr</t>
  </si>
  <si>
    <t>300 OESTE DEL ESTADIO CHOROTEGA</t>
  </si>
  <si>
    <t>centroeducativovirgendeguadalupe@hotmail.com</t>
  </si>
  <si>
    <t>DE LA ROTONDA DE SAN SEBASTIAN 50 N Y 50 O</t>
  </si>
  <si>
    <t>grupoeducativosh@gmail.com</t>
  </si>
  <si>
    <t>400 OESTE DEL ANCLA DE LA ENTRADA BOULEVARD</t>
  </si>
  <si>
    <t>connellacademycr@gmail.com</t>
  </si>
  <si>
    <t>CALLE CAÑAS, 200 MTS SUR DE ABOPAC, PIEDADES</t>
  </si>
  <si>
    <t>ROBERTO JOSE MARTINEZ BONILLA</t>
  </si>
  <si>
    <t>CONTIGUO TEMPLO CATOLICO,HUACAS DE SANTA CRUZ</t>
  </si>
  <si>
    <t>info@iem.ed.cr</t>
  </si>
  <si>
    <t>600 OESTE, 25 SUR DE LA IGLESIA CATOLICA</t>
  </si>
  <si>
    <t>Primaria por Suficiencia</t>
  </si>
  <si>
    <t>III Ciclo por Suficiencia</t>
  </si>
  <si>
    <t>Bachillerato por Madurez</t>
  </si>
  <si>
    <t>Cantidad de 
Secciones</t>
  </si>
  <si>
    <t>Lengua Indígena</t>
  </si>
  <si>
    <t>CUADRO 2</t>
  </si>
  <si>
    <t>CUADRO 3</t>
  </si>
  <si>
    <t>CUADRO 8</t>
  </si>
  <si>
    <t>CUADRO 9</t>
  </si>
  <si>
    <t>Página WEB.</t>
  </si>
  <si>
    <t>INSTITUTO EDUCATIVO MODERNO</t>
  </si>
  <si>
    <t>Se comparte el edificio con otra institución?</t>
  </si>
  <si>
    <t xml:space="preserve">Teléfono: </t>
  </si>
  <si>
    <t>Sala de Robótica</t>
  </si>
  <si>
    <t>2-16-01</t>
  </si>
  <si>
    <t>6-01-10</t>
  </si>
  <si>
    <t>ABIERTA</t>
  </si>
  <si>
    <t>UNIDAD PEDAGOGICA JOSE FIDEL TRISTAN</t>
  </si>
  <si>
    <t>LICEO DE SAN JOSE</t>
  </si>
  <si>
    <t>LICEO JULIO FONSECA GUTIERREZ</t>
  </si>
  <si>
    <t>LICEO DE ESCAZU</t>
  </si>
  <si>
    <t>LICEO SALVADOR UMANA CASTRO</t>
  </si>
  <si>
    <t>LICEO MAURO FERNANDEZ ACUNA</t>
  </si>
  <si>
    <t>LICEO PATRIARCA SAN JOSE</t>
  </si>
  <si>
    <t>INSTITUTO JULIO ACOSTA GARCIA</t>
  </si>
  <si>
    <t>UNIDAD PEDAGOGICA DR. RAFAEL ANGEL CALDERON G.</t>
  </si>
  <si>
    <t>UNIDAD PEDAGOGICA JOSE BREINDERHOFF</t>
  </si>
  <si>
    <t>UNIDAD PEDAGOGICA CUATRO REINAS</t>
  </si>
  <si>
    <t>EXPERIMENTAL BILINGUE LA TRINIDAD</t>
  </si>
  <si>
    <t>LICEO MARIA AUXILIADORA</t>
  </si>
  <si>
    <t>COLEGIO LA ASUNCION</t>
  </si>
  <si>
    <t>LICEO FERNANDO VOLIO JIMENEZ</t>
  </si>
  <si>
    <t>COLEGIO REPUBLICA DE ITALIA</t>
  </si>
  <si>
    <t>LICEO SINAI</t>
  </si>
  <si>
    <t>LICEO CAPITAN RAMON RIVAS</t>
  </si>
  <si>
    <t>LICEO RURAL LOS ANGELES DE PARAMO</t>
  </si>
  <si>
    <t>LICEO CANAAN</t>
  </si>
  <si>
    <t>LICEO RURAL OSTIONAL</t>
  </si>
  <si>
    <t>LICEO PLATANILLO DE BARU</t>
  </si>
  <si>
    <t>COLEGIO JORGE VOLIO JIMENEZ</t>
  </si>
  <si>
    <t>LICEO RURAL EL JARDIN</t>
  </si>
  <si>
    <t>LICEO RURAL RIO NUEVO</t>
  </si>
  <si>
    <t>LICEO CONCEPCION DANIEL FLORES</t>
  </si>
  <si>
    <t>LICEO RURAL MASTATAL</t>
  </si>
  <si>
    <t>LICEO ACADEMICO SAN ANTONIO</t>
  </si>
  <si>
    <t>LICEO RURAL LOS ARBOLITOS</t>
  </si>
  <si>
    <t>LICEO RURAL LOS JAZMINES</t>
  </si>
  <si>
    <t>LICEO RURAL COOPE SAN JUAN</t>
  </si>
  <si>
    <t>UNIDAD PEDAGOGICA LA VALENCIA</t>
  </si>
  <si>
    <t>LICEO BILINGÜE ITALO COSTARRICENSE</t>
  </si>
  <si>
    <t>UNIDAD PEDAGOGICA SOTERO GONZALEZ BARQUERO</t>
  </si>
  <si>
    <t>LICEO RURAL EL CASTILLO FORTUNA</t>
  </si>
  <si>
    <t>LICEO RURAL ALTO GUAYMI</t>
  </si>
  <si>
    <t>LICEO RURAL LAS COLONIAS</t>
  </si>
  <si>
    <t>LICEO RURAL SAN ANTONIO DE ZAPOTAL</t>
  </si>
  <si>
    <t>LICEO RURAL BELLA VISTA</t>
  </si>
  <si>
    <t>LICEO RURAL SAN JUAN</t>
  </si>
  <si>
    <t>LICEO RURAL LA CUREÑA</t>
  </si>
  <si>
    <t>LICEO RURAL LANAS</t>
  </si>
  <si>
    <t>LICEO RURAL EL LLANO</t>
  </si>
  <si>
    <t>I.E.G.B. ANDRES BELLO LOPEZ</t>
  </si>
  <si>
    <t>UNIDAD PEDAGOGICA LA CRUZ</t>
  </si>
  <si>
    <t>I.E.G.B. REPUBLICA DE PANAMA</t>
  </si>
  <si>
    <t>LICEO RURAL JARIS</t>
  </si>
  <si>
    <t>LICEO RURAL RIO GRANDE DE PAQUERA</t>
  </si>
  <si>
    <t>UNIDAD PEDAGOGICA DANIEL ODUBER QUIROS</t>
  </si>
  <si>
    <t>01089</t>
  </si>
  <si>
    <t>6796</t>
  </si>
  <si>
    <t>BARRIO PITAHAYA</t>
  </si>
  <si>
    <t>KFC PASEO COLON, 300 NORTE Y 50 OESTE</t>
  </si>
  <si>
    <t>BARRIO MEXICO</t>
  </si>
  <si>
    <t>lic.desanjose@mep.go.cr</t>
  </si>
  <si>
    <t>lic.juliofonsecagutierrez@mep.go.cr</t>
  </si>
  <si>
    <t>lic.depavas@mep.go.cr</t>
  </si>
  <si>
    <t>100 OESTE DE LA ENTRADA DEL H. PSIQUIATRICO</t>
  </si>
  <si>
    <t>lic.robertobrenesmesen@mep.go.cr</t>
  </si>
  <si>
    <t>lic.ricardofernandezguardia@mep.go.cr</t>
  </si>
  <si>
    <t>FRENTE A ESTADIO MUNICIPAL NICOLAS MASIS</t>
  </si>
  <si>
    <t>lic.deasrri@mep.go.cr</t>
  </si>
  <si>
    <t>LIENER QUESADA MURILLO</t>
  </si>
  <si>
    <t>lic.sangabriel@mep.go.cr</t>
  </si>
  <si>
    <t>lic.napoleonquesadasalazar@mep.go.cr</t>
  </si>
  <si>
    <t>lic.salvadorumanacastro@mep.go.cr</t>
  </si>
  <si>
    <t>RIO ORO</t>
  </si>
  <si>
    <t>lic.demoravia@mep.go.cr</t>
  </si>
  <si>
    <t>lic.unesco@mep.go.cr</t>
  </si>
  <si>
    <t>ins.dealajuela@mep.go.cr</t>
  </si>
  <si>
    <t>lic.deturrucares@mep.go.cr</t>
  </si>
  <si>
    <t>LISBETH CASTRO ESQUIVEL</t>
  </si>
  <si>
    <t>300 M.NORTE DEL HOGAR ANCIANOS JOSE DEL OLMO</t>
  </si>
  <si>
    <t>upe.rafaelhernandezmadriz@mep.go.cr</t>
  </si>
  <si>
    <t>col.sanluisgonzaga@mep.go.cr</t>
  </si>
  <si>
    <t>col.seraficosanfrancisco@mep.go.cr</t>
  </si>
  <si>
    <t>MARIA ROSA RIVAS BRENES</t>
  </si>
  <si>
    <t>ERICK OVARES RODRIGUEZ</t>
  </si>
  <si>
    <t>lic.laboratoriodeliberia@mep.go.cr</t>
  </si>
  <si>
    <t>lic.expbilinguedelacruz@mep.go.cr</t>
  </si>
  <si>
    <t>KENETH BONILLA CESPEDES</t>
  </si>
  <si>
    <t>JORGE GAMBOA ZUNIGA</t>
  </si>
  <si>
    <t>upe.drrafaelcalderonguardia@mep.go.cr</t>
  </si>
  <si>
    <t>lic.depotrerogrande@mep.go.cr</t>
  </si>
  <si>
    <t>JANNIK BARRANTES RIVAS</t>
  </si>
  <si>
    <t>upe.cuatroreinas@mep.go.cr</t>
  </si>
  <si>
    <t>lic.sanjosedelamontana@mep.go.cr</t>
  </si>
  <si>
    <t>MELVIN PEREZ GONZALEZ</t>
  </si>
  <si>
    <t>EMMANUEL HERNANDEZ MUÑOZ</t>
  </si>
  <si>
    <t>lic.dechomes@mep.go.cr</t>
  </si>
  <si>
    <t>col.alejandroquesadaramirez@mep.go.cr</t>
  </si>
  <si>
    <t>DE LA TOYOTA PASEO COLON, 150 METROS SUR</t>
  </si>
  <si>
    <t>RIO BANANO</t>
  </si>
  <si>
    <t>DEL CRUCE DE RIO BANANO, 300 M. NORTE</t>
  </si>
  <si>
    <t>350 M. NORTE DE LIBRERIA EL COLE, COOPE BUENA</t>
  </si>
  <si>
    <t>JAVIER FRANCISCO SALAZAR JARA</t>
  </si>
  <si>
    <t>lic.bijagua@mep.go.cr</t>
  </si>
  <si>
    <t>lic.fernandovoliojimenez@mep.go.cr</t>
  </si>
  <si>
    <t>lic.expbilinguenuevoarenal@mep.go.cr</t>
  </si>
  <si>
    <t>CONTIGUO A LA FUERZA PUBLICA DE NUEVO ARENAL</t>
  </si>
  <si>
    <t>lic.larita@mep.go.cr</t>
  </si>
  <si>
    <t>200 M.ESTE Y 200 M.NORTE DE LA ESC.CARLOS M.</t>
  </si>
  <si>
    <t>lic.deaguasclaras@mep.go.cr</t>
  </si>
  <si>
    <t>col.franciscacarrascojimenez@mep.go.cr</t>
  </si>
  <si>
    <t>lic.desandiego@mep.go.cr</t>
  </si>
  <si>
    <t>MITZY SALAZAR MORALES</t>
  </si>
  <si>
    <t>1 KILOMETRO OESTE DE LA JHONSON</t>
  </si>
  <si>
    <t>lic.santagertrudis@mep.go.cr</t>
  </si>
  <si>
    <t>col.canasdulces@mep.go.cr</t>
  </si>
  <si>
    <t>FILA GUINEA</t>
  </si>
  <si>
    <t>300 MTS S DEL EBAIS, FILA GUINEA</t>
  </si>
  <si>
    <t>CONTIGUO A CHILERA SANTA CRUZ, SN JERONIMO</t>
  </si>
  <si>
    <t>HENRY NAVARRO ZUNIGA</t>
  </si>
  <si>
    <t>CANAAN</t>
  </si>
  <si>
    <t>OLGER EDUARDO RIOS BEITA</t>
  </si>
  <si>
    <t>tele.ostional@mep.go.cr</t>
  </si>
  <si>
    <t>100 MTS NORTE DE LA PLAZA DE DEPORTES</t>
  </si>
  <si>
    <t>lic.veracruz@mep.go.cr</t>
  </si>
  <si>
    <t>lic.capitanmanuelquiros@mep.go.cr</t>
  </si>
  <si>
    <t>FRENTE A IGLESIA CATOLICA</t>
  </si>
  <si>
    <t>RINCON</t>
  </si>
  <si>
    <t>300 M. SUR DEL RESTAURANTE LAS TEJAS, RINCON</t>
  </si>
  <si>
    <t>lic.poasito@mep.go.cr</t>
  </si>
  <si>
    <t>GREIVIN LOPEZ LOPEZ</t>
  </si>
  <si>
    <t>500M NORTE DE LA IGLESIA CATOLICA</t>
  </si>
  <si>
    <t>MARIA ELENA MORA MORA</t>
  </si>
  <si>
    <t>col.jorgevoliojimenez@mep.go.cr</t>
  </si>
  <si>
    <t>AARON ALFARO MATA</t>
  </si>
  <si>
    <t>lic.ruralsanmarcos@mep.go.cr</t>
  </si>
  <si>
    <t>100 MTS.ESTE DEL MINISUPER LA FAVORITA</t>
  </si>
  <si>
    <t>OMAR ROJAS SOLIS</t>
  </si>
  <si>
    <t>CHRISTIAN CORDOBA MONGE</t>
  </si>
  <si>
    <t>ROXANA GODINEZ SANCHEZ</t>
  </si>
  <si>
    <t>MARLER VILLALOBOS MENDEZ</t>
  </si>
  <si>
    <t>KARLEN SMITH HIDALGO</t>
  </si>
  <si>
    <t>lic.ruralusekla@mep.go.cr</t>
  </si>
  <si>
    <t>lic.ruralbocadesierpe@mep.go.cr</t>
  </si>
  <si>
    <t>lic.losangeles@mep.go.cr</t>
  </si>
  <si>
    <t>DETRAS DEL COMISARIATO ASOPORVENIR DE PERLA 1</t>
  </si>
  <si>
    <t>16 KM. NORTE DE LAS VEGAS DE RIO ABROJO</t>
  </si>
  <si>
    <t>8 KM. AL SUR DE RIO INCENDIO</t>
  </si>
  <si>
    <t>lic.cuatrobocas@mep.go.cr</t>
  </si>
  <si>
    <t>JUAN RAMON PARAJELES DUARTE</t>
  </si>
  <si>
    <t>lic.rurallosarbolitos@mep.go.cr</t>
  </si>
  <si>
    <t>400M NORTE DE LA DELEGACION POLICIAL,ARBOLITO</t>
  </si>
  <si>
    <t>lic.ruralsanjulian@mep.go.cr</t>
  </si>
  <si>
    <t>lic.ruralcoquital@mep.go.cr</t>
  </si>
  <si>
    <t>DE LA PULPERIA LA VICTORIA 100 MTRS NORTE</t>
  </si>
  <si>
    <t>col.santamarta@mep.go.cr</t>
  </si>
  <si>
    <t>YANSEL ACUNA TORRES</t>
  </si>
  <si>
    <t>lic.ruralyeri@mep.go.cr</t>
  </si>
  <si>
    <t>YEINY VILLEGAS SOLORZANO</t>
  </si>
  <si>
    <t>lic.ruraldesantacruz@mep.go.cr</t>
  </si>
  <si>
    <t>lic.sanandres@mep.go.cr</t>
  </si>
  <si>
    <t>tele.jazminesb@mep.go.cr</t>
  </si>
  <si>
    <t>FRENTE A LA ESC. PORFIRIO CAMPOS MUÑOZ.</t>
  </si>
  <si>
    <t>lic.ruralvalleverde@mep.go.cr</t>
  </si>
  <si>
    <t>tele.lineavieja@mep.go.cr</t>
  </si>
  <si>
    <t>LINEA VIEJA COLORADO POCOCI LIMON</t>
  </si>
  <si>
    <t>tele.coopesanjuan@mep.go.cr</t>
  </si>
  <si>
    <t>5 KM NORTE DE LA ESCUELA LA GLORIA</t>
  </si>
  <si>
    <t>col.sanmartin@mep.go.cr</t>
  </si>
  <si>
    <t>lic.rurallapalma@mep.go.cr</t>
  </si>
  <si>
    <t>lic.ruralcartagena@mep.go.cr</t>
  </si>
  <si>
    <t>MARIA JOSE SIRIAS MATARRITA</t>
  </si>
  <si>
    <t>lic.elparaiso@mep.go.cr</t>
  </si>
  <si>
    <t>MARIO ALEXANDER LEON MARIN</t>
  </si>
  <si>
    <t>lic.rurallaluchita@mep.go.cr</t>
  </si>
  <si>
    <t>lic.sancarlostarrazu@mep.go.cr</t>
  </si>
  <si>
    <t>lic.ruraldesantodomingo@mep.go.cr</t>
  </si>
  <si>
    <t>lic.rurallondres@mep.go.cr</t>
  </si>
  <si>
    <t>ANA MERCEDES VARGAS SANTAMARIA</t>
  </si>
  <si>
    <t>tele.elcastillo@mep.go.cr</t>
  </si>
  <si>
    <t>COSTADO SUR DEL SALON COMUNAL</t>
  </si>
  <si>
    <t>PATRICIA GODINEZ SANCHEZ</t>
  </si>
  <si>
    <t>lic.ruallagata@mep.go.cr</t>
  </si>
  <si>
    <t>lic.academicodeterraba@mep.go.cr</t>
  </si>
  <si>
    <t>col.indigenabocacohen@mep.go.cr</t>
  </si>
  <si>
    <t>ALTO GUAYMI</t>
  </si>
  <si>
    <t>ROMERO LOPEZ LOPEZ</t>
  </si>
  <si>
    <t>lic.ruralaltoguaymi@mep.go.cr</t>
  </si>
  <si>
    <t>lic.ruralsantateresa@mep.go.cr</t>
  </si>
  <si>
    <t>MARLON JUAREZ GUTIERREZ</t>
  </si>
  <si>
    <t>11 KM SURESTE DEL SUPERMERCADO SUMARY COMTE</t>
  </si>
  <si>
    <t>tele.bellavista@mep.go.cr</t>
  </si>
  <si>
    <t>3.5KM NORTE DE ESCUELA DE LOS PALMARES</t>
  </si>
  <si>
    <t>HAZEL MORA FERNANDEZ</t>
  </si>
  <si>
    <t>lic.ruralsanisidro@mep.go.cr</t>
  </si>
  <si>
    <t>lic.sannicolasdetolentino@mep.go.cr</t>
  </si>
  <si>
    <t>SAN JUAN PEÑAS BLANCAS</t>
  </si>
  <si>
    <t>DE LA PLAZA DE SAN JUAN, 50 M NOROESTE</t>
  </si>
  <si>
    <t>lic.dequebradaganado@mep.go.cr</t>
  </si>
  <si>
    <t>ALEJANDRA TORUNO CRUZ</t>
  </si>
  <si>
    <t>ERICKA REBECA CALDERON ORTIZ</t>
  </si>
  <si>
    <t>PAUL ALEXANDER ALFARO MARIN</t>
  </si>
  <si>
    <t>lic.elcarmendenandayure@mep.go.cr</t>
  </si>
  <si>
    <t>Bº MARIA AUXILIADORA</t>
  </si>
  <si>
    <t>LUIS DIEGO MELENDEZ ARAYA</t>
  </si>
  <si>
    <t>lic.laguna@mep.go.cr</t>
  </si>
  <si>
    <t>lic.magallanes@mep.go.cr</t>
  </si>
  <si>
    <t>lic.virgendelamedallamilagrosa@mep.go.cr</t>
  </si>
  <si>
    <t>lic.pactodeljocote@mep.go.cr</t>
  </si>
  <si>
    <t>lic.rurallacurena@mep.go.cr</t>
  </si>
  <si>
    <t>COSTADO NORTE DE LA IGLESIA CATOLICA</t>
  </si>
  <si>
    <t>OSCAR MORALES QUESADA</t>
  </si>
  <si>
    <t>100 ESTE DE LA ESCUELA LANAS</t>
  </si>
  <si>
    <t>25 SUR ESCUELA MAURO FERNANDEZ</t>
  </si>
  <si>
    <t>lic.puentedepiedra@mep.go.cr</t>
  </si>
  <si>
    <t>100 OESTE DE LA IGLESIA CATOLICA</t>
  </si>
  <si>
    <t>lic.occidentaldecartago@mep.go.cr</t>
  </si>
  <si>
    <t>MARICELA CHACON FERNANDEZ</t>
  </si>
  <si>
    <t>ADEMAR UGALDE ESPINOZA</t>
  </si>
  <si>
    <t>800 METROS ESTE DEL EBAIS LA CASONA</t>
  </si>
  <si>
    <t>CONTIGUO A LA CASA DE SALUD DE PARAISO</t>
  </si>
  <si>
    <t>ALEJANDRA FLORES BADILLA</t>
  </si>
  <si>
    <t>MEILOTH GAMBOA BERMUDEZ</t>
  </si>
  <si>
    <t>lic.ruralnamaldi@mep.go.cr</t>
  </si>
  <si>
    <t>lic.losangelesdelporvenir@mep.go.cr</t>
  </si>
  <si>
    <t>lic.detobosi@mep.go.cr</t>
  </si>
  <si>
    <t>col.indigenashiroles@mep.go.cr</t>
  </si>
  <si>
    <t>lic.ruralquiriman@mep.go.cr</t>
  </si>
  <si>
    <t>col.academicodeguacimo@mep.go.cr</t>
  </si>
  <si>
    <t>lic.ruralyimbacajc@mep.go.cr</t>
  </si>
  <si>
    <t>300METROS SUR DE LA ESCUELA CURRE</t>
  </si>
  <si>
    <t>YESENIA VASQUEZ ARAYA</t>
  </si>
  <si>
    <t>lic.copey@mep.go.cr</t>
  </si>
  <si>
    <t>EDEN FROILANO FERNANDEZ</t>
  </si>
  <si>
    <t>liceochinakicha2017@gmail.com</t>
  </si>
  <si>
    <t>lic.ruralaranjuez@mep.go.cr</t>
  </si>
  <si>
    <t>RIO GRANDE</t>
  </si>
  <si>
    <t>EDGAR MORA BOLAÑOS</t>
  </si>
  <si>
    <t>50 ESTE DE LA IGLESIA CATOLICA</t>
  </si>
  <si>
    <t>upe.danieloduberquiros@mep.go.cr</t>
  </si>
  <si>
    <t>SAN FRANCISCO CENTRO</t>
  </si>
  <si>
    <t>JIMMY VARGAS ARIAS</t>
  </si>
  <si>
    <t>lic.academicodesantiago@mep.go.cr</t>
  </si>
  <si>
    <t>JUAN CARLOS BADILLA LEIVA</t>
  </si>
  <si>
    <t>ADRIANA ENRIQUEZ GUZMAN</t>
  </si>
  <si>
    <t>col.academicodesiquirres@mep.go.cr</t>
  </si>
  <si>
    <t>BEATRIZ ROJAS AGUERO</t>
  </si>
  <si>
    <t>500 ESTE Y 25 NORTE DE LA UNA</t>
  </si>
  <si>
    <t>lic.diurnolacruz@mep.go.cr</t>
  </si>
  <si>
    <t>02484</t>
  </si>
  <si>
    <t>BRITANICO DE COSTA RICA</t>
  </si>
  <si>
    <t>COUNTRY DAY SCHOOL</t>
  </si>
  <si>
    <t>COLEGIO NUESTRA SENORA DE SION</t>
  </si>
  <si>
    <t>VALLE AZUL-HORARIO DIFERENCIADO</t>
  </si>
  <si>
    <t>CENTRO INTEGRAL DE EDUCACION PRIVADA</t>
  </si>
  <si>
    <t>ITSKATZU EDUCACION INTEGRAL</t>
  </si>
  <si>
    <t>HUMANISTICO COSTARRICENSE-CAMPUS HEREDIA</t>
  </si>
  <si>
    <t>COLEGIO ECOLOGICO BILINGÜE SAN MARTIN</t>
  </si>
  <si>
    <t>HUMANISTICO COSTARRICENSE-SEDE COTO</t>
  </si>
  <si>
    <t>MARIA MONTSERRAT</t>
  </si>
  <si>
    <t>ARANDU SCHOOL</t>
  </si>
  <si>
    <t>01090</t>
  </si>
  <si>
    <t>CENTRO EDUCATIVO GEA</t>
  </si>
  <si>
    <t>01091</t>
  </si>
  <si>
    <t>HUMANISTICO COSTARRICENSE-CAMPUS NICOYA</t>
  </si>
  <si>
    <t>01092</t>
  </si>
  <si>
    <t>01093</t>
  </si>
  <si>
    <t>BILINGUAL MULTIDISCIPLINARY SCHOOL</t>
  </si>
  <si>
    <t>01094</t>
  </si>
  <si>
    <t>HUMANISTICO COSTARRICENSE-CAMPUS SARAPIQUI</t>
  </si>
  <si>
    <t>01095</t>
  </si>
  <si>
    <t>MONTEALTO</t>
  </si>
  <si>
    <t>01096</t>
  </si>
  <si>
    <t>SANTA CATALINA DE SENA</t>
  </si>
  <si>
    <t>01097</t>
  </si>
  <si>
    <t>CENTRO EDUCATIVO CARMEN LYRA</t>
  </si>
  <si>
    <t>lasalle@lasalle.ed.cr</t>
  </si>
  <si>
    <t>100 ESTE 250 SUR DEL COLEGIO DE MEDICOS</t>
  </si>
  <si>
    <t>ALEXIS PAEZ OVARES</t>
  </si>
  <si>
    <t>silviasolis@yorkin.org</t>
  </si>
  <si>
    <t>HACIENDA ESPINAL</t>
  </si>
  <si>
    <t>SILVIA ULATE OVIEDO</t>
  </si>
  <si>
    <t>SIGURD RAMOS MARIN</t>
  </si>
  <si>
    <t>DELROY ALBERTO CARNEGIF WATSON</t>
  </si>
  <si>
    <t>GUACHIPELIN</t>
  </si>
  <si>
    <t>VILMA DEL CARMEN MENDOZA YANES</t>
  </si>
  <si>
    <t>500 OESTE DE LA ESCUELA ISABEL LA CATOLICA</t>
  </si>
  <si>
    <t>DEL ESTADIO MUNICIPAL PIPILO UMANA 200 ESTE</t>
  </si>
  <si>
    <t>RONALD RODRIGUEZ MENDOZA</t>
  </si>
  <si>
    <t>jfallas@ipicim.ed.cr</t>
  </si>
  <si>
    <t>AARON SMITH</t>
  </si>
  <si>
    <t>oficina@liberty.cr</t>
  </si>
  <si>
    <t>LILLIAM DIAZ QUESADA</t>
  </si>
  <si>
    <t>ROSA MARIA ROJAS RAMIREZ</t>
  </si>
  <si>
    <t>info@centroeducativocampestre.com</t>
  </si>
  <si>
    <t>DEL HOTEL MARRIOT 1KM M.OESTE, 200 S.Y 25 EST</t>
  </si>
  <si>
    <t>EL COCO</t>
  </si>
  <si>
    <t>ALFREDO SUAREZ MADRIGAL</t>
  </si>
  <si>
    <t>2KM AL OESTE DEL CEMENTERIO DE CANAS</t>
  </si>
  <si>
    <t>direccion@greenforestcr.com</t>
  </si>
  <si>
    <t>integral.educacion@gmail.com</t>
  </si>
  <si>
    <t>BARRIO CORAZON DE JESUS</t>
  </si>
  <si>
    <t>500M NORTE Y 600 OESTE DEL MAXI PALI</t>
  </si>
  <si>
    <t>400 M. NORTE ESQUINA SURESTE IGLESIA CATOLICA</t>
  </si>
  <si>
    <t>400 NORTE DEL PUENTE DE GUACHIPELIN</t>
  </si>
  <si>
    <t>MARIA JANETTE ALVAREZ LOPEZ</t>
  </si>
  <si>
    <t>PABLO ANDRES QUIROS GONZALEZ</t>
  </si>
  <si>
    <t>pquiros@saintanthony.ed.cr</t>
  </si>
  <si>
    <t>INSTALACIONES DE LA UNED, SOBRE LA RUTA 32</t>
  </si>
  <si>
    <t>2 KM. NORTE DEL CRUCE DE GUACHIPELIN</t>
  </si>
  <si>
    <t>mjbonilla@mbs.ed.cr</t>
  </si>
  <si>
    <t>ANA VIRGINIA LEON AZOFEIFA</t>
  </si>
  <si>
    <t>colegiointeramericano.catie@gmail.com</t>
  </si>
  <si>
    <t>JOHNNY VASQUEZ LEMAITRE</t>
  </si>
  <si>
    <t>humanisticosedecoto@una.cr</t>
  </si>
  <si>
    <t>2KM AL ESTE DEL BCR</t>
  </si>
  <si>
    <t>RITA ARGUEDAS VIQUEZ</t>
  </si>
  <si>
    <t>was.ad2016@gmail.com</t>
  </si>
  <si>
    <t>informacion@carmenlyra.com</t>
  </si>
  <si>
    <t>VILMA SOLIS JIMENEZ</t>
  </si>
  <si>
    <t>virgendelpilarsecundaria@hotmail.com</t>
  </si>
  <si>
    <t>JOSUE ROJAS CHINCHILLA</t>
  </si>
  <si>
    <t>CONTIGUO A CANCHAS SINTETICAS</t>
  </si>
  <si>
    <t>300 METROS SUR Y 100 ESTE DE PLAZA ROSE</t>
  </si>
  <si>
    <t>institutoyori1@gmail.com</t>
  </si>
  <si>
    <t>100M ESTE Y 50 N DEL ABASTECEDOR LA GUARIA</t>
  </si>
  <si>
    <t>DEL HOTEL LA ESTANCIA 1KM ESTE,25MT N Y 200 E</t>
  </si>
  <si>
    <t>LUIS CARLOS ZUÑIGA JIMENEZ</t>
  </si>
  <si>
    <t>humanistico.nicoya@una.cr</t>
  </si>
  <si>
    <t>75 M SUR DEL MOPT</t>
  </si>
  <si>
    <t>DELIANA ESQUIVEL MENESES</t>
  </si>
  <si>
    <t>bms@escuelabms.net</t>
  </si>
  <si>
    <t>600 MTS OESTE DE LA CAMARA DE CANEROS</t>
  </si>
  <si>
    <t>BARRIO LA VICTORIA</t>
  </si>
  <si>
    <t>humanisticosarapiqui@una.cr</t>
  </si>
  <si>
    <t>DENTRO DE LAS INSTALACIONES DE LA UNA,SARAPIQ</t>
  </si>
  <si>
    <t>DEL AUTOMERCADO DE HEREDIA 700N Y 1 KM AL EST</t>
  </si>
  <si>
    <t>MARIA DE LOS A. BEJARANO I.</t>
  </si>
  <si>
    <t>esantacatalina29@yahoo.es</t>
  </si>
  <si>
    <t>PAVAS, DEL PALI 200 OESTE,50 NORTE Y 50 OESTE</t>
  </si>
  <si>
    <t>RESIDENCIA DE LOS ESTUDIANTES MATRICULADOS DURANTE</t>
  </si>
  <si>
    <t>Refugiados</t>
  </si>
  <si>
    <t>Solicitante de Asilo</t>
  </si>
  <si>
    <t>CUADRO 14</t>
  </si>
  <si>
    <t>Lengua Materna</t>
  </si>
  <si>
    <t>5-11-05</t>
  </si>
  <si>
    <t>Afectividad y Sexualidad Integral</t>
  </si>
  <si>
    <t>Planes de Gestión de Riesgos.</t>
  </si>
  <si>
    <t>Repitentes</t>
  </si>
  <si>
    <t>¿Tiene Sección Académica Nocturna?</t>
  </si>
  <si>
    <t>MATRÍCULA INICIAL, REPITENTES Y NÚMERO DE SECCIONES
EN EL CENTRO EDUCATIVO</t>
  </si>
  <si>
    <t>Servicio y
Año que cursa</t>
  </si>
  <si>
    <t>Año que cursa</t>
  </si>
  <si>
    <t>SAN JOSE CENTRAL</t>
  </si>
  <si>
    <t>SAN JOSE OESTE</t>
  </si>
  <si>
    <t>SAN JOSE NORTE</t>
  </si>
  <si>
    <t>GRANDE DE TERRABA</t>
  </si>
  <si>
    <t>SULA</t>
  </si>
  <si>
    <t>UNIDAD PEDAGOGICA JUAN CALDERON VALVERDE</t>
  </si>
  <si>
    <t>UNIDAD PEDAGOGICA RIO CELESTE</t>
  </si>
  <si>
    <t>COLEGIO DIURNO LA CRUZ</t>
  </si>
  <si>
    <t>01100</t>
  </si>
  <si>
    <t>6842</t>
  </si>
  <si>
    <t>LICEO RURAL ULUK KICHA</t>
  </si>
  <si>
    <t>lic.drjosemariacastromadriz@mep.go.cr</t>
  </si>
  <si>
    <t>LA URUCA, ENTRADA DE LA BOMBA UNO FRENTE KIA</t>
  </si>
  <si>
    <t>CONTIGUO AL MUSEO DE ARTE COSTARRICENSE</t>
  </si>
  <si>
    <t>ANA ROSARIO RODRIGUEZ SABORIO</t>
  </si>
  <si>
    <t>MARIBELLE UMAÑA MACHADO</t>
  </si>
  <si>
    <t>lic.monsenorrubenodio@mep.go.cr</t>
  </si>
  <si>
    <t>200 NORTE DEL HOSPITAL VETERINARIO LOS ALAMOS</t>
  </si>
  <si>
    <t>col.redentoristasanalfonso@mep.go.cr</t>
  </si>
  <si>
    <t>lic.sanjosedealajuela@mep.go.cr</t>
  </si>
  <si>
    <t>col.expbilinguedepalmares@mep.go.cr</t>
  </si>
  <si>
    <t>IVANNIA SOLIS BARQUERO</t>
  </si>
  <si>
    <t>lic.conservatoriodecastella@mep.go.cr</t>
  </si>
  <si>
    <t>lic.ingcarlospascua@mep.go.cr</t>
  </si>
  <si>
    <t>lic.desanisidro@mep.go.cr</t>
  </si>
  <si>
    <t>CARMEN CASTRO SANCHO</t>
  </si>
  <si>
    <t>DE LA TERMINAL DE TRALAPA 200 MTS AL SUR</t>
  </si>
  <si>
    <t>CHRISTIAN MONDRAGON SOTO</t>
  </si>
  <si>
    <t>LISBETH FERNANDEZ CHAVES</t>
  </si>
  <si>
    <t>lic.nuevodesanto.domingo@mep.go.cr</t>
  </si>
  <si>
    <t>licvalleazul@mep.go.cr</t>
  </si>
  <si>
    <t>lic.laaurora@mep.go.cr</t>
  </si>
  <si>
    <t>LIC.ELCARMENDEBIOLLEY@MEP.GO.CR</t>
  </si>
  <si>
    <t>lic.demaryland@mep.go.cr</t>
  </si>
  <si>
    <t>LUIS GAMBOA RAMIREZ</t>
  </si>
  <si>
    <t>lic.lavirgen@mep.go.cr</t>
  </si>
  <si>
    <t>ERIC A. BERMUDEZ VALERIO</t>
  </si>
  <si>
    <t>lic.desixaola@mep.go.cr</t>
  </si>
  <si>
    <t>1K SUR DEL TEMPLO CATOLICO EL CALVARIO</t>
  </si>
  <si>
    <t>lic.desabanillas@mep.go.cr</t>
  </si>
  <si>
    <t>NANCY ZUÑIGA MONTERO</t>
  </si>
  <si>
    <t>ISABEL MC DERMOTT WINT</t>
  </si>
  <si>
    <t>LOMAS DEL RIO</t>
  </si>
  <si>
    <t>ELIETH LAZARO RAMIREZ</t>
  </si>
  <si>
    <t>200 N DE LA PLAZA DE DEPORTES DE UVITA</t>
  </si>
  <si>
    <t>CYNTHIA SANCHEZ RODRIGUEZ</t>
  </si>
  <si>
    <t>lic.ruralbahiadrake@mep.go.cr</t>
  </si>
  <si>
    <t>SONIA CORTES LEAL</t>
  </si>
  <si>
    <t>lic.ruralcahuita@mep.go.cr</t>
  </si>
  <si>
    <t>DEL SALON COMUNAL 200 MTS. NOROESTE</t>
  </si>
  <si>
    <t>YERLIN GAMBOA DIAZ</t>
  </si>
  <si>
    <t>200 SURESTE DE LA IGLESIA CATOLICA</t>
  </si>
  <si>
    <t>800 M.DE LA IGLESIA CATOLICA DE LA ESPERANZA</t>
  </si>
  <si>
    <t>DE LA SODA MATAPALO 500 N.Y 50 MTS. SUR</t>
  </si>
  <si>
    <t>EIDA MARIA PIZARRO RODRIGUEZ</t>
  </si>
  <si>
    <t>lic.gastonperaltacarranza@mep.go.cr</t>
  </si>
  <si>
    <t>ANA RITA ALPIZAR CHAVEZ</t>
  </si>
  <si>
    <t>LAURA CRUZ JIMENEZ</t>
  </si>
  <si>
    <t>lic.joaquingutierrez.mangel@mep.go.cr</t>
  </si>
  <si>
    <t>600 M NORTE DEL EBAIS DEL LLANO BONITO</t>
  </si>
  <si>
    <t>350 SURESTE DEL TEMPLO CATOLICO DE SAVEGRE</t>
  </si>
  <si>
    <t>600 MTS SURESTE DE LA PLAZA DE DEPORTES</t>
  </si>
  <si>
    <t>CONTIGUO AL EBAIS MONTERREY DE SAN CARLOS</t>
  </si>
  <si>
    <t>LUIS ALBERTO ZUÑIGA DIAZ</t>
  </si>
  <si>
    <t>lic.laperla@mep.go.cr</t>
  </si>
  <si>
    <t>MONICA ALCAZAR HERNANDEZ</t>
  </si>
  <si>
    <t>col.candelariadenaranjo@mep.go.cr</t>
  </si>
  <si>
    <t>NURY CHAVES GUERRERO</t>
  </si>
  <si>
    <t>250 METROS ESTE DE LA ESCUELA SAN ANDRES</t>
  </si>
  <si>
    <t>ROSIBEL ABARCA SANCHEZ</t>
  </si>
  <si>
    <t>lic.ruraltarcoles@mep.go.cr</t>
  </si>
  <si>
    <t>100 METROS ESTE DEL CRUCE A BOCANA</t>
  </si>
  <si>
    <t>JOSE EDUARDO JIMENEZ VARGAS</t>
  </si>
  <si>
    <t>lic.depicagres@mep.go.cr</t>
  </si>
  <si>
    <t>400 MTS NORESTE DEL AERODROMO DE SAN VITO</t>
  </si>
  <si>
    <t>MIGUEL QUIROS MORA</t>
  </si>
  <si>
    <t>COSTADO ESTE, PLAZA DE DEPORTES, CELINA</t>
  </si>
  <si>
    <t>ERIC GONZALEZ ALVARADO</t>
  </si>
  <si>
    <t>lic.rurallascolonias@mep.go.cr</t>
  </si>
  <si>
    <t>lic.ruralgandoca@mep.go.cr</t>
  </si>
  <si>
    <t>DIAGONAL A LAS OFICNAS DEL MINAET</t>
  </si>
  <si>
    <t>400 M SUR DEL CEMENTERIO DE SAN ISIDRO DE L.C</t>
  </si>
  <si>
    <t>JOSE ADRIAN GONZALEZ CORDERO</t>
  </si>
  <si>
    <t>SALON COMUNAL. CONTIGUO A ESC. FAUSTO HERRERA</t>
  </si>
  <si>
    <t>lic.ruralyorkin@mep.go.cr</t>
  </si>
  <si>
    <t>upe.lacruz@mep.go.cr</t>
  </si>
  <si>
    <t>200 OESTE DE LA PLAZA DE DEPORTES LA CRUZ</t>
  </si>
  <si>
    <t>WENDY MADRIGAL SANCHEZ</t>
  </si>
  <si>
    <t>SEIDY LOPEZ MADRIGAL</t>
  </si>
  <si>
    <t>300M ESTE DE LA ESCUELA SANTIAGO ALPIZAR</t>
  </si>
  <si>
    <t>lic.ruralcerros@mep.go.cr</t>
  </si>
  <si>
    <t>MARIA SOLANO VALVERDE</t>
  </si>
  <si>
    <t>iegb.limon2000@mep.go.cr</t>
  </si>
  <si>
    <t>400 MTS NOROESTE DEL CEMENTERIO DE FLORIDA</t>
  </si>
  <si>
    <t>ERICK MARTIN CARVAJAL RIVERA</t>
  </si>
  <si>
    <t>COSTADO N DE LA PLAZA DE DEPORTES, COPEY CENT</t>
  </si>
  <si>
    <t>lic.diurnodeguarari@mep.go.cr</t>
  </si>
  <si>
    <t>SHARABATA</t>
  </si>
  <si>
    <t>2KM ESTE DE LA ESCUELA SHARABATA</t>
  </si>
  <si>
    <t>XX</t>
  </si>
  <si>
    <t>SECC_NOCT</t>
  </si>
  <si>
    <t>CIENTIFICO COSTARRICENSE DE SAN PEDRO</t>
  </si>
  <si>
    <t>CENTRO EDUCATIVO SAN MARCOS</t>
  </si>
  <si>
    <t>INSTITUTO CIENTIFICO SAN MARCOS</t>
  </si>
  <si>
    <t>CENTRO EDUCATIVO SAN FRANCISCO</t>
  </si>
  <si>
    <t>SAINT JOHN BAPTIST HIGH SCHOOL</t>
  </si>
  <si>
    <t>SISTEMA EDUCATIVO WHITMAN-PINARES-</t>
  </si>
  <si>
    <t>SISTEMA EDUCATIVO SOCIAL POSADA DE BELEN</t>
  </si>
  <si>
    <t>CENTRO EDUCATIVO SAN AGUSTIN</t>
  </si>
  <si>
    <t>01101</t>
  </si>
  <si>
    <t>COLEGIO HERMOSA HIGH SCHOOL</t>
  </si>
  <si>
    <t>01102</t>
  </si>
  <si>
    <t>GREDOS SAN DIEGO INTERNATIONAL SCHOOL</t>
  </si>
  <si>
    <t>01103</t>
  </si>
  <si>
    <t>TREE OF LIFE LEARNING CENTER</t>
  </si>
  <si>
    <t>cds_mep@cds.ed.cr</t>
  </si>
  <si>
    <t>RUTA 27, KM 17.5</t>
  </si>
  <si>
    <t>SCOTT GARREN</t>
  </si>
  <si>
    <t>BENITO HERNANDEZ BARCENAS</t>
  </si>
  <si>
    <t>ETHELGIVE JIMENEZ CASTILLO</t>
  </si>
  <si>
    <t>MARIA MIRONOVA</t>
  </si>
  <si>
    <t>secundaria@caribbeanlimon.com</t>
  </si>
  <si>
    <t>jsancho@lasamericas.ed.cr</t>
  </si>
  <si>
    <t>MARIANELLA BARRANTES BADILLA</t>
  </si>
  <si>
    <t>pvillanea@sanlorenzocr.com</t>
  </si>
  <si>
    <t>DANAY DE LA TORRE PRATS</t>
  </si>
  <si>
    <t>direccionsantaines@hotmail.com</t>
  </si>
  <si>
    <t>DE LOS TRIBUNALES DE JUSTICIA 500 N Y 800 OE.</t>
  </si>
  <si>
    <t>75 METROS SUR DEL SUPER COMPRO</t>
  </si>
  <si>
    <t>CRISTINA MENENDEZ MUNOZ</t>
  </si>
  <si>
    <t>RONALD ARROYO SOLANO</t>
  </si>
  <si>
    <t>mrodriguezn@atlanticcollegecr.com</t>
  </si>
  <si>
    <t>200 M SUR DE RESIDENCIAL ESTANDAR CARR. TUR.</t>
  </si>
  <si>
    <t>dbarrantes@sandiego.ed.cr</t>
  </si>
  <si>
    <t>BERNARDA MORA NARANJO</t>
  </si>
  <si>
    <t>cinfantecr@yahoo.com</t>
  </si>
  <si>
    <t>VICTOR VINICIO ROMAN PORRAS</t>
  </si>
  <si>
    <t>JABONCILLAL</t>
  </si>
  <si>
    <t>cristianoreformadocolegio@gmail.com</t>
  </si>
  <si>
    <t>info@saintmary.ed.cr</t>
  </si>
  <si>
    <t>directora.soniadiaz@gmail.com</t>
  </si>
  <si>
    <t>WAINER ESPINOZA VALVERDE</t>
  </si>
  <si>
    <t>IRWIN CESPEDES BARRANTES</t>
  </si>
  <si>
    <t>info@newwayschoolcr.com</t>
  </si>
  <si>
    <t>info@sanmariacr.com</t>
  </si>
  <si>
    <t>NELLY RODRIGUEZ FLORES</t>
  </si>
  <si>
    <t>JOSE ALONSO MORA FALLAS</t>
  </si>
  <si>
    <t>kennedyschoolsv@gmail.com</t>
  </si>
  <si>
    <t>info@futuro-verde.org</t>
  </si>
  <si>
    <t>DANIEL ABRAHAM GARCIA</t>
  </si>
  <si>
    <t>UNIVERSIDAD EARTH, MERCEDES GUACIMO</t>
  </si>
  <si>
    <t>informacion@dolphinsacademycr.com</t>
  </si>
  <si>
    <t>BRUNILDA RODRIGUEZ ROJAS</t>
  </si>
  <si>
    <t>BARRIO SAN MARTIN</t>
  </si>
  <si>
    <t>WILLIAM ZUNIGA JIMENEZ</t>
  </si>
  <si>
    <t>info@hermosavalleyschool.org</t>
  </si>
  <si>
    <t>CONTIGUO ESCUELAS HERMOSA SCHOOL</t>
  </si>
  <si>
    <t>GUACIMA ABAJO</t>
  </si>
  <si>
    <t>600 M SUR AUTOMERCADO DE LA GUACIMA</t>
  </si>
  <si>
    <t>CALLE LA MARGARITA</t>
  </si>
  <si>
    <t>CHRISTIAN WHITE HERNANDEZ</t>
  </si>
  <si>
    <t>Indique los datos que se solicitan, o bien, seleccione Sí o No según corresponda.</t>
  </si>
  <si>
    <t>Espacio Físico.</t>
  </si>
  <si>
    <t>Espacio Físico</t>
  </si>
  <si>
    <t>Aulas o lugar donde se imparten lecciones:</t>
  </si>
  <si>
    <t>Indique si la Institución cuenta con los siguientes servicios:</t>
  </si>
  <si>
    <t>Computadoras en Buen Estado.</t>
  </si>
  <si>
    <t>Pupitres (Unipersonales, mesas de pupitre)</t>
  </si>
  <si>
    <t>CUADRO 15</t>
  </si>
  <si>
    <t>Indique los datos que se solicitan, o bien seleccione "X" para lo que corresponda.</t>
  </si>
  <si>
    <t xml:space="preserve"> </t>
  </si>
  <si>
    <t>Pozo con tanque elevado.</t>
  </si>
  <si>
    <t>Pozo sin sistema de extracción de agua.</t>
  </si>
  <si>
    <t>Camión Cisterna</t>
  </si>
  <si>
    <t>Hidrante</t>
  </si>
  <si>
    <t>Sanitarios y Lavamanos</t>
  </si>
  <si>
    <t>Servicios Sanitarios</t>
  </si>
  <si>
    <t>Para hombres</t>
  </si>
  <si>
    <t>Para mujeres</t>
  </si>
  <si>
    <t>Para ambos sexos</t>
  </si>
  <si>
    <t>Que disponen de agua y jabón</t>
  </si>
  <si>
    <t xml:space="preserve">Sin agua </t>
  </si>
  <si>
    <t>Pileta lavamanos (Bebedero)</t>
  </si>
  <si>
    <t>INFORMACIÓN SOBRE BACHILLERATO INTERNACIONAL</t>
  </si>
  <si>
    <t>MATRÍCULA INICIAL EN ALGUNAS ASIGNATURAS, ACADÉMICA DIURNA</t>
  </si>
  <si>
    <t>(No incluya los estudiantes de Bachillerato Internacional)</t>
  </si>
  <si>
    <t>El dato desglosado por año cursado es mayor a la cifra de matrícula reportada en el Cuadro 1.  Tome en cuenta, que las asignaturas de sétimo año sólo las pueden matricular los que son estudiantes de sétimo; las asignaturas de octavo sólo los que están en octavo más los de sétimo que están adelantando, y así para los otros años cursados.</t>
  </si>
  <si>
    <t>REPITENTES EN ALGUNAS ASIGNATURAS, ACADÉMICA DIURNA</t>
  </si>
  <si>
    <t>Matriculados
en:</t>
  </si>
  <si>
    <t>(3)
De los estudiantes anotados en la columna (1), indique los que 
 SON ALFABETIZADOS</t>
  </si>
  <si>
    <t>Educación
Diversificada</t>
  </si>
  <si>
    <t>Síndrome de Down</t>
  </si>
  <si>
    <t>UTILIZAN prótesis auditivas (audífonos)</t>
  </si>
  <si>
    <t>UTILIZAN implante coclear</t>
  </si>
  <si>
    <t>NO UTILIZAN prótesis auditivas (audífonos), implante coclear u otro dispositivo</t>
  </si>
  <si>
    <t>Síndrome de Asperger</t>
  </si>
  <si>
    <t>1/  No incluir Síndrome de Down.</t>
  </si>
  <si>
    <t>TODAS LAS ASIGNATURAS EN CONVOCATORIAS</t>
  </si>
  <si>
    <t>ESTUDIANTES DE ACADÉMICA DIURNA REPORTADOS COMO</t>
  </si>
  <si>
    <t>ESTUDIANTES QUE APROBARON ALGUNA ASIGNATURA EN CONVOCATORIAS, ACADÉMICA DIURNA</t>
  </si>
  <si>
    <t>Académico-Innovación Educativa</t>
  </si>
  <si>
    <t>Retraso Mental (Discapacidad Intelectual)</t>
  </si>
  <si>
    <t>Terapia Física (Rehabilitación Física)</t>
  </si>
  <si>
    <t>Terapia Ocupacional (Rehabilitación Ocupacional)</t>
  </si>
  <si>
    <t>Duchas</t>
  </si>
  <si>
    <t>Trastorno del Lenguaje</t>
  </si>
  <si>
    <t>Pérdida Auditiva</t>
  </si>
  <si>
    <t>Mingitorios (Urinarios)</t>
  </si>
  <si>
    <t>El Centro Educativo tiene las adaptaciones necesarias en su infraestructura para que garantice la accesibilidad física de los estudiantes, personal y padres de familia, a todos los servicios ofrecidos, por ejemplo:  área administrativa, biblioteca, comedor, laboratorios?</t>
  </si>
  <si>
    <t>Obtuvieron Bachillerato Internacional</t>
  </si>
  <si>
    <t>Académica Diurna (incluye Asignaturas Especiales)</t>
  </si>
  <si>
    <t xml:space="preserve">1. </t>
  </si>
  <si>
    <t>Lactancia</t>
  </si>
  <si>
    <t>7-03-07</t>
  </si>
  <si>
    <t>COLEGIO REPUBLICA DE MEXICO</t>
  </si>
  <si>
    <t>LICEO MARIO BOURNE BOURNE</t>
  </si>
  <si>
    <t>upe.republicamexico@mep.go.cr</t>
  </si>
  <si>
    <t>lic.josefideltristan@mep.go.cr</t>
  </si>
  <si>
    <t>600 OESTE DEL COSTADO SUR DE IGLESIA CATOLICA</t>
  </si>
  <si>
    <t>lic.delsurcr@mep.go.cr</t>
  </si>
  <si>
    <t>lic.superiordesenoritas@mep.go.cr</t>
  </si>
  <si>
    <t>lic.decostarica@mep.go.cr</t>
  </si>
  <si>
    <t>secretaria@colegioelrosario.ed.cr</t>
  </si>
  <si>
    <t>MANUEL AGUILAR BRENES</t>
  </si>
  <si>
    <t>ROXANA VARGAS ARAYA</t>
  </si>
  <si>
    <t>JOSE CARLOS CALVO LARA</t>
  </si>
  <si>
    <t>GRETTEL MORALES ROJAS</t>
  </si>
  <si>
    <t>KATTIA BLANCO HIDALGO</t>
  </si>
  <si>
    <t>lic.josejoaquinvargascalvo@mep.go.cr</t>
  </si>
  <si>
    <t>LAURENT BOY</t>
  </si>
  <si>
    <t>lic.francocostarricense@mep.go.cr</t>
  </si>
  <si>
    <t>lic.dealfaroruiz@mep.go.cr</t>
  </si>
  <si>
    <t>TOMAS GABRIEL MORENO MADRID</t>
  </si>
  <si>
    <t>GUILLERMO ZUNIGA CERDAS</t>
  </si>
  <si>
    <t>JOHEL QUESADA CAMACHO</t>
  </si>
  <si>
    <t>lic.samuelsaenzflores@mep.go.cr</t>
  </si>
  <si>
    <t>lic.rodrigohernandezvargas@mep.go.cr</t>
  </si>
  <si>
    <t>lic.miguelarayavenegas@mep.go.cr</t>
  </si>
  <si>
    <t>lic.dechacarita@mep.go.cr</t>
  </si>
  <si>
    <t>upe.joserafaelarayarojas@mep.go.cr</t>
  </si>
  <si>
    <t>lic.coloradoabangares@mep.go.cr</t>
  </si>
  <si>
    <t>ERICK MOLINA VILLAREAL</t>
  </si>
  <si>
    <t>MARIA DEL C. DURAN CALVO</t>
  </si>
  <si>
    <t>lic.expbilingueaguabuena@mep.go.cr</t>
  </si>
  <si>
    <t>CRISTINA LOBO BARRANTES</t>
  </si>
  <si>
    <t>ADRIAN ALFARO POVEDA</t>
  </si>
  <si>
    <t>YEUDI LEIVA GONZALEZ</t>
  </si>
  <si>
    <t>col.academicodejimenez@mep.go.cr</t>
  </si>
  <si>
    <t>lic.devillarreal@mep.go.cr</t>
  </si>
  <si>
    <t>lic.alejandroaguilarmachado@mep.go.cr</t>
  </si>
  <si>
    <t>lic.colorado@mep.go.cr</t>
  </si>
  <si>
    <t>OLGA MORA CAMPOS</t>
  </si>
  <si>
    <t>ROSIBEL CAMBRONERA MORA</t>
  </si>
  <si>
    <t>STANLEY POLONIO GAMBOA</t>
  </si>
  <si>
    <t>VICTOR CHANG QUINTERO</t>
  </si>
  <si>
    <t>YORLENY QUESADA RAMIREZ</t>
  </si>
  <si>
    <t>CINDY MENDOZA MORALES</t>
  </si>
  <si>
    <t>lic.concepciondanielflores@mep.go.cr</t>
  </si>
  <si>
    <t>DE LA FUERZA PUBLICA 600 M OESTE</t>
  </si>
  <si>
    <t>oscar.almengor.fernandez@mep.go.cr</t>
  </si>
  <si>
    <t>300 S.Y 200 O.DE LA CARNICERIA EL BUEN TRATO</t>
  </si>
  <si>
    <t>JOSE FRANCISCO MENDOZA MONGRIO</t>
  </si>
  <si>
    <t>200M E Y 50M SUR DE LA ESCUELA IDA SAN LUIS</t>
  </si>
  <si>
    <t>MARIA LUISA PEREZ SAENZ</t>
  </si>
  <si>
    <t>300M E DE LA ENTRADA A BARIIO EL CHARCO</t>
  </si>
  <si>
    <t>MILEY SALAZAR MUÑOZ</t>
  </si>
  <si>
    <t>WAINER SEQUEIRA VILLAGRA</t>
  </si>
  <si>
    <t>lic.ruralcerritos@mep.go.cr</t>
  </si>
  <si>
    <t>MARIO ANDRES MATAMOROS FERNAND</t>
  </si>
  <si>
    <t>300M SURES DE LA PLAZA DE DEPORTES</t>
  </si>
  <si>
    <t>KAROL MILAGROS ESPINOZA MORERA</t>
  </si>
  <si>
    <t>YORLENI CHAVARRIA RODRIGUEZ</t>
  </si>
  <si>
    <t>MARLON A. LEDGISTER THARPE</t>
  </si>
  <si>
    <t>GILBERTO ESTEBAN CANO TAPIA</t>
  </si>
  <si>
    <t>lic.ruralsanantoniodezapotal@mep.go.cr</t>
  </si>
  <si>
    <t>300 SUR CRUCE RUTRA EL QUETZAL SAN ANTONIO M.</t>
  </si>
  <si>
    <t>lic.ruralsanjuan@mep.go.cr</t>
  </si>
  <si>
    <t>WILLIAM FALLAS MORA</t>
  </si>
  <si>
    <t>liceo.ruralzapaton@mep.go.cr</t>
  </si>
  <si>
    <t>MAURICIO BARRANTES ELIZONDO</t>
  </si>
  <si>
    <t>PATRICIA SALAS CARDENAS</t>
  </si>
  <si>
    <t>lic.rurallanas@mep.go.cr</t>
  </si>
  <si>
    <t>lic.ruralelllano@mep.go.cr</t>
  </si>
  <si>
    <t>DAGOBERTO ARIAS ZAPATA</t>
  </si>
  <si>
    <t>esc.andresbellolopez@mep.go.cr</t>
  </si>
  <si>
    <t>MARGOTH MORA NAVARRO</t>
  </si>
  <si>
    <t>GEINER ARAYA VARGAS</t>
  </si>
  <si>
    <t>col.indigenalacasona@mep.go.cr</t>
  </si>
  <si>
    <t>iegb.lavictoria@mep.go.cr</t>
  </si>
  <si>
    <t>JENNIFER VILLANUEVA GONZALEZ</t>
  </si>
  <si>
    <t>MARIO ENRIQUE MAYORGA HERNANDE</t>
  </si>
  <si>
    <t>lic.ruralpalmera@mep.go.cr</t>
  </si>
  <si>
    <t>lic.sanjosedelrio@mep.go.cr</t>
  </si>
  <si>
    <t>RICARDO CHAVARRIA CHAVES</t>
  </si>
  <si>
    <t>lic.ruraldevarablanca@mep.go.cr</t>
  </si>
  <si>
    <t>MARIANA ARTAVIA GUZMAN</t>
  </si>
  <si>
    <t>lic.ruralulukkicha@mep.go.cr</t>
  </si>
  <si>
    <t>COLEGIO MONTERREY CHRISTIAN SCHOOL</t>
  </si>
  <si>
    <t>INSTITUTO CENTROAMERICANO ADVENTISTA</t>
  </si>
  <si>
    <t>SANTA FE PACIFIC</t>
  </si>
  <si>
    <t>CRISTIANO BILINGÜE LA PALABRA DE VIDA</t>
  </si>
  <si>
    <t>SANT VALENTINE</t>
  </si>
  <si>
    <t>MOUNT HOUSE SCHOOL</t>
  </si>
  <si>
    <t>BILINGUE INMACULADA DE JACO</t>
  </si>
  <si>
    <t>BILINGÜE SANTA JOSEFINA</t>
  </si>
  <si>
    <t>COLEGIO CIENTIFICO INTERAMERICANO IHS (CATIE)</t>
  </si>
  <si>
    <t>SISTEMA EDUCATIVO LOS DELFINES</t>
  </si>
  <si>
    <t>CAI NIÑOS Y NIÑAS TRIUNFADORES</t>
  </si>
  <si>
    <t>HORIZONTES (CEDHORI)</t>
  </si>
  <si>
    <t>CRESTON SCHOOL</t>
  </si>
  <si>
    <t>COLEGIO CIENTIFICO INTERAMERICANO SEDE EARTH</t>
  </si>
  <si>
    <t>01108</t>
  </si>
  <si>
    <t>NEW HORIZON CHRISTIAN SCHO0L</t>
  </si>
  <si>
    <t>01109</t>
  </si>
  <si>
    <t>CENTRO DE APRENDIZAJE EDUCARTE</t>
  </si>
  <si>
    <t>XENIA GAMBBOA MORAE</t>
  </si>
  <si>
    <t>registro@colegioadventista.ed.cr</t>
  </si>
  <si>
    <t>JOSE LUIS MENENDEZ</t>
  </si>
  <si>
    <t>DE LA IGLESIA CATOLICA DE ESCAZU, 400 MTS SUR</t>
  </si>
  <si>
    <t>TATIANA HERNANDEZ BARRANTES</t>
  </si>
  <si>
    <t>t.hernandez@iribo.org</t>
  </si>
  <si>
    <t>PRISCILLA WHITE HERNÁNDEZ</t>
  </si>
  <si>
    <t>2KM NE DEL PUENTE SAPRISSA</t>
  </si>
  <si>
    <t>ELIZABETH CRUZ ROJAS</t>
  </si>
  <si>
    <t>JORGE DURAN ARAYA</t>
  </si>
  <si>
    <t>JOSE ANTONIO CARDENAS BRICEÑO</t>
  </si>
  <si>
    <t>ccc.sedesanpedro@mep.go.cr</t>
  </si>
  <si>
    <t>aismepinfo@ais.ed.cr</t>
  </si>
  <si>
    <t>CAROLINA GOMEZ MONTOYA</t>
  </si>
  <si>
    <t>MARIA DEL ROSARIO ORTIZ MORA</t>
  </si>
  <si>
    <t>KATHRYN SCANLAN</t>
  </si>
  <si>
    <t>ILIMA MALAVASSI ORTEGA</t>
  </si>
  <si>
    <t>LORENA VALDELOMAR FALLAS</t>
  </si>
  <si>
    <t>administrativa@livinghope.ed.cr</t>
  </si>
  <si>
    <t>CALLE DON PEDRO</t>
  </si>
  <si>
    <t>KATTIA LORENA SÁNCHEZ SÁNCHEZ</t>
  </si>
  <si>
    <t>DEL AUTOMERCADO STO DOMINGO 800MTS NORTE</t>
  </si>
  <si>
    <t>COSTADO NORTE DE LA IGLESIA CATÓLICA 400M E</t>
  </si>
  <si>
    <t>centroeducativosanfranciscocq@ucatolica.ac.cr</t>
  </si>
  <si>
    <t>EDDY ZUÑIGA SANCHEZ</t>
  </si>
  <si>
    <t>LUIS HERBOZO REGRAT</t>
  </si>
  <si>
    <t>KARLA AGUILAR VARGAS</t>
  </si>
  <si>
    <t>CARLOS A. ARTAVIA SOLIS</t>
  </si>
  <si>
    <t>ccdelatlantico@gmail.com</t>
  </si>
  <si>
    <t>JULIO PORRAS MONTERO</t>
  </si>
  <si>
    <t>cafore@tonito.ed.cr</t>
  </si>
  <si>
    <t>DE LA MUNICIPALIDAD 300 MTS NORTE Y 175 OESTE</t>
  </si>
  <si>
    <t>ANA LORENA CALDERON TREJOS</t>
  </si>
  <si>
    <t>1 KM NORTE CONSTRUPLAZA, CONT. VIVERO HABITAD</t>
  </si>
  <si>
    <t>PETER JOSEPH SWING</t>
  </si>
  <si>
    <t>700 MTS. E.Y 400 SUR CRUCE STA ELENA.</t>
  </si>
  <si>
    <t>NOILIN CAMPOS VARGAS</t>
  </si>
  <si>
    <t>SILVIA ROJAS CHAVARRíA</t>
  </si>
  <si>
    <t>direccion@saintpatrickcr.com</t>
  </si>
  <si>
    <t>RUTH AGUILAR MURILLO</t>
  </si>
  <si>
    <t>ANA ISABEL GONZÁLEZ ÁLVAREZ</t>
  </si>
  <si>
    <t>VERENA CASTRO ROJAS</t>
  </si>
  <si>
    <t>VILLAREAL</t>
  </si>
  <si>
    <t>CIUDAD COLON</t>
  </si>
  <si>
    <t>MARLEN URBINA LOPEZ</t>
  </si>
  <si>
    <t>info@nh.cr</t>
  </si>
  <si>
    <t>300 OESTE DEL ANTIGUO MERCADO MUNICIPAL</t>
  </si>
  <si>
    <t>3 KM DEL CRUCE DE HUACAS, CARRETERA TAMARINDO</t>
  </si>
  <si>
    <t>00726</t>
  </si>
  <si>
    <t>5857</t>
  </si>
  <si>
    <t>01110</t>
  </si>
  <si>
    <t>6959</t>
  </si>
  <si>
    <t>6987</t>
  </si>
  <si>
    <t>UNIDAD PEDAGOGICA RURAL BAJOS DE TORO AMARILLO</t>
  </si>
  <si>
    <t>LICEO PARAISO</t>
  </si>
  <si>
    <t>COLEGIO EL AMPARO</t>
  </si>
  <si>
    <t>LICEO TAMBOR DE COBANO</t>
  </si>
  <si>
    <t>LICEO RURAL NAIRI AWARI</t>
  </si>
  <si>
    <t>BAJOS TORO AMARILLO</t>
  </si>
  <si>
    <t>NAIRI AWARI</t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</si>
  <si>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0"/>
        <color theme="1"/>
        <rFont val="Cambria"/>
        <family val="1"/>
        <scheme val="major"/>
      </rPr>
      <t>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</si>
  <si>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r>
      <t xml:space="preserve">Con agua pero </t>
    </r>
    <r>
      <rPr>
        <u/>
        <sz val="11"/>
        <color theme="1"/>
        <rFont val="Cambria"/>
        <family val="1"/>
        <scheme val="major"/>
      </rPr>
      <t>no</t>
    </r>
    <r>
      <rPr>
        <sz val="11"/>
        <color theme="1"/>
        <rFont val="Cambria"/>
        <family val="1"/>
        <scheme val="major"/>
      </rPr>
      <t xml:space="preserve"> con jabón</t>
    </r>
  </si>
  <si>
    <r>
      <t xml:space="preserve">MT
</t>
    </r>
    <r>
      <rPr>
        <b/>
        <sz val="9"/>
        <rFont val="Cambria"/>
        <family val="1"/>
        <scheme val="major"/>
      </rPr>
      <t>(1-6)</t>
    </r>
  </si>
  <si>
    <r>
      <t xml:space="preserve">MAU
</t>
    </r>
    <r>
      <rPr>
        <b/>
        <sz val="9"/>
        <rFont val="Cambria"/>
        <family val="1"/>
        <scheme val="major"/>
      </rPr>
      <t>(1-2)</t>
    </r>
  </si>
  <si>
    <r>
      <t xml:space="preserve">VT
</t>
    </r>
    <r>
      <rPr>
        <b/>
        <sz val="9"/>
        <rFont val="Cambria"/>
        <family val="1"/>
        <scheme val="major"/>
      </rPr>
      <t>(1-6)</t>
    </r>
  </si>
  <si>
    <r>
      <t xml:space="preserve">VAU
</t>
    </r>
    <r>
      <rPr>
        <b/>
        <sz val="9"/>
        <rFont val="Cambria"/>
        <family val="1"/>
        <scheme val="major"/>
      </rPr>
      <t>(1-2)</t>
    </r>
  </si>
  <si>
    <r>
      <t xml:space="preserve">ET
</t>
    </r>
    <r>
      <rPr>
        <b/>
        <sz val="9"/>
        <rFont val="Cambria"/>
        <family val="1"/>
        <scheme val="major"/>
      </rPr>
      <t>(1-4)</t>
    </r>
  </si>
  <si>
    <r>
      <t xml:space="preserve">EAU
</t>
    </r>
    <r>
      <rPr>
        <b/>
        <sz val="9"/>
        <rFont val="Cambria"/>
        <family val="1"/>
        <scheme val="major"/>
      </rPr>
      <t>(1-2)</t>
    </r>
  </si>
  <si>
    <r>
      <t xml:space="preserve">Administrativos
</t>
    </r>
    <r>
      <rPr>
        <i/>
        <sz val="10"/>
        <rFont val="Cambria"/>
        <family val="1"/>
        <scheme val="major"/>
      </rPr>
      <t>(Director, Subdirector, Asistente de Dirección, Auxiliar Administrativo)</t>
    </r>
  </si>
  <si>
    <r>
      <t xml:space="preserve">Técnicos-Docentes
</t>
    </r>
    <r>
      <rPr>
        <i/>
        <sz val="10"/>
        <rFont val="Cambria"/>
        <family val="1"/>
        <scheme val="major"/>
      </rPr>
      <t>(Orientador, Orientador Asistente, Bibliotecólogo)</t>
    </r>
  </si>
  <si>
    <r>
      <t xml:space="preserve">Docentes de Educación Especial
</t>
    </r>
    <r>
      <rPr>
        <i/>
        <sz val="10"/>
        <rFont val="Cambria"/>
        <family val="1"/>
        <scheme val="major"/>
      </rPr>
      <t>(Generalista en Educación Especial, Terapia del Lenguaje, otros)</t>
    </r>
  </si>
  <si>
    <r>
      <t xml:space="preserve">Administrativos y de Servicios
</t>
    </r>
    <r>
      <rPr>
        <i/>
        <sz val="10"/>
        <rFont val="Cambria"/>
        <family val="1"/>
        <scheme val="major"/>
      </rPr>
      <t>(Oficinistas, Misceláneos, Cocineras, Trabajador Social, otros)</t>
    </r>
  </si>
  <si>
    <r>
      <t xml:space="preserve">(1)
</t>
    </r>
    <r>
      <rPr>
        <b/>
        <sz val="10"/>
        <rFont val="Cambria"/>
        <family val="1"/>
        <scheme val="major"/>
      </rPr>
      <t>Estudiantes que tienen alguna 
Discapacidad o Condición</t>
    </r>
    <r>
      <rPr>
        <b/>
        <i/>
        <sz val="10"/>
        <rFont val="Cambria"/>
        <family val="1"/>
        <scheme val="major"/>
      </rPr>
      <t xml:space="preserve">
</t>
    </r>
    <r>
      <rPr>
        <i/>
        <sz val="10"/>
        <rFont val="Cambria"/>
        <family val="1"/>
        <scheme val="major"/>
      </rPr>
      <t>(Reciban o no Servicios de Apoyo Educativo)</t>
    </r>
  </si>
  <si>
    <r>
      <t xml:space="preserve">(2)
</t>
    </r>
    <r>
      <rPr>
        <b/>
        <sz val="10"/>
        <rFont val="Cambria"/>
        <family val="1"/>
        <scheme val="major"/>
      </rPr>
      <t xml:space="preserve">De los estudiantes anotados en la columna (1), indique los que </t>
    </r>
    <r>
      <rPr>
        <b/>
        <u/>
        <sz val="10"/>
        <rFont val="Cambria"/>
        <family val="1"/>
        <scheme val="major"/>
      </rPr>
      <t>RECIBEN</t>
    </r>
    <r>
      <rPr>
        <b/>
        <sz val="10"/>
        <rFont val="Cambria"/>
        <family val="1"/>
        <scheme val="major"/>
      </rPr>
      <t xml:space="preserve"> algún Servicio de Apoyo Educativo
</t>
    </r>
    <r>
      <rPr>
        <i/>
        <sz val="10"/>
        <rFont val="Cambria"/>
        <family val="1"/>
        <scheme val="major"/>
      </rPr>
      <t>(Población Atendida)</t>
    </r>
  </si>
  <si>
    <r>
      <t xml:space="preserve">Discapacidad Intelectual (Retraso Mental) </t>
    </r>
    <r>
      <rPr>
        <b/>
        <vertAlign val="superscript"/>
        <sz val="11"/>
        <rFont val="Cambria"/>
        <family val="1"/>
        <scheme val="major"/>
      </rPr>
      <t>1/</t>
    </r>
  </si>
  <si>
    <t>Trastorno del Espectro Autista (TEA)</t>
  </si>
  <si>
    <r>
      <t xml:space="preserve">Situación Conductual Problemática </t>
    </r>
    <r>
      <rPr>
        <b/>
        <vertAlign val="superscript"/>
        <sz val="11"/>
        <rFont val="Cambria"/>
        <family val="1"/>
        <scheme val="major"/>
      </rPr>
      <t>2/</t>
    </r>
  </si>
  <si>
    <r>
      <t xml:space="preserve">Trastorno Específico de Aprendizaje </t>
    </r>
    <r>
      <rPr>
        <b/>
        <vertAlign val="superscript"/>
        <sz val="11"/>
        <rFont val="Cambria"/>
        <family val="1"/>
        <scheme val="major"/>
      </rPr>
      <t>3/</t>
    </r>
  </si>
  <si>
    <r>
      <t xml:space="preserve">Otro tipo de Condición </t>
    </r>
    <r>
      <rPr>
        <b/>
        <vertAlign val="superscript"/>
        <sz val="11"/>
        <rFont val="Cambria"/>
        <family val="1"/>
        <scheme val="major"/>
      </rPr>
      <t>4/</t>
    </r>
  </si>
  <si>
    <t>2/  Antes Problemas Emocionales y de Conducta.</t>
  </si>
  <si>
    <t>3/ Antes Problemas de Aprendizaje.</t>
  </si>
  <si>
    <t>4/  Especificar en OBSERVACIONES/COMENTARIOS. Ver ejemplos en la Guía.</t>
  </si>
  <si>
    <t>El Centro Educativo se abastece de agua por:</t>
  </si>
  <si>
    <t>Tubería dentro del Centro Educativo.</t>
  </si>
  <si>
    <t>Tubería fuera del Centro Educativo, pero dentro del lote o edificio.</t>
  </si>
  <si>
    <t>Tubería fuera del lote o edificio.</t>
  </si>
  <si>
    <t>No tiene por tubería.</t>
  </si>
  <si>
    <t>El Agua que consumen proviene de:</t>
  </si>
  <si>
    <t>Río, quebrada o naciente.</t>
  </si>
  <si>
    <t>Lluvia u otro.</t>
  </si>
  <si>
    <t>Alcantarilla o Cloaca.</t>
  </si>
  <si>
    <t>Tanque Séptico con tratamiento (fosa biológica).</t>
  </si>
  <si>
    <t>En el Centro Educativo hay luz eléctrica del:</t>
  </si>
  <si>
    <t>Planta privada.</t>
  </si>
  <si>
    <t>No hay luz eléctrica.</t>
  </si>
  <si>
    <t>PÚBLICA</t>
  </si>
  <si>
    <t>lic.rodrigofaciobrenes@mep.go.cr</t>
  </si>
  <si>
    <t>LENIN ALVARADO PORRAS</t>
  </si>
  <si>
    <t>400M OESTE Y 200M SUR DEL TEMPLO SAN SEBASTIA</t>
  </si>
  <si>
    <t>lic.callefallas@mep.go.cr</t>
  </si>
  <si>
    <t>ILVIN P. PINEDA HERNANDEZ</t>
  </si>
  <si>
    <t>lic.dealajuelita@mep.go.cr</t>
  </si>
  <si>
    <t>SUE CHINCHILLA CALDERON</t>
  </si>
  <si>
    <t>HNA.MARIZ VALERIO GONZALEZ</t>
  </si>
  <si>
    <t>EMMANUEL ESQUIVEL BLANCO</t>
  </si>
  <si>
    <t>ROCIO LOPEZ VARGAS</t>
  </si>
  <si>
    <t>lic.decurridabat@mep.go.cr</t>
  </si>
  <si>
    <t>ROGER ROJAS CESPEDES</t>
  </si>
  <si>
    <t>VILMA ARROYO GARCIA</t>
  </si>
  <si>
    <t>LUIS FELIPE ROJAS ARRIETA</t>
  </si>
  <si>
    <t>JEFFREY MEJIAS MESEN</t>
  </si>
  <si>
    <t>SONIA LUCRECIA OVALLE CRUZ</t>
  </si>
  <si>
    <t>00593</t>
  </si>
  <si>
    <t>lic.hernanvargasramirez@mep.go.cr</t>
  </si>
  <si>
    <t>inst.clodomiropicadotwigth@mep.go.cr</t>
  </si>
  <si>
    <t>lic.deheredia@mep.go.cr</t>
  </si>
  <si>
    <t>500M OE DE LA ESQUINA SO DEL ESTADIO ROSABALC</t>
  </si>
  <si>
    <t>ANA LORENA JUAREZ ZUNIGA</t>
  </si>
  <si>
    <t>FLABIAN CORTES VARGAS</t>
  </si>
  <si>
    <t>COSTADO ESTE IGLESIA CATOLICA</t>
  </si>
  <si>
    <t>MARCO MARTINEZ ARIAS</t>
  </si>
  <si>
    <t>col.indigenasulayom@mep.go.cr</t>
  </si>
  <si>
    <t>LIMON CENTRO</t>
  </si>
  <si>
    <t>SHEILA WALLACE ZUÑIGA</t>
  </si>
  <si>
    <t>INSTALACIONES DEL POLIDEPORTIVO DE JAPDEVA</t>
  </si>
  <si>
    <t>WILBORRG MAYIN VARGAS MORALES</t>
  </si>
  <si>
    <t>ANA JENSIE DIAZ ANGULO</t>
  </si>
  <si>
    <t>LORNA MOLINA CORELLA</t>
  </si>
  <si>
    <t>FRENTE AL GIMNASIO DE LA COMUNIDAD</t>
  </si>
  <si>
    <t>HENRY MORALES RAMOS</t>
  </si>
  <si>
    <t>2-16-02</t>
  </si>
  <si>
    <t>RODOLFO ANGULO ESPINOZA</t>
  </si>
  <si>
    <t>SANDRA MARCELA VARGAS PEREIRA</t>
  </si>
  <si>
    <t>lic.expbilingueturrialba@mep.go.cr</t>
  </si>
  <si>
    <t>JAVIER ALEXANDER KENTON DAVIS</t>
  </si>
  <si>
    <t>lic.lauvita@mep.go.cr</t>
  </si>
  <si>
    <t>lic.ruralmarbella@mep.go.cr</t>
  </si>
  <si>
    <t>AL COSTADO DE LA FUERZA PUBLICA</t>
  </si>
  <si>
    <t>KATHIA ARTAVIA RODRIGUEZ</t>
  </si>
  <si>
    <t>400 ESTE DEL TEMPLO BOCA DE ARENAL</t>
  </si>
  <si>
    <t>col.maizdelosuva@mep.go.cr</t>
  </si>
  <si>
    <t>MARIA DELGADO MENA</t>
  </si>
  <si>
    <t>ONELIA GUEVARA VIALES</t>
  </si>
  <si>
    <t>lic.rurallasceibas@mep.go.cr</t>
  </si>
  <si>
    <t>MARCO VINICIO NARANJO SOTO</t>
  </si>
  <si>
    <t>CONTIGUO AL PARQUE ECOLOGICO NUESTRO AMO</t>
  </si>
  <si>
    <t>CARMEN GONZALEZ CHACON</t>
  </si>
  <si>
    <t>DONALD FERNANDO SALAS BOLAÑOS</t>
  </si>
  <si>
    <t>lic.llanobonito@mep.go.cr</t>
  </si>
  <si>
    <t>ELDA MONTEZUMA BEJARANO</t>
  </si>
  <si>
    <t>WILMAR LIZANO ARAYA</t>
  </si>
  <si>
    <t>lic.matastal@mep.go.cr</t>
  </si>
  <si>
    <t>ARTURO COLOMER BENAVIDES</t>
  </si>
  <si>
    <t>JORGE ALBERTO SOLIS HERNANDEZ</t>
  </si>
  <si>
    <t>JENIVA CASTRO PORRAS</t>
  </si>
  <si>
    <t>700M NOROESTE DE LA DELEGACION DE FUERZA PUBL</t>
  </si>
  <si>
    <t>CINDY CAMPOS VARGAS</t>
  </si>
  <si>
    <t>MAINOR LEAL LOPEZ</t>
  </si>
  <si>
    <t>SONIA SOLORZANO ESPINOZA</t>
  </si>
  <si>
    <t>150 M NORESTE DE ESCUELA LUIS MONGE MADRIGAL</t>
  </si>
  <si>
    <t>lic.vueltadejorco@mep.go.cr</t>
  </si>
  <si>
    <t>RICARDO BERROCAL CECILIANO</t>
  </si>
  <si>
    <t>lic.rurallacelina@mep.go.cr</t>
  </si>
  <si>
    <t>col.expbilinguesiquirres@mep.go.cr</t>
  </si>
  <si>
    <t>30 METROS SUR ESTE DE LA ESCUELA ALTO GUAYMI</t>
  </si>
  <si>
    <t>LICEO SANTA TERESA</t>
  </si>
  <si>
    <t>DE LA ESC. CUBUJUQUI 600 MTS ESTE</t>
  </si>
  <si>
    <t>COSTADO NORTE DE LA PLAZA DE DEPORTES.</t>
  </si>
  <si>
    <t>lic.ruralnuevaguatemala@mep.go.cr</t>
  </si>
  <si>
    <t>JULIAN WATSON CARRANZA</t>
  </si>
  <si>
    <t>200MTS SUR DEL SALON UNIVERSAL DE FINCA 10</t>
  </si>
  <si>
    <t>CUPERTINO ANGULO VIALES</t>
  </si>
  <si>
    <t>MANUEL ANTONIO FERNANDEZ LIZAN</t>
  </si>
  <si>
    <t>RICARDO SAENZ BOLAÑOS</t>
  </si>
  <si>
    <t>lic.ruralkabebata@mep.go.cr</t>
  </si>
  <si>
    <t>JOSE FABIAN BADILLA LEIVA</t>
  </si>
  <si>
    <t>lic.rurallabrador@mep.go.cr</t>
  </si>
  <si>
    <t>col.academicoparaiso@mep.go.cr</t>
  </si>
  <si>
    <t>iegb.americacentral@mep.go.cr</t>
  </si>
  <si>
    <t>GRETHEL GARRO BRENES</t>
  </si>
  <si>
    <t>JUAN CARLOS ROJAS CAMPOS</t>
  </si>
  <si>
    <t>lic.ruralcoroma@mep.go.cr</t>
  </si>
  <si>
    <t>WILLIAM BONILLA AGUILAR</t>
  </si>
  <si>
    <t>RIO STEVEN MENDEZ CALVO</t>
  </si>
  <si>
    <t>IVANNIA MORALES MORA</t>
  </si>
  <si>
    <t>DENNYS VILLALOBOS VARGAS</t>
  </si>
  <si>
    <t>250 MTS. SUR DE LA ESCUELA SAN JOSE</t>
  </si>
  <si>
    <t>NELSON GARDEL PEREZ JUNEZ</t>
  </si>
  <si>
    <t>MARCELA CASTILLO VILLALOBOS</t>
  </si>
  <si>
    <t>lic.academicotambordecobano@mep.go.cr</t>
  </si>
  <si>
    <t>JEYNER MAURICIO MATA GRANADOS</t>
  </si>
  <si>
    <t>jeyner.mata.granados@mep.go.cr</t>
  </si>
  <si>
    <t>DEL PUENTE SOBRE EL RIO PACUARITO EN RUTA 32</t>
  </si>
  <si>
    <t>SUSANA P. ALVARADO CORDOVA</t>
  </si>
  <si>
    <t>recepcion@weizmancr.net</t>
  </si>
  <si>
    <t>dalvarado@saintclare.ed.cr</t>
  </si>
  <si>
    <t>ICS INTERNATIONAL CHRISTIAN SCHOOL</t>
  </si>
  <si>
    <t>pwhite@ics.ed.cr</t>
  </si>
  <si>
    <t>info@ica.ed.cr</t>
  </si>
  <si>
    <t>cepba@coopecep.com</t>
  </si>
  <si>
    <t>FRANDER DELGADO LEON</t>
  </si>
  <si>
    <t>academiateocali@teocali.org</t>
  </si>
  <si>
    <t>TRUDY CLARK HOWARD</t>
  </si>
  <si>
    <t>GLORIA DUARTE ESPAÑA</t>
  </si>
  <si>
    <t>DIAGONAL AL HOGAR PARA ANCIANOS EN GUAPILES</t>
  </si>
  <si>
    <t>MARTHA DIAZ CALLE</t>
  </si>
  <si>
    <t>VIRGINIA RODRIGUEZ HERRERA</t>
  </si>
  <si>
    <t>PAN AMERICAN SCHOOL</t>
  </si>
  <si>
    <t>info@lapalabradevida.ed.cr</t>
  </si>
  <si>
    <t>direccion@colegiovilaseca.com</t>
  </si>
  <si>
    <t>IHOSVANY SEGUI COTO</t>
  </si>
  <si>
    <t>MOISES JAMIENSON CASTILLO</t>
  </si>
  <si>
    <t>info@lourdescr.com</t>
  </si>
  <si>
    <t>DAVID REYNOLDS</t>
  </si>
  <si>
    <t>MANRIQUE ESPINOZA SOLANO</t>
  </si>
  <si>
    <t>centroeducativograymar@gmail.com</t>
  </si>
  <si>
    <t>SAINT MARY HIGH SCHOOL</t>
  </si>
  <si>
    <t>colenuevomundo20@gmail.com</t>
  </si>
  <si>
    <t>cepdirectora@gmail.com</t>
  </si>
  <si>
    <t>150M OESTE DE LA ACADEMIA DE GUARDACOSTAS</t>
  </si>
  <si>
    <t>YAMILETH PENARANDA BONILLA</t>
  </si>
  <si>
    <t>colegiobilinguesanmartin.cr@gmail.com</t>
  </si>
  <si>
    <t>CYNTHIA BERMUDEZ ALFARO</t>
  </si>
  <si>
    <t>DELFINA LEIVA QUESADA</t>
  </si>
  <si>
    <t>JORCELYN SAWYERS SAWYERS</t>
  </si>
  <si>
    <t>secundaria@tpmontebello.com</t>
  </si>
  <si>
    <t>LEO ESQUIVEL RODRIGUEZ</t>
  </si>
  <si>
    <t>ANDREA CORRALES RODRIGUEZ</t>
  </si>
  <si>
    <t>direccion@arandu.co.cr</t>
  </si>
  <si>
    <t>lighthouse@lis.ed.cr</t>
  </si>
  <si>
    <t>direccionacademicaposadabelen@gmail.com</t>
  </si>
  <si>
    <t>MARTIN TORRES RODRIGUEZ</t>
  </si>
  <si>
    <t>LUIS MARIANO SALAZAR MORA</t>
  </si>
  <si>
    <t>GREHYBEIM G. ARRIETA LOPEZ</t>
  </si>
  <si>
    <t>direccion@treeoflifelearning.com</t>
  </si>
  <si>
    <t>CALLE MARGARITA, POZOS DE SANA ANA</t>
  </si>
  <si>
    <t>info@educartecostarica.com</t>
  </si>
  <si>
    <t>01112</t>
  </si>
  <si>
    <t>CIENTIFICO DE COSTA RICA DE SAN VITO -UNED-</t>
  </si>
  <si>
    <t>JOHNNY AGUILAR GUTIERREZ</t>
  </si>
  <si>
    <t>cccrsanvito@uned.ac.cr</t>
  </si>
  <si>
    <t>EN LA  UNED, FRENTE CUERPO DE BOMBEROS</t>
  </si>
  <si>
    <t>CIMA DE HORIZONTES</t>
  </si>
  <si>
    <t>MARITZA PALMA CUADRA</t>
  </si>
  <si>
    <t>info@corporacioneducativalima.com</t>
  </si>
  <si>
    <t>2-16-03</t>
  </si>
  <si>
    <t>¿Es Horario Diferenciado?</t>
  </si>
  <si>
    <t>ESTUDIANTES EXTRANJEROS, REFUGIADOS Y SOLICITANTES DE ASILO</t>
  </si>
  <si>
    <t>País / Continente</t>
  </si>
  <si>
    <t>Extranjeros
(Nacionalidad)</t>
  </si>
  <si>
    <t>Cuenta la institución con Sala(s) de Lactancia?</t>
  </si>
  <si>
    <t>SAN JOSE / SAN JOSE / CARMEN</t>
  </si>
  <si>
    <t>SAN JOSE / SAN JOSE / MERCED</t>
  </si>
  <si>
    <t>SAN JOSE / SAN JOSE / HOSPITAL</t>
  </si>
  <si>
    <t>SAN JOSE / SAN JOSE / CATEDRAL</t>
  </si>
  <si>
    <t>SAN JOSE / SAN JOSE / ZAPOTE</t>
  </si>
  <si>
    <t>SAN JOSE / SAN JOSE / SAN FRANCISCO DE DOS RIOS</t>
  </si>
  <si>
    <t>SAN JOSE / SAN JOSE / URUCA</t>
  </si>
  <si>
    <t>SAN JOSE / SAN JOSE / MATA REDONDA</t>
  </si>
  <si>
    <t>SAN JOSE / SAN JOSE / PAVAS</t>
  </si>
  <si>
    <t>SAN JOSE / SAN JOSE / HATILLO</t>
  </si>
  <si>
    <t>SAN JOSE / SAN JOSE / SAN SEBASTIAN</t>
  </si>
  <si>
    <t>SAN JOSE / ESCAZU / ESCAZU</t>
  </si>
  <si>
    <t>SAN JOSE / ESCAZU / SAN ANTONIO</t>
  </si>
  <si>
    <t>SAN JOSE / ESCAZU / SAN RAFAEL</t>
  </si>
  <si>
    <t>SAN JOSE / DESAMPARADOS / DESAMPARADOS</t>
  </si>
  <si>
    <t>SAN JOSE / DESAMPARADOS / SAN MIGUEL</t>
  </si>
  <si>
    <t>SAN JOSE / DESAMPARADOS / SAN JUAN DE DIOS</t>
  </si>
  <si>
    <t>SAN JOSE / DESAMPARADOS / SAN RAFAEL ARRIBA</t>
  </si>
  <si>
    <t>SAN JOSE / DESAMPARADOS / SAN ANTONIO</t>
  </si>
  <si>
    <t>SAN JOSE / DESAMPARADOS / FRAILES</t>
  </si>
  <si>
    <t>SAN JOSE / DESAMPARADOS / PATARRA</t>
  </si>
  <si>
    <t>SAN JOSE / DESAMPARADOS / SAN CRISTOBAL</t>
  </si>
  <si>
    <t>SAN JOSE / DESAMPARADOS / ROSARIO</t>
  </si>
  <si>
    <t>SAN JOSE / DESAMPARADOS / DAMAS</t>
  </si>
  <si>
    <t>SAN JOSE / DESAMPARADOS / SAN RAFAEL ABAJO</t>
  </si>
  <si>
    <t>SAN JOSE / DESAMPARADOS / GRAVILIAS</t>
  </si>
  <si>
    <t>SAN JOSE / DESAMPARADOS / LOS GUIDO</t>
  </si>
  <si>
    <t>SAN JOSE / PURISCAL / SANTIAGO</t>
  </si>
  <si>
    <t>SAN JOSE / PURISCAL / MERCEDES SUR</t>
  </si>
  <si>
    <t>SAN JOSE / PURISCAL / BARBACOAS</t>
  </si>
  <si>
    <t>SAN JOSE / PURISCAL / GRIFO ALTO</t>
  </si>
  <si>
    <t>SAN JOSE / PURISCAL / SAN RAFAEL</t>
  </si>
  <si>
    <t>SAN JOSE / PURISCAL / CANDELARITA</t>
  </si>
  <si>
    <t>SAN JOSE / PURISCAL / DESAMPARADITOS</t>
  </si>
  <si>
    <t>SAN JOSE / PURISCAL / SAN ANTONIO</t>
  </si>
  <si>
    <t>SAN JOSE / PURISCAL / CHIRES</t>
  </si>
  <si>
    <t>SAN JOSE / TARRAZU / SAN MARCOS</t>
  </si>
  <si>
    <t>SAN JOSE / TARRAZU / SAN LORENZO</t>
  </si>
  <si>
    <t>SAN JOSE / TARRAZU / SAN CARLOS</t>
  </si>
  <si>
    <t>SAN JOSE / ASERRI / ASERRI</t>
  </si>
  <si>
    <t>SAN JOSE / ASERRI / TARBACA</t>
  </si>
  <si>
    <t>SAN JOSE / ASERRI / VUELTA DE JORCO</t>
  </si>
  <si>
    <t>SAN JOSE / ASERRI / SAN GABRIEL</t>
  </si>
  <si>
    <t>SAN JOSE / ASERRI / LEGUA</t>
  </si>
  <si>
    <t>SAN JOSE / ASERRI / MONTERREY</t>
  </si>
  <si>
    <t>SAN JOSE / ASERRI / SALITRILLOS</t>
  </si>
  <si>
    <t>SAN JOSE / MORA / COLON</t>
  </si>
  <si>
    <t>SAN JOSE / MORA / GUAYABO</t>
  </si>
  <si>
    <t>SAN JOSE / MORA / TABARCIA</t>
  </si>
  <si>
    <t>SAN JOSE / MORA / PIEDRAS NEGRAS</t>
  </si>
  <si>
    <t>SAN JOSE / MORA / PICAGRES</t>
  </si>
  <si>
    <t>SAN JOSE / MORA / JARIS</t>
  </si>
  <si>
    <t>SAN JOSE / MORA / QUITIRRISI</t>
  </si>
  <si>
    <t>SAN JOSE / GOICOECHEA / GUADALUPE</t>
  </si>
  <si>
    <t>SAN JOSE / GOICOECHEA / SAN FRANCISCO</t>
  </si>
  <si>
    <t>SAN JOSE / GOICOECHEA / CALLE BLANCOS</t>
  </si>
  <si>
    <t>SAN JOSE / GOICOECHEA / MATA DE PLATANO</t>
  </si>
  <si>
    <t>SAN JOSE / GOICOECHEA / IPIS</t>
  </si>
  <si>
    <t>SAN JOSE / GOICOECHEA / RANCHO REDONDO</t>
  </si>
  <si>
    <t>SAN JOSE / GOICOECHEA / PURRAL</t>
  </si>
  <si>
    <t>SAN JOSE / SANTA ANA / SANTA ANA</t>
  </si>
  <si>
    <t>SAN JOSE / SANTA ANA / SALITRAL</t>
  </si>
  <si>
    <t>SAN JOSE / SANTA ANA / POZOS</t>
  </si>
  <si>
    <t>SAN JOSE / SANTA ANA / URUCA</t>
  </si>
  <si>
    <t>SAN JOSE / SANTA ANA / PIEDADES</t>
  </si>
  <si>
    <t>SAN JOSE / SANTA ANA / BRASIL</t>
  </si>
  <si>
    <t>SAN JOSE / ALAJUELITA / ALAJUELITA</t>
  </si>
  <si>
    <t>SAN JOSE / ALAJUELITA / SAN JOSECITO</t>
  </si>
  <si>
    <t>SAN JOSE / ALAJUELITA / SAN ANTONIO</t>
  </si>
  <si>
    <t>SAN JOSE / ALAJUELITA / CONCEPCION</t>
  </si>
  <si>
    <t>SAN JOSE / ALAJUELITA / SAN FELIPE</t>
  </si>
  <si>
    <t>SAN JOSE / VASQUEZ DE CORONADO / SAN ISIDRO</t>
  </si>
  <si>
    <t>SAN JOSE / VASQUEZ DE CORONADO / SAN RAFAEL</t>
  </si>
  <si>
    <t>SAN JOSE / VASQUEZ DE CORONADO / DULCE NOMBRE DE JESUS</t>
  </si>
  <si>
    <t>SAN JOSE / VASQUEZ DE CORONADO / PATALILLO</t>
  </si>
  <si>
    <t>SAN JOSE / VASQUEZ DE CORONADO / CASCAJAL</t>
  </si>
  <si>
    <t>SAN JOSE / ACOSTA / SAN IGNACIO</t>
  </si>
  <si>
    <t>SAN JOSE / ACOSTA / GUAITIL</t>
  </si>
  <si>
    <t>SAN JOSE / ACOSTA / PALMICHAL</t>
  </si>
  <si>
    <t>SAN JOSE / ACOSTA / CANGREJAL</t>
  </si>
  <si>
    <t>SAN JOSE / ACOSTA / SABANILLAS</t>
  </si>
  <si>
    <t>SAN JOSE / TIBAS / SAN JUAN</t>
  </si>
  <si>
    <t>SAN JOSE / TIBAS / CINCO ESQUINAS</t>
  </si>
  <si>
    <t>SAN JOSE / TIBAS / ANSELMO LLORENTE</t>
  </si>
  <si>
    <t>SAN JOSE / TIBAS / LEON XIII</t>
  </si>
  <si>
    <t>SAN JOSE / TIBAS / COLIMA</t>
  </si>
  <si>
    <t>SAN JOSE / MORAVIA / SAN VICENTE</t>
  </si>
  <si>
    <t>SAN JOSE / MORAVIA / SAN JERONIMO</t>
  </si>
  <si>
    <t>SAN JOSE / MORAVIA / TRINIDAD</t>
  </si>
  <si>
    <t>SAN JOSE / MONTES DE OCA / SAN PEDRO</t>
  </si>
  <si>
    <t>SAN JOSE / MONTES DE OCA / SABANILLA</t>
  </si>
  <si>
    <t>SAN JOSE / MONTES DE OCA / MERCEDES</t>
  </si>
  <si>
    <t>SAN JOSE / MONTES DE OCA / SAN RAFAEL</t>
  </si>
  <si>
    <t>SAN JOSE / TURRUBARES / SAN PABLO</t>
  </si>
  <si>
    <t>SAN JOSE / TURRUBARES / SAN PEDRO</t>
  </si>
  <si>
    <t>SAN JOSE / TURRUBARES / SAN JUAN DE MATA</t>
  </si>
  <si>
    <t>SAN JOSE / TURRUBARES / SAN LUIS</t>
  </si>
  <si>
    <t>SAN JOSE / TURRUBARES / CARARA</t>
  </si>
  <si>
    <t>SAN JOSE / DOTA / SANTA MARIA</t>
  </si>
  <si>
    <t>SAN JOSE / DOTA / JARDIN</t>
  </si>
  <si>
    <t>SAN JOSE / DOTA / COPEY</t>
  </si>
  <si>
    <t>SAN JOSE / CURRIDABAT / CURRIDABAT</t>
  </si>
  <si>
    <t>SAN JOSE / CURRIDABAT / GRANADILLA</t>
  </si>
  <si>
    <t>SAN JOSE / CURRIDABAT / SANCHEZ</t>
  </si>
  <si>
    <t>SAN JOSE / CURRIDABAT / TIRRASES</t>
  </si>
  <si>
    <t>SAN JOSE / PEREZ ZELEDON / SAN ISIDRO DE EL GENERAL</t>
  </si>
  <si>
    <t>SAN JOSE / PEREZ ZELEDON / EL GENERAL</t>
  </si>
  <si>
    <t>SAN JOSE / PEREZ ZELEDON / DANIEL FLORES</t>
  </si>
  <si>
    <t>SAN JOSE / PEREZ ZELEDON / RIVAS</t>
  </si>
  <si>
    <t>SAN JOSE / PEREZ ZELEDON / SAN PEDRO</t>
  </si>
  <si>
    <t>SAN JOSE / PEREZ ZELEDON / PLATANARES</t>
  </si>
  <si>
    <t>SAN JOSE / PEREZ ZELEDON / PEJIBAYE</t>
  </si>
  <si>
    <t>SAN JOSE / PEREZ ZELEDON / CAJON</t>
  </si>
  <si>
    <t>SAN JOSE / PEREZ ZELEDON / BARU</t>
  </si>
  <si>
    <t>SAN JOSE / PEREZ ZELEDON / RIO NUEVO</t>
  </si>
  <si>
    <t>SAN JOSE / PEREZ ZELEDON / PARAMO</t>
  </si>
  <si>
    <t>SAN JOSE / PEREZ ZELEDON / LA AMISTAD</t>
  </si>
  <si>
    <t>SAN JOSE / LEON CORTES CASTRO / SAN PABLO</t>
  </si>
  <si>
    <t>SAN JOSE / LEON CORTES CASTRO / SAN ANDRES</t>
  </si>
  <si>
    <t>SAN JOSE / LEON CORTES CASTRO / LLANO BONITO</t>
  </si>
  <si>
    <t>SAN JOSE / LEON CORTES CASTRO / SAN ISIDRO</t>
  </si>
  <si>
    <t>SAN JOSE / LEON CORTES CASTRO / SANTA CRUZ</t>
  </si>
  <si>
    <t>SAN JOSE / LEON CORTES CASTRO / SAN ANTONIO</t>
  </si>
  <si>
    <t>ALAJUELA / ALAJUELA / ALAJUELA</t>
  </si>
  <si>
    <t>ALAJUELA / ALAJUELA / SAN JOSE</t>
  </si>
  <si>
    <t>ALAJUELA / ALAJUELA / CARRIZAL</t>
  </si>
  <si>
    <t>ALAJUELA / ALAJUELA / SAN ANTONIO</t>
  </si>
  <si>
    <t>ALAJUELA / ALAJUELA / GUACIMA</t>
  </si>
  <si>
    <t>ALAJUELA / ALAJUELA / SAN ISIDRO</t>
  </si>
  <si>
    <t>ALAJUELA / ALAJUELA / SABANILLA</t>
  </si>
  <si>
    <t>ALAJUELA / ALAJUELA / SAN RAFAEL</t>
  </si>
  <si>
    <t>ALAJUELA / ALAJUELA / RIO SEGUNDO</t>
  </si>
  <si>
    <t>ALAJUELA / ALAJUELA / DESAMPARADOS</t>
  </si>
  <si>
    <t>ALAJUELA / ALAJUELA / TURRUCARES</t>
  </si>
  <si>
    <t>ALAJUELA / ALAJUELA / TAMBOR</t>
  </si>
  <si>
    <t>ALAJUELA / ALAJUELA / GARITA</t>
  </si>
  <si>
    <t>ALAJUELA / ALAJUELA / SARAPIQUI</t>
  </si>
  <si>
    <t>ALAJUELA / SAN RAMON / SAN RAMON</t>
  </si>
  <si>
    <t>ALAJUELA / SAN RAMON / SANTIAGO</t>
  </si>
  <si>
    <t>ALAJUELA / SAN RAMON / SAN JUAN</t>
  </si>
  <si>
    <t>ALAJUELA / SAN RAMON / PIEDADES NORTE</t>
  </si>
  <si>
    <t>ALAJUELA / SAN RAMON / PIEDADES SUR</t>
  </si>
  <si>
    <t>ALAJUELA / SAN RAMON / SAN RAFAEL</t>
  </si>
  <si>
    <t>ALAJUELA / SAN RAMON / SAN ISIDRO</t>
  </si>
  <si>
    <t>ALAJUELA / SAN RAMON / ANGELES</t>
  </si>
  <si>
    <t>ALAJUELA / SAN RAMON / ALFARO</t>
  </si>
  <si>
    <t>ALAJUELA / SAN RAMON / VOLIO</t>
  </si>
  <si>
    <t>ALAJUELA / SAN RAMON / CONCEPCION</t>
  </si>
  <si>
    <t>ALAJUELA / SAN RAMON / ZAPOTAL</t>
  </si>
  <si>
    <t>ALAJUELA / SAN RAMON / PEÑAS BLANCAS</t>
  </si>
  <si>
    <t>ALAJUELA / SAN RAMON / SAN LORENZO</t>
  </si>
  <si>
    <t>ALAJUELA / GRECIA / GRECIA</t>
  </si>
  <si>
    <t>ALAJUELA / GRECIA / SAN ISIDRO</t>
  </si>
  <si>
    <t>ALAJUELA / GRECIA / SAN JOSE</t>
  </si>
  <si>
    <t>ALAJUELA / GRECIA / SAN ROQUE</t>
  </si>
  <si>
    <t>ALAJUELA / GRECIA / TACARES</t>
  </si>
  <si>
    <t>ALAJUELA / GRECIA / PUENTE DE PIEDRA</t>
  </si>
  <si>
    <t>ALAJUELA / GRECIA / BOLIVAR</t>
  </si>
  <si>
    <t>ALAJUELA / SAN MATEO / SAN MATEO</t>
  </si>
  <si>
    <t>ALAJUELA / SAN MATEO / DESMONTE</t>
  </si>
  <si>
    <t>ALAJUELA / SAN MATEO / JESUS MARIA</t>
  </si>
  <si>
    <t>ALAJUELA / SAN MATEO / LABRADOR</t>
  </si>
  <si>
    <t>ALAJUELA / ATENAS / ATENAS</t>
  </si>
  <si>
    <t>ALAJUELA / ATENAS / JESUS</t>
  </si>
  <si>
    <t>ALAJUELA / ATENAS / MERCEDES</t>
  </si>
  <si>
    <t>ALAJUELA / ATENAS / SAN ISIDRO</t>
  </si>
  <si>
    <t>ALAJUELA / ATENAS / CONCEPCION</t>
  </si>
  <si>
    <t>ALAJUELA / ATENAS / SAN JOSE</t>
  </si>
  <si>
    <t>ALAJUELA / ATENAS / SANTA EULALIA</t>
  </si>
  <si>
    <t>ALAJUELA / ATENAS / ESCOBAL</t>
  </si>
  <si>
    <t>ALAJUELA / NARANJO / NARANJO</t>
  </si>
  <si>
    <t>ALAJUELA / NARANJO / SAN MIGUEL</t>
  </si>
  <si>
    <t>ALAJUELA / NARANJO / SAN JOSE</t>
  </si>
  <si>
    <t>ALAJUELA / NARANJO / CIRRI SUR</t>
  </si>
  <si>
    <t>ALAJUELA / NARANJO / SAN JERONIMO</t>
  </si>
  <si>
    <t>ALAJUELA / NARANJO / SAN JUAN</t>
  </si>
  <si>
    <t>ALAJUELA / NARANJO / EL ROSARIO</t>
  </si>
  <si>
    <t>ALAJUELA / NARANJO / PALMITOS</t>
  </si>
  <si>
    <t>ALAJUELA / PALMARES / PALMARES</t>
  </si>
  <si>
    <t>ALAJUELA / PALMARES / ZARAGOZA</t>
  </si>
  <si>
    <t>ALAJUELA / PALMARES / BUENOS AIRES</t>
  </si>
  <si>
    <t>ALAJUELA / PALMARES / SANTIAGO</t>
  </si>
  <si>
    <t>ALAJUELA / PALMARES / CANDELARIA</t>
  </si>
  <si>
    <t>ALAJUELA / PALMARES / ESQUIPULAS</t>
  </si>
  <si>
    <t>ALAJUELA / PALMARES / LA GRANJA</t>
  </si>
  <si>
    <t>ALAJUELA / POAS / SAN PEDRO</t>
  </si>
  <si>
    <t>ALAJUELA / POAS / SAN JUAN</t>
  </si>
  <si>
    <t>ALAJUELA / POAS / SAN RAFAEL</t>
  </si>
  <si>
    <t>ALAJUELA / POAS / CARRILLOS</t>
  </si>
  <si>
    <t>ALAJUELA / POAS / SABANA REDONDA</t>
  </si>
  <si>
    <t>ALAJUELA / OROTINA / OROTINA</t>
  </si>
  <si>
    <t>ALAJUELA / OROTINA / EL MASTATE</t>
  </si>
  <si>
    <t>ALAJUELA / OROTINA / HACIENDA VIEJA</t>
  </si>
  <si>
    <t>ALAJUELA / OROTINA / COYOLAR</t>
  </si>
  <si>
    <t>ALAJUELA / OROTINA / LA CEIBA</t>
  </si>
  <si>
    <t>ALAJUELA / SAN CARLOS / QUESADA</t>
  </si>
  <si>
    <t>ALAJUELA / SAN CARLOS / FLORENCIA</t>
  </si>
  <si>
    <t>ALAJUELA / SAN CARLOS / BUENAVISTA</t>
  </si>
  <si>
    <t>ALAJUELA / SAN CARLOS / AGUAS ZARCAS</t>
  </si>
  <si>
    <t>ALAJUELA / SAN CARLOS / VENECIA</t>
  </si>
  <si>
    <t>ALAJUELA / SAN CARLOS / PITAL</t>
  </si>
  <si>
    <t>ALAJUELA / SAN CARLOS / LA FORTUNA</t>
  </si>
  <si>
    <t>ALAJUELA / SAN CARLOS / LA TIGRA</t>
  </si>
  <si>
    <t>ALAJUELA / SAN CARLOS / LA PALMERA</t>
  </si>
  <si>
    <t>ALAJUELA / SAN CARLOS / VENADO</t>
  </si>
  <si>
    <t>ALAJUELA / SAN CARLOS / CUTRIS</t>
  </si>
  <si>
    <t>ALAJUELA / SAN CARLOS / MONTERREY</t>
  </si>
  <si>
    <t>ALAJUELA / SAN CARLOS / POCOSOL</t>
  </si>
  <si>
    <t>ALAJUELA / ZARCERO / ZARCERO</t>
  </si>
  <si>
    <t>ALAJUELA / ZARCERO / LAGUNA</t>
  </si>
  <si>
    <t>ALAJUELA / ZARCERO / TAPEZCO</t>
  </si>
  <si>
    <t>ALAJUELA / ZARCERO / GUADALUPE</t>
  </si>
  <si>
    <t>ALAJUELA / ZARCERO / PALMIRA</t>
  </si>
  <si>
    <t>ALAJUELA / ZARCERO / ZAPOTE</t>
  </si>
  <si>
    <t>ALAJUELA / ZARCERO / BRISAS</t>
  </si>
  <si>
    <t>ALAJUELA / SARCHI / SARCHI NORTE</t>
  </si>
  <si>
    <t>ALAJUELA / SARCHI / SARCHI SUR</t>
  </si>
  <si>
    <t>ALAJUELA / SARCHI / TORO AMARILLO</t>
  </si>
  <si>
    <t>ALAJUELA / SARCHI / SAN PEDRO</t>
  </si>
  <si>
    <t>ALAJUELA / SARCHI / RODRIGUEZ</t>
  </si>
  <si>
    <t>ALAJUELA / UPALA / UPALA</t>
  </si>
  <si>
    <t>ALAJUELA / UPALA / AGUAS CLARAS</t>
  </si>
  <si>
    <t>ALAJUELA / UPALA / SAN JOSE O PIZOTE</t>
  </si>
  <si>
    <t>ALAJUELA / UPALA / BIJAGUA</t>
  </si>
  <si>
    <t>ALAJUELA / UPALA / DELICIAS</t>
  </si>
  <si>
    <t>ALAJUELA / UPALA / DOS RIOS</t>
  </si>
  <si>
    <t>ALAJUELA / UPALA / YOLILLAL</t>
  </si>
  <si>
    <t>ALAJUELA / UPALA / CANALETE</t>
  </si>
  <si>
    <t>ALAJUELA / LOS CHILES / LOS CHILES</t>
  </si>
  <si>
    <t>ALAJUELA / LOS CHILES / CAÑO NEGRO</t>
  </si>
  <si>
    <t>ALAJUELA / LOS CHILES / EL AMPARO</t>
  </si>
  <si>
    <t>ALAJUELA / LOS CHILES / SAN JORGE</t>
  </si>
  <si>
    <t>ALAJUELA / GUATUSO / SAN RAFAEL</t>
  </si>
  <si>
    <t>ALAJUELA / GUATUSO / BUENAVISTA</t>
  </si>
  <si>
    <t>ALAJUELA / GUATUSO / COTE</t>
  </si>
  <si>
    <t>ALAJUELA / GUATUSO / KATIRA</t>
  </si>
  <si>
    <t>ALAJUELA / RIO CUARTO / RIO CUARTO</t>
  </si>
  <si>
    <t>ALAJUELA / RIO CUARTO / SANTA RITA</t>
  </si>
  <si>
    <t>ALAJUELA / RIO CUARTO / SANTA ISABEL</t>
  </si>
  <si>
    <t>CARTAGO / CARTAGO / ORIENTAL</t>
  </si>
  <si>
    <t>CARTAGO / CARTAGO / OCCIDENTAL</t>
  </si>
  <si>
    <t>CARTAGO / CARTAGO / CARMEN</t>
  </si>
  <si>
    <t>CARTAGO / CARTAGO / SAN NICOLAS</t>
  </si>
  <si>
    <t>CARTAGO / CARTAGO / AGUACALIENTE O SAN FRANCISCO</t>
  </si>
  <si>
    <t>CARTAGO / CARTAGO / GUADALUPE O ARENILLA</t>
  </si>
  <si>
    <t>CARTAGO / CARTAGO / CORRALILLO</t>
  </si>
  <si>
    <t>CARTAGO / CARTAGO / TIERRA BLANCA</t>
  </si>
  <si>
    <t>CARTAGO / CARTAGO / DULCE NOMBRE</t>
  </si>
  <si>
    <t>CARTAGO / CARTAGO / LLANO GRANDE</t>
  </si>
  <si>
    <t>CARTAGO / CARTAGO / QUEBRADILLA</t>
  </si>
  <si>
    <t>CARTAGO / PARAISO / PARAISO</t>
  </si>
  <si>
    <t>CARTAGO / PARAISO / SANTIAGO</t>
  </si>
  <si>
    <t>CARTAGO / PARAISO / OROSI</t>
  </si>
  <si>
    <t>CARTAGO / PARAISO / CACHI</t>
  </si>
  <si>
    <t>CARTAGO / PARAISO / LLANOS DE SANTA LUCIA</t>
  </si>
  <si>
    <t>CARTAGO / LA UNION / TRES RIOS</t>
  </si>
  <si>
    <t>CARTAGO / LA UNION / SAN DIEGO</t>
  </si>
  <si>
    <t>CARTAGO / LA UNION / SAN JUAN</t>
  </si>
  <si>
    <t>CARTAGO / LA UNION / SAN RAFAEL</t>
  </si>
  <si>
    <t>CARTAGO / LA UNION / CONCEPCION</t>
  </si>
  <si>
    <t>CARTAGO / LA UNION / DULCE NOMBRE</t>
  </si>
  <si>
    <t>CARTAGO / LA UNION / SAN RAMON</t>
  </si>
  <si>
    <t>CARTAGO / LA UNION / RIO AZUL</t>
  </si>
  <si>
    <t>CARTAGO / JIMENEZ / JUAN VIÑAS</t>
  </si>
  <si>
    <t>CARTAGO / JIMENEZ / TUCURRIQUE</t>
  </si>
  <si>
    <t>CARTAGO / JIMENEZ / PEJIBAYE</t>
  </si>
  <si>
    <t>CARTAGO / TURRIALBA / TURRIALBA</t>
  </si>
  <si>
    <t>CARTAGO / TURRIALBA / LA SUIZA</t>
  </si>
  <si>
    <t>CARTAGO / TURRIALBA / PERALTA</t>
  </si>
  <si>
    <t>CARTAGO / TURRIALBA / SANTA CRUZ</t>
  </si>
  <si>
    <t>CARTAGO / TURRIALBA / SANTA TERESITA</t>
  </si>
  <si>
    <t>CARTAGO / TURRIALBA / PAVONES</t>
  </si>
  <si>
    <t>CARTAGO / TURRIALBA / TUIS</t>
  </si>
  <si>
    <t>CARTAGO / TURRIALBA / TAYUTIC</t>
  </si>
  <si>
    <t>CARTAGO / TURRIALBA / SANTA ROSA</t>
  </si>
  <si>
    <t>CARTAGO / TURRIALBA / TRES EQUIS</t>
  </si>
  <si>
    <t>CARTAGO / TURRIALBA / LA ISABEL</t>
  </si>
  <si>
    <t>CARTAGO / TURRIALBA / EL CHIRRIPO</t>
  </si>
  <si>
    <t>CARTAGO / ALVARADO / PACAYAS</t>
  </si>
  <si>
    <t>CARTAGO / ALVARADO / CERVANTES</t>
  </si>
  <si>
    <t>CARTAGO / ALVARADO / CAPELLADES</t>
  </si>
  <si>
    <t>CARTAGO / OREAMUNO / SAN RAFAEL</t>
  </si>
  <si>
    <t>CARTAGO / OREAMUNO / COT</t>
  </si>
  <si>
    <t>CARTAGO / OREAMUNO / POTRERO CERRADO</t>
  </si>
  <si>
    <t>CARTAGO / OREAMUNO / CIPRESES</t>
  </si>
  <si>
    <t>CARTAGO / OREAMUNO / SANTA ROSA</t>
  </si>
  <si>
    <t>CARTAGO / EL GUARCO / EL TEJAR</t>
  </si>
  <si>
    <t>CARTAGO / EL GUARCO / SAN ISIDRO</t>
  </si>
  <si>
    <t>CARTAGO / EL GUARCO / TOBOSI</t>
  </si>
  <si>
    <t>CARTAGO / EL GUARCO / PATIO DE AGUA</t>
  </si>
  <si>
    <t>HEREDIA / HEREDIA / HEREDIA</t>
  </si>
  <si>
    <t>HEREDIA / HEREDIA / MERCEDES</t>
  </si>
  <si>
    <t>HEREDIA / HEREDIA / SAN FRANCISCO</t>
  </si>
  <si>
    <t>HEREDIA / HEREDIA / ULLOA</t>
  </si>
  <si>
    <t>HEREDIA / HEREDIA / VARABLANCA</t>
  </si>
  <si>
    <t>HEREDIA / BARVA / BARVA</t>
  </si>
  <si>
    <t>HEREDIA / BARVA / SAN PEDRO</t>
  </si>
  <si>
    <t>HEREDIA / BARVA / SAN PABLO</t>
  </si>
  <si>
    <t>HEREDIA / BARVA / SAN ROQUE</t>
  </si>
  <si>
    <t>HEREDIA / BARVA / SANTA LUCIA</t>
  </si>
  <si>
    <t>HEREDIA / BARVA / SAN JOSE DE LA MONTAÑA</t>
  </si>
  <si>
    <t>HEREDIA / SANTO DOMINGO / SANTO DOMINGO</t>
  </si>
  <si>
    <t>HEREDIA / SANTO DOMINGO / SAN VICENTE</t>
  </si>
  <si>
    <t>HEREDIA / SANTO DOMINGO / SAN MIGUEL</t>
  </si>
  <si>
    <t>HEREDIA / SANTO DOMINGO / PARACITO</t>
  </si>
  <si>
    <t>HEREDIA / SANTO DOMINGO / SANTO TOMAS</t>
  </si>
  <si>
    <t>HEREDIA / SANTO DOMINGO / SANTA ROSA</t>
  </si>
  <si>
    <t>HEREDIA / SANTO DOMINGO / TURES</t>
  </si>
  <si>
    <t>HEREDIA / SANTO DOMINGO / PARA</t>
  </si>
  <si>
    <t>HEREDIA / SANTA BARBARA / SANTA BARBARA</t>
  </si>
  <si>
    <t>HEREDIA / SANTA BARBARA / SAN PEDRO</t>
  </si>
  <si>
    <t>HEREDIA / SANTA BARBARA / SAN JUAN</t>
  </si>
  <si>
    <t>HEREDIA / SANTA BARBARA / JESUS</t>
  </si>
  <si>
    <t>HEREDIA / SANTA BARBARA / SANTO DOMINGO</t>
  </si>
  <si>
    <t>HEREDIA / SANTA BARBARA / PURABA</t>
  </si>
  <si>
    <t>HEREDIA / SAN RAFAEL / SAN RAFAEL</t>
  </si>
  <si>
    <t>HEREDIA / SAN RAFAEL / SAN JOSECITO</t>
  </si>
  <si>
    <t>HEREDIA / SAN RAFAEL / SANTIAGO</t>
  </si>
  <si>
    <t>HEREDIA / SAN RAFAEL / LOS ANGELES</t>
  </si>
  <si>
    <t>HEREDIA / SAN RAFAEL / CONCEPCION</t>
  </si>
  <si>
    <t>HEREDIA / SAN ISIDRO / SAN ISIDRO</t>
  </si>
  <si>
    <t>HEREDIA / SAN ISIDRO / SAN JOSE</t>
  </si>
  <si>
    <t>HEREDIA / SAN ISIDRO / CONCEPCION</t>
  </si>
  <si>
    <t>HEREDIA / SAN ISIDRO / SAN FRANCISCO</t>
  </si>
  <si>
    <t>HEREDIA / BELEN / SAN ANTONIO</t>
  </si>
  <si>
    <t>HEREDIA / BELEN / LA RIBERA</t>
  </si>
  <si>
    <t>HEREDIA / BELEN / ASUNCION</t>
  </si>
  <si>
    <t>HEREDIA / FLORES / SAN JOAQUIN</t>
  </si>
  <si>
    <t>HEREDIA / FLORES / BARRANTES</t>
  </si>
  <si>
    <t>HEREDIA / FLORES / LLORENTE</t>
  </si>
  <si>
    <t>HEREDIA / SAN PABLO / SAN PABLO</t>
  </si>
  <si>
    <t>HEREDIA / SAN PABLO / RINCON DE SABANILLA</t>
  </si>
  <si>
    <t>HEREDIA / SARAPIQUI / PUERTO VIEJO</t>
  </si>
  <si>
    <t>HEREDIA / SARAPIQUI / LA VIRGEN</t>
  </si>
  <si>
    <t>HEREDIA / SARAPIQUI / LAS HORQUETAS</t>
  </si>
  <si>
    <t>HEREDIA / SARAPIQUI / LLANURAS DEL GASPAR</t>
  </si>
  <si>
    <t>HEREDIA / SARAPIQUI / CUREÑA</t>
  </si>
  <si>
    <t>GUANACASTE / LIBERIA / LIBERIA</t>
  </si>
  <si>
    <t>GUANACASTE / LIBERIA / CAÑAS DULCES</t>
  </si>
  <si>
    <t>GUANACASTE / LIBERIA / MAYORGA</t>
  </si>
  <si>
    <t>GUANACASTE / LIBERIA / NACASCOLO</t>
  </si>
  <si>
    <t>GUANACASTE / LIBERIA / CURUBANDE</t>
  </si>
  <si>
    <t>GUANACASTE / NICOYA / NICOYA</t>
  </si>
  <si>
    <t>GUANACASTE / NICOYA / MANSION</t>
  </si>
  <si>
    <t>GUANACASTE / NICOYA / SAN ANTONIO</t>
  </si>
  <si>
    <t>GUANACASTE / NICOYA / QUEBRADA HONDA</t>
  </si>
  <si>
    <t>GUANACASTE / NICOYA / SAMARA</t>
  </si>
  <si>
    <t>GUANACASTE / NICOYA / NOSARA</t>
  </si>
  <si>
    <t>GUANACASTE / NICOYA / BELEN DE NOSARITA</t>
  </si>
  <si>
    <t>GUANACASTE / SANTA CRUZ / SANTA CRUZ</t>
  </si>
  <si>
    <t>GUANACASTE / SANTA CRUZ / BOLSON</t>
  </si>
  <si>
    <t>GUANACASTE / SANTA CRUZ / VEINTISIETE DE ABRIL</t>
  </si>
  <si>
    <t>GUANACASTE / SANTA CRUZ / TEMPATE</t>
  </si>
  <si>
    <t>GUANACASTE / SANTA CRUZ / CARTAGENA</t>
  </si>
  <si>
    <t>GUANACASTE / SANTA CRUZ / GUAJINIQUIL</t>
  </si>
  <si>
    <t>GUANACASTE / SANTA CRUZ / DIRIA</t>
  </si>
  <si>
    <t>GUANACASTE / SANTA CRUZ / CABO VELAS</t>
  </si>
  <si>
    <t>GUANACASTE / SANTA CRUZ / TAMARINDO</t>
  </si>
  <si>
    <t>GUANACASTE / BAGACES / BAGACES</t>
  </si>
  <si>
    <t>GUANACASTE / BAGACES / LA FORTUNA</t>
  </si>
  <si>
    <t>GUANACASTE / BAGACES / MOGOTE</t>
  </si>
  <si>
    <t>GUANACASTE / BAGACES / RIO NARANJO</t>
  </si>
  <si>
    <t>GUANACASTE / CARRILLO / FILADELFIA</t>
  </si>
  <si>
    <t>GUANACASTE / CARRILLO / PALMIRA</t>
  </si>
  <si>
    <t>GUANACASTE / CARRILLO / SARDINAL</t>
  </si>
  <si>
    <t>GUANACASTE / CARRILLO / BELEN</t>
  </si>
  <si>
    <t>GUANACASTE / CAÑAS / CAÑAS</t>
  </si>
  <si>
    <t>GUANACASTE / CAÑAS / PALMIRA</t>
  </si>
  <si>
    <t>GUANACASTE / CAÑAS / SAN MIGUEL</t>
  </si>
  <si>
    <t>GUANACASTE / CAÑAS / BEBEDERO</t>
  </si>
  <si>
    <t>GUANACASTE / CAÑAS / POROZAL</t>
  </si>
  <si>
    <t>GUANACASTE / ABANGARES / LAS JUNTAS</t>
  </si>
  <si>
    <t>GUANACASTE / ABANGARES / SIERRA</t>
  </si>
  <si>
    <t>GUANACASTE / ABANGARES / SAN JUAN</t>
  </si>
  <si>
    <t>GUANACASTE / ABANGARES / COLORADO</t>
  </si>
  <si>
    <t>GUANACASTE / TILARAN / TILARAN</t>
  </si>
  <si>
    <t>GUANACASTE / TILARAN / QUEBRADA GRANDE</t>
  </si>
  <si>
    <t>GUANACASTE / TILARAN / TRONADORA</t>
  </si>
  <si>
    <t>GUANACASTE / TILARAN / SANTA ROSA</t>
  </si>
  <si>
    <t>GUANACASTE / TILARAN / LIBANO</t>
  </si>
  <si>
    <t>GUANACASTE / TILARAN / TIERRAS MORENAS</t>
  </si>
  <si>
    <t>GUANACASTE / TILARAN / ARENAL</t>
  </si>
  <si>
    <t>GUANACASTE / TILARAN / CABECERAS</t>
  </si>
  <si>
    <t>5-08-08</t>
  </si>
  <si>
    <t>GUANACASTE / NANDAYURE / CARMONA</t>
  </si>
  <si>
    <t>GUANACASTE / NANDAYURE / SANTA RITA</t>
  </si>
  <si>
    <t>GUANACASTE / NANDAYURE / ZAPOTAL</t>
  </si>
  <si>
    <t>GUANACASTE / NANDAYURE / SAN PABLO</t>
  </si>
  <si>
    <t>GUANACASTE / NANDAYURE / PORVENIR</t>
  </si>
  <si>
    <t>GUANACASTE / NANDAYURE / BEJUCO</t>
  </si>
  <si>
    <t>GUANACASTE / LA CRUZ / LA CRUZ</t>
  </si>
  <si>
    <t>GUANACASTE / LA CRUZ / SANTA CECILIA</t>
  </si>
  <si>
    <t>GUANACASTE / LA CRUZ / LA GARITA</t>
  </si>
  <si>
    <t>GUANACASTE / LA CRUZ / SANTA ELENA</t>
  </si>
  <si>
    <t>GUANACASTE / HOJANCHA / HOJANCHA</t>
  </si>
  <si>
    <t>GUANACASTE / HOJANCHA / MONTE ROMO</t>
  </si>
  <si>
    <t>GUANACASTE / HOJANCHA / PUERTO CARRILLO</t>
  </si>
  <si>
    <t>GUANACASTE / HOJANCHA / HUACAS</t>
  </si>
  <si>
    <t>GUANACASTE / HOJANCHA / MATAMBU</t>
  </si>
  <si>
    <t>PUNTARENAS / PUNTARENAS / PUNTARENAS</t>
  </si>
  <si>
    <t>PUNTARENAS / PUNTARENAS / PITAHAYA</t>
  </si>
  <si>
    <t>PUNTARENAS / PUNTARENAS / CHOMES</t>
  </si>
  <si>
    <t>PUNTARENAS / PUNTARENAS / LEPANTO</t>
  </si>
  <si>
    <t>PUNTARENAS / PUNTARENAS / PAQUERA</t>
  </si>
  <si>
    <t>PUNTARENAS / PUNTARENAS / MANZANILLO</t>
  </si>
  <si>
    <t>PUNTARENAS / PUNTARENAS / GUACIMAL</t>
  </si>
  <si>
    <t>PUNTARENAS / PUNTARENAS / BARRANCA</t>
  </si>
  <si>
    <t>PUNTARENAS / PUNTARENAS / MONTE VERDE</t>
  </si>
  <si>
    <t>PUNTARENAS / PUNTARENAS / ISLA DEL COCO</t>
  </si>
  <si>
    <t>PUNTARENAS / PUNTARENAS / COBANO</t>
  </si>
  <si>
    <t>PUNTARENAS / PUNTARENAS / CHACARITA</t>
  </si>
  <si>
    <t>PUNTARENAS / PUNTARENAS / CHIRA</t>
  </si>
  <si>
    <t>PUNTARENAS / PUNTARENAS / ACAPULCO</t>
  </si>
  <si>
    <t>PUNTARENAS / PUNTARENAS / EL ROBLE</t>
  </si>
  <si>
    <t>PUNTARENAS / PUNTARENAS / ARANCIBIA</t>
  </si>
  <si>
    <t>PUNTARENAS / ESPARZA / ESPIRITU SANTO</t>
  </si>
  <si>
    <t>PUNTARENAS / ESPARZA / SAN JUAN GRANDE</t>
  </si>
  <si>
    <t>PUNTARENAS / ESPARZA / MACACONA</t>
  </si>
  <si>
    <t>PUNTARENAS / ESPARZA / SAN RAFAEL</t>
  </si>
  <si>
    <t>PUNTARENAS / ESPARZA / SAN JERONIMO</t>
  </si>
  <si>
    <t>PUNTARENAS / ESPARZA / CALDERA</t>
  </si>
  <si>
    <t>PUNTARENAS / BUENOS AIRES / BUENOS AIRES</t>
  </si>
  <si>
    <t>PUNTARENAS / BUENOS AIRES / VOLCAN</t>
  </si>
  <si>
    <t>PUNTARENAS / BUENOS AIRES / POTRERO GRANDE</t>
  </si>
  <si>
    <t>PUNTARENAS / BUENOS AIRES / BORUCA</t>
  </si>
  <si>
    <t>PUNTARENAS / BUENOS AIRES / PILAS</t>
  </si>
  <si>
    <t>PUNTARENAS / BUENOS AIRES / COLINAS</t>
  </si>
  <si>
    <t>PUNTARENAS / BUENOS AIRES / CHANGUENA</t>
  </si>
  <si>
    <t>PUNTARENAS / BUENOS AIRES / BIOLLEY</t>
  </si>
  <si>
    <t>PUNTARENAS / BUENOS AIRES / BRUNKA</t>
  </si>
  <si>
    <t>PUNTARENAS / MONTES DE ORO / MIRAMAR</t>
  </si>
  <si>
    <t>PUNTARENAS / MONTES DE ORO / LA UNION</t>
  </si>
  <si>
    <t>PUNTARENAS / MONTES DE ORO / SAN ISIDRO</t>
  </si>
  <si>
    <t>PUNTARENAS / OSA / PUERTO CORTES</t>
  </si>
  <si>
    <t>PUNTARENAS / OSA / PALMAR</t>
  </si>
  <si>
    <t>PUNTARENAS / OSA / SIERPE</t>
  </si>
  <si>
    <t>PUNTARENAS / OSA / BAHIA BALLENA</t>
  </si>
  <si>
    <t>PUNTARENAS / OSA / PIEDRAS BLANCAS</t>
  </si>
  <si>
    <t>PUNTARENAS / OSA / BAHIA DRAKE</t>
  </si>
  <si>
    <t>PUNTARENAS / QUEPOS / QUEPOS</t>
  </si>
  <si>
    <t>PUNTARENAS / QUEPOS / SAVEGRE</t>
  </si>
  <si>
    <t>PUNTARENAS / QUEPOS / NARANJITO</t>
  </si>
  <si>
    <t>PUNTARENAS / GOLFITO / GOLFITO</t>
  </si>
  <si>
    <t>PUNTARENAS / GOLFITO / PUERTO JIMENEZ</t>
  </si>
  <si>
    <t>PUNTARENAS / GOLFITO / GUAYCARA</t>
  </si>
  <si>
    <t>PUNTARENAS / GOLFITO / PAVON</t>
  </si>
  <si>
    <t>PUNTARENAS / COTO BRUS / SAN VITO</t>
  </si>
  <si>
    <t>PUNTARENAS / COTO BRUS / SABALITO</t>
  </si>
  <si>
    <t>PUNTARENAS / COTO BRUS / AGUA BUENA</t>
  </si>
  <si>
    <t>PUNTARENAS / COTO BRUS / LIMONCITO</t>
  </si>
  <si>
    <t>PUNTARENAS / COTO BRUS / PITTIER</t>
  </si>
  <si>
    <t>PUNTARENAS / COTO BRUS / GUTIERREZ BROUN</t>
  </si>
  <si>
    <t>PUNTARENAS / PARRITA / PARRITA</t>
  </si>
  <si>
    <t>PUNTARENAS / CORREDORES / CORREDOR</t>
  </si>
  <si>
    <t>PUNTARENAS / CORREDORES / LA CUESTA</t>
  </si>
  <si>
    <t>PUNTARENAS / CORREDORES / CANOAS</t>
  </si>
  <si>
    <t>PUNTARENAS / CORREDORES / LAUREL</t>
  </si>
  <si>
    <t>PUNTARENAS / GARABITO / JACO</t>
  </si>
  <si>
    <t>PUNTARENAS / GARABITO / TARCOLES</t>
  </si>
  <si>
    <t>LIMON / LIMON / LIMON</t>
  </si>
  <si>
    <t>LIMON / LIMON / VALLE LA ESTRELLA</t>
  </si>
  <si>
    <t>LIMON / LIMON / RIO BLANCO</t>
  </si>
  <si>
    <t>LIMON / LIMON / MATAMA</t>
  </si>
  <si>
    <t>LIMON / POCOCI / GUAPILES</t>
  </si>
  <si>
    <t>LIMON / POCOCI / JIMENEZ</t>
  </si>
  <si>
    <t>LIMON / POCOCI / LA RITA</t>
  </si>
  <si>
    <t>LIMON / POCOCI / ROXANA</t>
  </si>
  <si>
    <t>LIMON / POCOCI / CARIARI</t>
  </si>
  <si>
    <t>LIMON / POCOCI / COLORADO</t>
  </si>
  <si>
    <t>LIMON / POCOCI / LA COLONIA</t>
  </si>
  <si>
    <t>LIMON / SIQUIRRES / SIQUIRRES</t>
  </si>
  <si>
    <t>LIMON / SIQUIRRES / PACUARITO</t>
  </si>
  <si>
    <t>LIMON / SIQUIRRES / FLORIDA</t>
  </si>
  <si>
    <t>LIMON / SIQUIRRES / GERMANIA</t>
  </si>
  <si>
    <t>LIMON / SIQUIRRES / EL CAIRO</t>
  </si>
  <si>
    <t>LIMON / SIQUIRRES / ALEGRIA</t>
  </si>
  <si>
    <t>LIMON / SIQUIRRES / REVENTAZON</t>
  </si>
  <si>
    <t>LIMON / TALAMANCA / BRATSI</t>
  </si>
  <si>
    <t>LIMON / TALAMANCA / SIXAOLA</t>
  </si>
  <si>
    <t>LIMON / TALAMANCA / CAHUITA</t>
  </si>
  <si>
    <t>LIMON / TALAMANCA / TELIRE</t>
  </si>
  <si>
    <t>LIMON / MATINA / MATINA</t>
  </si>
  <si>
    <t>LIMON / MATINA / BATAN</t>
  </si>
  <si>
    <t>LIMON / MATINA / CARRANDI</t>
  </si>
  <si>
    <t>LIMON / GUACIMO / GUACIMO</t>
  </si>
  <si>
    <t>LIMON / GUACIMO / MERCEDES</t>
  </si>
  <si>
    <t>LIMON / GUACIMO / POCORA</t>
  </si>
  <si>
    <t>LIMON / GUACIMO / RIO JIMENEZ</t>
  </si>
  <si>
    <t>LIMON / GUACIMO / DUACARI</t>
  </si>
  <si>
    <t>Bilingüe</t>
  </si>
  <si>
    <t>Teléfono 1:</t>
  </si>
  <si>
    <t>Teléfono 2:</t>
  </si>
  <si>
    <t>SAINT JUDE SCHOOL</t>
  </si>
  <si>
    <t>INSTITUTO DR. JAIM WEIZMAN</t>
  </si>
  <si>
    <t>COLEGIO LA SALLE</t>
  </si>
  <si>
    <t>COLEGIO HUMBOLDT</t>
  </si>
  <si>
    <t>25 M OESTE DE LA MUNICIPALIDAD DE PUNTARENAS</t>
  </si>
  <si>
    <t>cientifico.perezzeledon@mep.go.cr</t>
  </si>
  <si>
    <t>cagomez@itcr.ac.cr</t>
  </si>
  <si>
    <t>MARIA YANERY MONTOYA VARGAS</t>
  </si>
  <si>
    <t>ELIZABETH CABALLERO GREEN</t>
  </si>
  <si>
    <t>COLEGIO BILINGÜE SAN FRANCISCO DE ASIS</t>
  </si>
  <si>
    <t>COLEGIO BILINGÜE DEL VALLE</t>
  </si>
  <si>
    <t>EHIMMY RODRIGUEZ CHAVES</t>
  </si>
  <si>
    <t>kattyaa@panam.ed.cr</t>
  </si>
  <si>
    <t>400 METROS AL SUR DE LA PANASONIC</t>
  </si>
  <si>
    <t>800 MTS SUR DE LA ESQ SURESTE DE LA CORTE</t>
  </si>
  <si>
    <t>academico@cedjorgederbavo.com</t>
  </si>
  <si>
    <t>COLEGIO BILINGÜE LA SABANA</t>
  </si>
  <si>
    <t>200 METROS ESTE DEL PALI</t>
  </si>
  <si>
    <t>DAYANNA SANDI SOLANO</t>
  </si>
  <si>
    <t>SANTA SOFIA COLEGIO BILINGÜE</t>
  </si>
  <si>
    <t>jsalazar@mhs.ed.cr</t>
  </si>
  <si>
    <t>asistentedireccionacademica@yurusti.ed.cr</t>
  </si>
  <si>
    <t>INTERNATIONAL ROYAL SCHOOL</t>
  </si>
  <si>
    <t>COLEGIO BENJAMIN FRANKLIN</t>
  </si>
  <si>
    <t>teresianoenriquedeosso@hotmail.com</t>
  </si>
  <si>
    <t>educacion@cebitt.ed.cr</t>
  </si>
  <si>
    <t>NELSON MONGE CESPEDES</t>
  </si>
  <si>
    <t>CHRISTIAN N. QUESADA CORRALES</t>
  </si>
  <si>
    <t>SAINT EDWARD SCHOOL</t>
  </si>
  <si>
    <t>YULIANA GOMEZ CASTRO</t>
  </si>
  <si>
    <t>ILEANA GONZALEZ PANIAGUA</t>
  </si>
  <si>
    <t>SAINT JOSSELIN DAY SCHOOL AND COLLEGE</t>
  </si>
  <si>
    <t>COLEGIO BILINGÜE CIUDAD BLANCA</t>
  </si>
  <si>
    <t>INSTITUTO PEDAGOGICO SAGRADA FAMILIA</t>
  </si>
  <si>
    <t>lorena.calderon@sonny.ed.cr</t>
  </si>
  <si>
    <t>RONALD MADRIGAL MONGE</t>
  </si>
  <si>
    <t>cientifico.alajuela@mep.go.cr</t>
  </si>
  <si>
    <t>GABRIELA MARIA AGÜERO LEE</t>
  </si>
  <si>
    <t>ZARAY ZUÑIGA CERVANTES</t>
  </si>
  <si>
    <t>ANGIE BRISENO ALVAREZ</t>
  </si>
  <si>
    <t>info@sms.ed.cr</t>
  </si>
  <si>
    <t>25 OE Y 150 S DEL AUTOMERCADO SN FRANCISCO</t>
  </si>
  <si>
    <t>FRANZ LISZT SCHOOL</t>
  </si>
  <si>
    <t>colegiocientificoearth@catie.er.cr</t>
  </si>
  <si>
    <t>CALLE CAÑAS</t>
  </si>
  <si>
    <t>150 M.AL OESTE Y 150 N.FRENTE A CABINAS OASIS</t>
  </si>
  <si>
    <t>200 MTS.ESTE DEL MUSICOLOR,CAMPUS D</t>
  </si>
  <si>
    <t>iscr@gsdeducacion.com</t>
  </si>
  <si>
    <t>YIRIA SAENZ CARAZO</t>
  </si>
  <si>
    <t>BUENA VISTA DE BARVA</t>
  </si>
  <si>
    <t>01115</t>
  </si>
  <si>
    <t>CENTRO DE INCLUSION EDUCATIVA CIENAK</t>
  </si>
  <si>
    <t>LA ASUNCION</t>
  </si>
  <si>
    <t>ALEJANDRA MENDEZ MADRIGAL</t>
  </si>
  <si>
    <t>cienakcr@gmail.com</t>
  </si>
  <si>
    <t>75 O Y 150 N ENTRADA PEDREGAL</t>
  </si>
  <si>
    <t>01116</t>
  </si>
  <si>
    <t>CENTRO EDUCATIVO NARANJO BILINGÜE</t>
  </si>
  <si>
    <t>RAUL ANTONIO QUIROS CRUZ</t>
  </si>
  <si>
    <t>ce.edu.naranjo@gmail.com</t>
  </si>
  <si>
    <t>CONTIGUO A LAS OFICINAS DEL A Y A</t>
  </si>
  <si>
    <t>01117</t>
  </si>
  <si>
    <t>COMPLEJO EDUCATIVO SAN ANGEL</t>
  </si>
  <si>
    <t>BARRANTES</t>
  </si>
  <si>
    <t>JORGE GAMBOA BARRANTES</t>
  </si>
  <si>
    <t>info@sanangelschool.ed.cr</t>
  </si>
  <si>
    <t>400 MTS NORTE DE VINDI, EDIFICIO MANO DERECHA</t>
  </si>
  <si>
    <t>01119</t>
  </si>
  <si>
    <t>SANTA MONICA</t>
  </si>
  <si>
    <t>MONTELIMAR</t>
  </si>
  <si>
    <t>MARCELA DIAZ UGALDE</t>
  </si>
  <si>
    <t>informacion@santamonica.ed.cr</t>
  </si>
  <si>
    <t>01120</t>
  </si>
  <si>
    <t>COSTA BALLENA</t>
  </si>
  <si>
    <t>BALLENA</t>
  </si>
  <si>
    <t>ELBERTH RODRIGUEZ BARRANTES</t>
  </si>
  <si>
    <t>300 SUR DEL HOTEL LA CUSINGA</t>
  </si>
  <si>
    <t>ANYERY VARELA ALVAREZ</t>
  </si>
  <si>
    <t>JASON CAMPOS VARGAS</t>
  </si>
  <si>
    <t>lic.luisdoblessegreda@mep.go.cr</t>
  </si>
  <si>
    <t>LICEO DE PAVAS</t>
  </si>
  <si>
    <t>MARTA MORA VARGAS</t>
  </si>
  <si>
    <t>DAVID JOHNSON WARD</t>
  </si>
  <si>
    <t>KEYLIN SANDI ZUMBADO</t>
  </si>
  <si>
    <t>MARIA ELENA VARGAS MURILLO</t>
  </si>
  <si>
    <t>DOUGLAS CAMPOS LEON</t>
  </si>
  <si>
    <t>roxana.sandoval@mariainmaculada.ed.cr</t>
  </si>
  <si>
    <t>GRETTEL ZUÑIGA VILLALOBOS</t>
  </si>
  <si>
    <t>JULIO CESAR HURTADO ACUÑA</t>
  </si>
  <si>
    <t>GUSTAVO A. RAMOS BERMUDEZ</t>
  </si>
  <si>
    <t>CESAR RODOLFO ORTIZ LEON</t>
  </si>
  <si>
    <t>direccion@cmigrecia.com</t>
  </si>
  <si>
    <t>sagradocolegiocostarica@gmail.com</t>
  </si>
  <si>
    <t>500. M SUR DEL SEMINARIO SANTO DOMINGO SAVIO</t>
  </si>
  <si>
    <t>200 M. SUR DE LA BASILICA DE LOS ANGELES</t>
  </si>
  <si>
    <t>200 M.SUR DE LA CATEDRAL DE CARTAGO</t>
  </si>
  <si>
    <t>1 KM NORTE DEL TALLER 3M CARTAGO</t>
  </si>
  <si>
    <t>ABEL ELIZONDO GUZMAN</t>
  </si>
  <si>
    <t>400 M. NORTE DEL EBAIS DE SAN RAFA DE OREAMUN</t>
  </si>
  <si>
    <t>DE MUCAP DE TEJAR 150 M. NORTE</t>
  </si>
  <si>
    <t>LICEO ING. MANUEL BENAVIDES R.</t>
  </si>
  <si>
    <t>LICEO DE SANTA BARBARA</t>
  </si>
  <si>
    <t>UNIDAD PEDAGOGICA EL ROBLE</t>
  </si>
  <si>
    <t>ALEXIS BARRANTES ROJAS</t>
  </si>
  <si>
    <t>lic.expbilinguedebelen@mep.go.cr</t>
  </si>
  <si>
    <t>125 M.SUR,125E.DE LA CRUZ ROJA DE SN.ANT.DE B</t>
  </si>
  <si>
    <t>KARINA MONGE BADILLA</t>
  </si>
  <si>
    <t>200 SUR DEL PARQUE RECADERO BRICEÑO</t>
  </si>
  <si>
    <t>GERARDO MORA CARRANZA</t>
  </si>
  <si>
    <t>COSTADO NORESTE DE LA ESCUELA MORA Y CAÑAS</t>
  </si>
  <si>
    <t>MARIBEL CARR CARR</t>
  </si>
  <si>
    <t>ERICK CHEVEZ RODRIGUEZ</t>
  </si>
  <si>
    <t>MARTIN HERRERA SOTO</t>
  </si>
  <si>
    <t>EXPERIMENTAL BILINGÜE DE GRECIA</t>
  </si>
  <si>
    <t>PABLO SEGURA VIQUEZ</t>
  </si>
  <si>
    <t>COLEGIO SULAYÖM</t>
  </si>
  <si>
    <t>9996</t>
  </si>
  <si>
    <t>CAMPUS UCR 1KM AL SUR DE LAS BOMBAS DE LIBERI</t>
  </si>
  <si>
    <t>LICEO DE COMTE</t>
  </si>
  <si>
    <t>JAQUELINE GUTIERREZ CHAVES</t>
  </si>
  <si>
    <t>RAUL QUIROS CRUZ</t>
  </si>
  <si>
    <t>LICEO MATINA</t>
  </si>
  <si>
    <t>lic.mariaauxiliadora@mep.go.cr</t>
  </si>
  <si>
    <t>LICEO DE SIXAOLA</t>
  </si>
  <si>
    <t>CHRISTIAN MORA CHINCHILLA</t>
  </si>
  <si>
    <t>EXPERIMENTAL BILINGÜE DE POCOCI</t>
  </si>
  <si>
    <t>9994</t>
  </si>
  <si>
    <t>cientifico.sancarlos@mep.go.cr</t>
  </si>
  <si>
    <t>LISIMACO LINARES POTOY</t>
  </si>
  <si>
    <t>350 MTS SUR DE LA ESCUELA MARIA LEAL</t>
  </si>
  <si>
    <t>LICEO DE TICABAN</t>
  </si>
  <si>
    <t>EDGAR SOLIS BARQUERO</t>
  </si>
  <si>
    <t>ROBERT JIMENEZ HERRERA</t>
  </si>
  <si>
    <t>LISSANDRA MATA ALVARADO</t>
  </si>
  <si>
    <t>COLEGIO DE JIMENEZ</t>
  </si>
  <si>
    <t>LICEO DUACARI</t>
  </si>
  <si>
    <t>RODOLFO SIBAJA SOLIS</t>
  </si>
  <si>
    <t>lic.sanrafaeldeabangares@mep.go.cr</t>
  </si>
  <si>
    <t>COLEGIO DE RINCON GRANDE</t>
  </si>
  <si>
    <t>50MTS SUR DE LA PLAZA DE FUTBOL</t>
  </si>
  <si>
    <t>LICEO RURAL GAVILAN</t>
  </si>
  <si>
    <t>LICEO RURAL PANGOLA</t>
  </si>
  <si>
    <t>Lic.ruralsanjuanpangola@mep.go.cr</t>
  </si>
  <si>
    <t>MAYTHE SANCHEZ SALAS</t>
  </si>
  <si>
    <t>COLEGIO DE UJARRAS</t>
  </si>
  <si>
    <t>200 M. NORTE DEL PUESTO DE SALUD DE MARBELLA</t>
  </si>
  <si>
    <t>RANDAL CHAVES ZUNIGA</t>
  </si>
  <si>
    <t>RONNY ALEJANRO BUSTOS ROJAS</t>
  </si>
  <si>
    <t>FRENTE AL ALMACEN EL CAMPESINO</t>
  </si>
  <si>
    <t>LICEO RURAL DE CAHUITA</t>
  </si>
  <si>
    <t>JORGE MARIO PEÑA CORDERO</t>
  </si>
  <si>
    <t>lic.decervantes@mep.go.cr</t>
  </si>
  <si>
    <t>100 NORESTE DE LA MUNICIPALIDAD DE CERVANTES</t>
  </si>
  <si>
    <t>COLEGIO MAIZ DE LOS UVA</t>
  </si>
  <si>
    <t>LICEO CONCEPCION</t>
  </si>
  <si>
    <t>LICEO RURAL CHANGUENA</t>
  </si>
  <si>
    <t>UNIDAD PEDAGOGICA CASA HOGAR</t>
  </si>
  <si>
    <t>300M N DE LA PANADERIA IVARODY</t>
  </si>
  <si>
    <t>COLEGIO JOSE MARIA GUTIERREZ</t>
  </si>
  <si>
    <t>MARIA BEATRIZ CHAVARRIA CHACON</t>
  </si>
  <si>
    <t>EMILIO ARIAS MARTINEZ</t>
  </si>
  <si>
    <t>JESUS ENRIQUE NUÑEZ GOMEZ</t>
  </si>
  <si>
    <t>IVANNIA CASTRO PORRAS</t>
  </si>
  <si>
    <t>LICEO RURAL BIJAGÜAL</t>
  </si>
  <si>
    <t>LICEO DE VENECIA</t>
  </si>
  <si>
    <t>EXPERIMENTAL BILINGÜE DE RIO JIMENEZ</t>
  </si>
  <si>
    <t>100M N DE LA IGLESIA CATOLICA</t>
  </si>
  <si>
    <t>200M SUR DE LA PLAZA DE DEPORTES VALLE VERDE</t>
  </si>
  <si>
    <t>LICEO RURAL LINEA VIEJA</t>
  </si>
  <si>
    <t>MARVIN JAENZ GUZMAN</t>
  </si>
  <si>
    <t>LILLIAM REYES REÑAZCO</t>
  </si>
  <si>
    <t>50 M. ESTE DEL TEMPLO CATOLICO DE SAN DIEGO</t>
  </si>
  <si>
    <t>ROSA CALVO MORALES</t>
  </si>
  <si>
    <t>1 KM.AL NORESTE DE LA ENTRADA HOTEL CERRO ALT</t>
  </si>
  <si>
    <t>DE LA ENTREDA DEL BOULEVARD 800M O AL MUELLE</t>
  </si>
  <si>
    <t>50M NOROESTE DE LA ESCUELA DE SANTO DOMINGO</t>
  </si>
  <si>
    <t>DEL PUENTE 300 METROS OESTE</t>
  </si>
  <si>
    <t>100 METROS ESTE DE LA ESCUELA ENTRE RIOS</t>
  </si>
  <si>
    <t>DIEGO ARMANDO SOLANO BUSTOS</t>
  </si>
  <si>
    <t>up.bajosdeltoroamarillo@mep.go.cr</t>
  </si>
  <si>
    <t>LICEO INDIGENA BOCA COHEN</t>
  </si>
  <si>
    <t>LICEO RURAL DE GANDOCA</t>
  </si>
  <si>
    <t>CONTIGUO A LA CANCH DE FUTBOL DE AGUAS ZARCAS</t>
  </si>
  <si>
    <t>25 M.AL ESTE DEL TEMPLO DE TARAS</t>
  </si>
  <si>
    <t>lic.laamistad@mep.go.cr</t>
  </si>
  <si>
    <t>DEL REST BARTOLAS 300M OE Y 150M SUR</t>
  </si>
  <si>
    <t>GUSTAVO MORA ALPIZAR</t>
  </si>
  <si>
    <t>LICEO SAN CARLOS DE PACUARITO</t>
  </si>
  <si>
    <t>lic.sancarlosdepacuarito@mep.go.cr</t>
  </si>
  <si>
    <t>RAFAEL ANGEL QUIROS SEGURA</t>
  </si>
  <si>
    <t>200 M.NORTE DE LA ESQ.NORESTE IGL.MARIA AUX.</t>
  </si>
  <si>
    <t>ALEXANDER VARGAS MATA</t>
  </si>
  <si>
    <t>upe.juancalderonvalverde@mep.go.cr</t>
  </si>
  <si>
    <t>esc.nuestrasenora@mep.go.cr</t>
  </si>
  <si>
    <t>lic.ruraljaris@mep.go.cr</t>
  </si>
  <si>
    <t>50 METROS ESTE DEL EBAIS DE LA COLONIA</t>
  </si>
  <si>
    <t>LICEO RURAL PARAISO DE CHANGUENA</t>
  </si>
  <si>
    <t>COSTADO SUR DEL EBAIS DE LA VICTORIA</t>
  </si>
  <si>
    <t>100 N. Y 100 OESTE DE LA PLAZA DE DEPORTES</t>
  </si>
  <si>
    <t>iegb.rioceleste@mep.go.cr</t>
  </si>
  <si>
    <t>lic.ruralcoloniadelvalle@mep.go.cr</t>
  </si>
  <si>
    <t>WALTER EDUARDO RODRIGUEZ ULATE</t>
  </si>
  <si>
    <t>300 M SUR IGLESIA CATOLICA QUEBRADA GRANDE</t>
  </si>
  <si>
    <t>1KM ESTE DE IGLESIA CATOLICA DE LOS ANGELES</t>
  </si>
  <si>
    <t>COLEGIO INDIGENA SHIROLES</t>
  </si>
  <si>
    <t>KAREN ILIANA ALVARADO JIMENEZ</t>
  </si>
  <si>
    <t>lic.ruralvillahermosa@mep.go.cr</t>
  </si>
  <si>
    <t>lic.ruralaltocohen@mep.go.cr</t>
  </si>
  <si>
    <t>RONNY DAVID CARMONA MIRANDA</t>
  </si>
  <si>
    <t>COLEGIO INDIGENA YIMBA CAJC</t>
  </si>
  <si>
    <t>cot.elamparo@mep.go.cr</t>
  </si>
  <si>
    <t>COLEGIO FELIPE PEREZ PEREZ</t>
  </si>
  <si>
    <t>Obtuvieron Bachillerato Nacional*</t>
  </si>
  <si>
    <t>SERVICIOS, COMPUTADORAS Y ESPACIO FÍSICO UTILIZADOS POR ACADÉMICA DIURNA,
BACHILLERATO INTERNACIONAL Y PLAN NACIONAL</t>
  </si>
  <si>
    <t>SANEAMIENTO E HIGIENE, ACADÉMICA DIURNA,
BACHILLERATO INTERNACIONAL Y PLAN NACIONAL</t>
  </si>
  <si>
    <t>RESIDENCIAL LOS LAGO</t>
  </si>
  <si>
    <t>SAN JOSE DE LA MONTA</t>
  </si>
  <si>
    <t>ASENTAMIENTO CARLOS</t>
  </si>
  <si>
    <t>URBANIZACION COOPEIS</t>
  </si>
  <si>
    <t>SANTA GERTRUDIS NORT</t>
  </si>
  <si>
    <t>BARRIO CORAZON DE JE</t>
  </si>
  <si>
    <t>RESIDENCIAL LAS VEGA</t>
  </si>
  <si>
    <t>URBANIZACION EL PROG</t>
  </si>
  <si>
    <t>URBANIZACION LAS LOM</t>
  </si>
  <si>
    <t>SAN JUAN PEÑAS BLANC</t>
  </si>
  <si>
    <t>LA LUCHA POTRERO GRA</t>
  </si>
  <si>
    <t>CIENTIFICO DE COSTA RICA DE PEREZ ZELEDON -UN</t>
  </si>
  <si>
    <t>UNIDAD PEDAGOGICA DR. RAFAEL ANGEL CALDERON G</t>
  </si>
  <si>
    <t>UNIDAD PEDAGOGICA RURAL BAJOS DE TORO AMARILL</t>
  </si>
  <si>
    <t>CENSO ESCOLAR 2023 -- INFORME INICIAL</t>
  </si>
  <si>
    <t>APLAZADOS EN EL CURSO LECTIVO 2022, Y QUE APROBARON</t>
  </si>
  <si>
    <t>Aplaz.
2022</t>
  </si>
  <si>
    <t>Estudios incompletos</t>
  </si>
  <si>
    <t>Matrícula Inicial 2023 (2022-2023 para Horario Diferenciado)</t>
  </si>
  <si>
    <t>Curso Lectivo 2022 (2021-2022 para Horario Diferenciado)</t>
  </si>
  <si>
    <r>
      <t>(</t>
    </r>
    <r>
      <rPr>
        <b/>
        <i/>
        <sz val="14"/>
        <rFont val="Cambria"/>
        <family val="1"/>
        <scheme val="major"/>
      </rPr>
      <t>No incluya los estudiantes de Bachillerato Internacional</t>
    </r>
    <r>
      <rPr>
        <b/>
        <sz val="14"/>
        <rFont val="Cambria"/>
        <family val="1"/>
        <scheme val="major"/>
      </rPr>
      <t>)</t>
    </r>
  </si>
  <si>
    <t>EL CURSO LECTIVO 2023, ACADÉMICA DIURNA</t>
  </si>
  <si>
    <r>
      <t xml:space="preserve">SEGÚN PAÍS/CONTINENTE, ACADÉMICA DIURNA </t>
    </r>
    <r>
      <rPr>
        <b/>
        <i/>
        <sz val="14"/>
        <rFont val="Cambria"/>
        <family val="1"/>
        <scheme val="major"/>
      </rPr>
      <t>(No incluya los estudiantes de Bachillerato Internacional)</t>
    </r>
  </si>
  <si>
    <r>
      <t xml:space="preserve">DISCAPACIDAD O CONDICIÓN DE LOS ESTUDIANTES DE ACADÉMICA DIURNA </t>
    </r>
    <r>
      <rPr>
        <b/>
        <i/>
        <sz val="14"/>
        <rFont val="Cambria"/>
        <family val="1"/>
        <scheme val="major"/>
      </rPr>
      <t>(No incluya los estudiantes de Bachillerato Internacional)</t>
    </r>
  </si>
  <si>
    <r>
      <t>PERSONAL TOTAL QUE LABORA EN ACADÉMICA DIURNA</t>
    </r>
    <r>
      <rPr>
        <b/>
        <sz val="14"/>
        <color theme="1"/>
        <rFont val="Cambria"/>
        <family val="1"/>
        <scheme val="major"/>
      </rPr>
      <t>, SEGÚN TIPO DE CARGO</t>
    </r>
  </si>
  <si>
    <t>PERSONAL TOTAL QUE LABORA EN ACADÉMICA DIURNA</t>
  </si>
  <si>
    <r>
      <t>PERSONAL DOCENTE DE ACADÉMICA DIURNA</t>
    </r>
    <r>
      <rPr>
        <b/>
        <sz val="14"/>
        <color theme="1"/>
        <rFont val="Cambria"/>
        <family val="1"/>
        <scheme val="major"/>
      </rPr>
      <t>, POR GRUPO PROFESIONAL</t>
    </r>
  </si>
  <si>
    <t>(Incluya lo que corresponde a Bachillerato Internacional)</t>
  </si>
  <si>
    <t>Ubicacion1</t>
  </si>
  <si>
    <t>0</t>
  </si>
  <si>
    <t>CUBUJUQUI</t>
  </si>
  <si>
    <t>EL CAPULIN</t>
  </si>
  <si>
    <t>B° CAPULIN</t>
  </si>
  <si>
    <t>URBANIZACION EL VALL</t>
  </si>
  <si>
    <t>UJARRAS</t>
  </si>
  <si>
    <t>CONCEPCION</t>
  </si>
  <si>
    <t>RIO JIMENEZ</t>
  </si>
  <si>
    <t>LINEA VIEJA</t>
  </si>
  <si>
    <t>9992</t>
  </si>
  <si>
    <t>TERRABA</t>
  </si>
  <si>
    <t>BARRIO ROOSBELTH</t>
  </si>
  <si>
    <t>BOCA COHEN</t>
  </si>
  <si>
    <t>RIO VERDE GUAPILES</t>
  </si>
  <si>
    <t>Bº LOS ANGELES</t>
  </si>
  <si>
    <t>BRASILITO</t>
  </si>
  <si>
    <t>01121</t>
  </si>
  <si>
    <t>01122</t>
  </si>
  <si>
    <t>BARRIO KAMAKIRI</t>
  </si>
  <si>
    <t>01123</t>
  </si>
  <si>
    <t>LICEO EXPERIMENTAL BILINGÜE JOSE FIGUERES FER</t>
  </si>
  <si>
    <t>SEP INTERNATIONAL SCHOOL</t>
  </si>
  <si>
    <t>LICEO POASITO</t>
  </si>
  <si>
    <t>ECOTURISTICO DEL PACIFICO</t>
  </si>
  <si>
    <t>EXPERIMENTAL BILINGÜE DE LOS ANGELES</t>
  </si>
  <si>
    <t>COLEGIO ACADEMICO DE LONDRES</t>
  </si>
  <si>
    <t>COLEGIO BILINGÜE SONNY S.A. CBC</t>
  </si>
  <si>
    <t>COLEGIO INDIGENA LA CASONA</t>
  </si>
  <si>
    <t>GOLDEN VALLEY SCHOOL-HEREDIA-</t>
  </si>
  <si>
    <t>LICEO RURAL SIKRIYÖK</t>
  </si>
  <si>
    <t>SIBÖ FORMACION INTEGRAL</t>
  </si>
  <si>
    <t>COMPLEJO EDUCATIVO SANTA LUCIA</t>
  </si>
  <si>
    <t>GOLDEN VALLEY SCHOOL-HEREDIA-(HORARIO DIFEREN</t>
  </si>
  <si>
    <t>LIMON</t>
  </si>
  <si>
    <t>ZONA NORTE-NORTE</t>
  </si>
  <si>
    <t>LICEO EXPERIMENTAL BILINGÜE JOSE FIGUERES FERRER</t>
  </si>
  <si>
    <t>LILLIANA PEREZ SOLANO</t>
  </si>
  <si>
    <t>HERIBERTO QUIROS SOLANO</t>
  </si>
  <si>
    <t>MARIA ISELA SOLANO CAMPOS</t>
  </si>
  <si>
    <t>SHIRLENE MAYELA QUIROS PAVON</t>
  </si>
  <si>
    <t>300 NORESTE DE LA ERMITA DE CHIRRACA.</t>
  </si>
  <si>
    <t>KARINA MARIA BOLAÑOS PICADO</t>
  </si>
  <si>
    <t>ABRAHAM MONTOYA FERNANDEZ</t>
  </si>
  <si>
    <t>LUCIA MESEN BRENES</t>
  </si>
  <si>
    <t>KATHERINE CHANTO CERDAS</t>
  </si>
  <si>
    <t>RITA MARCELLY UMANA VALVERDE</t>
  </si>
  <si>
    <t>BEATRIZ CAMACHO MARTINEZ</t>
  </si>
  <si>
    <t>800 NORTE DE LA ESCUELA ALEJANDRO RODRIGUEZ</t>
  </si>
  <si>
    <t>25 EESTE SUPER LAPA, TAMBOR DE COBANO</t>
  </si>
  <si>
    <t>LURA RAMOS FALLAS</t>
  </si>
  <si>
    <t>LEONARDO SEGURA NUÑEZ</t>
  </si>
  <si>
    <t>EVELYN NOGUERA GUEVARA</t>
  </si>
  <si>
    <t>lic.sanjosedeupala@mep.go.cr</t>
  </si>
  <si>
    <t>LUIS ROBERTO AGUILERA RAMIREZ</t>
  </si>
  <si>
    <t>YARMILA HIDALGO ALVARADO</t>
  </si>
  <si>
    <t>FAUSTO BARRANTES BRAN</t>
  </si>
  <si>
    <t>SANTIAGO JIMENEZ MOLINA</t>
  </si>
  <si>
    <t>MARIA RAQUEL MONTENEGRO MUÑOZ</t>
  </si>
  <si>
    <t>50 OESTE DE LA PLAZA DE DEPORTES</t>
  </si>
  <si>
    <t>MILRE ALTAMIRANO ABARCA</t>
  </si>
  <si>
    <t>LEONEL MAROTO GONZALEZ</t>
  </si>
  <si>
    <t>CESAR ARAD AVILA VARGAS</t>
  </si>
  <si>
    <t>DE LAS OFICINAS DE SUPERVISION 4,8K NORESTE</t>
  </si>
  <si>
    <t>JHONNY FERNANDEZ SANDOVAL</t>
  </si>
  <si>
    <t>EDUARDO VARGAS GOMEZ</t>
  </si>
  <si>
    <t>KATHERINE MARCHENA CASCANTE</t>
  </si>
  <si>
    <t>GONZALO M. GONZALEZ MADRIGAL</t>
  </si>
  <si>
    <t>JUAN PABLO GODINEZ PRADO</t>
  </si>
  <si>
    <t>200M ESTE DE LA ENTRADA A NEVA GUATEMALA</t>
  </si>
  <si>
    <t>IVAN AGÜERO MORA</t>
  </si>
  <si>
    <t>JUAN CARLOS PICADO DELGADO</t>
  </si>
  <si>
    <t>MAGALY CAMACHO AGUERO</t>
  </si>
  <si>
    <t>ANDRES PEREZ PEREZ</t>
  </si>
  <si>
    <t>JOSE HERNANDO ZAMORA JIMENEZ</t>
  </si>
  <si>
    <t>lic.rurallasmarias@mep.go.cr</t>
  </si>
  <si>
    <t>150 NORESTE DE LA IGLESIA.</t>
  </si>
  <si>
    <t>JAVIER MAURICIO SOLIS ARIAS</t>
  </si>
  <si>
    <t>JHONNY GARCIA ENRIQUEZ</t>
  </si>
  <si>
    <t>JESUS CRUZ HERNANDEZ</t>
  </si>
  <si>
    <t>ALEXANDER SANCHEZ RODRIGUEZ</t>
  </si>
  <si>
    <t>lic.ruralguacimal@mep.go.cr</t>
  </si>
  <si>
    <t>JUAN CARLOS SERRANO VARGAS</t>
  </si>
  <si>
    <t>lic.ruralgavilana@mep.go.cr</t>
  </si>
  <si>
    <t>RAFAEL AGÜERO BARQUERO</t>
  </si>
  <si>
    <t>OLGER FALLAS CESPEDES</t>
  </si>
  <si>
    <t>HELEN AMELIA CAMPOS MIRANDA</t>
  </si>
  <si>
    <t>WILSON ESPINOZA CERDAS</t>
  </si>
  <si>
    <t>lic.ruralpuertoviejo@mep.go.cr</t>
  </si>
  <si>
    <t>PLAYA NEGRA 100 M. DE LA ENTRADA DE PAN DULCE</t>
  </si>
  <si>
    <t>KATHERIN MARTINEZ HAYLING</t>
  </si>
  <si>
    <t>FRENTE A LA IGLESIA CAT[OLICA COLONIA DEL VAL</t>
  </si>
  <si>
    <t>HECTOR GIOVANNI OBANDO ROMAN</t>
  </si>
  <si>
    <t>XIOMARA TORRES JIMENEZ</t>
  </si>
  <si>
    <t>DEMER YANI CRUZ CRUZ</t>
  </si>
  <si>
    <t>HAROLL CALVO QUESADA</t>
  </si>
  <si>
    <t>lic.ruralbijagual@mep.go.cr</t>
  </si>
  <si>
    <t>XINIA MARIA ROJAS SALAZAR</t>
  </si>
  <si>
    <t>MINOR O. VARGAS GUTIERREZ</t>
  </si>
  <si>
    <t>VICENTA LAURENCE LOPEZ</t>
  </si>
  <si>
    <t>RONALD MAITLAND VAZ</t>
  </si>
  <si>
    <t>KATTIA CARBALLO GARCIA</t>
  </si>
  <si>
    <t>MINOR ELIZONDO MORAES</t>
  </si>
  <si>
    <t>ERIKA MORA ARIAS</t>
  </si>
  <si>
    <t>ELLUANY OVIEDO BRICEÑO</t>
  </si>
  <si>
    <t>DENNICE JIMENEZ RODRIGUEZ</t>
  </si>
  <si>
    <t>WILFREDO CASTRO CAMPOS</t>
  </si>
  <si>
    <t>CARLOS EMEL MENDEZ ANGULO</t>
  </si>
  <si>
    <t>SANDRA ARTAVIA ORTEGA</t>
  </si>
  <si>
    <t>PABLO VILLALOBOS BLANCO</t>
  </si>
  <si>
    <t>JUAN CARLOS BRENES ESQUIVEL</t>
  </si>
  <si>
    <t>SALON COMUNAL COMUNIDAD JUNTAS DE CAOBA</t>
  </si>
  <si>
    <t>YORLENY GUTIERREZ BLANCO</t>
  </si>
  <si>
    <t>ANDRES G. BARRANTES MURILLO</t>
  </si>
  <si>
    <t>JONATHAN EDUARDO CORDERO ROJAS</t>
  </si>
  <si>
    <t>MAUREN QUESADA MURILLO</t>
  </si>
  <si>
    <t>JACQUELINE BRENES MONTERO</t>
  </si>
  <si>
    <t>COSTADO SUR DEL COVAO, CARRETERA AL IRAZU</t>
  </si>
  <si>
    <t>lic.emilianoodiomadrigal@mep.go.cr</t>
  </si>
  <si>
    <t>RONALD MORAGA GOMEZ</t>
  </si>
  <si>
    <t>lic.edgarcervantesvillalta@mep.go.cr</t>
  </si>
  <si>
    <t>JOSE DAVID LOPEZ MORALES</t>
  </si>
  <si>
    <t>MARIA TERESA OBANDO ESPINOZA</t>
  </si>
  <si>
    <t>EDITH ADAMES BERNAL</t>
  </si>
  <si>
    <t>MARCO GARRO TORRES</t>
  </si>
  <si>
    <t>MAURICIO MOREIRA ARCE</t>
  </si>
  <si>
    <t>JUAN GUILLERMO VINDAS PARRA</t>
  </si>
  <si>
    <t>400 NORTE DEL CEMENTERIO DE SABANILLAS.</t>
  </si>
  <si>
    <t>CARLOS JIMENEZ BERMUDEZ</t>
  </si>
  <si>
    <t>HANNIA GARRO RODRIGUEZ</t>
  </si>
  <si>
    <t>lic.denicoya@mep.go.cr</t>
  </si>
  <si>
    <t>lic.miramar@mep.go.cr</t>
  </si>
  <si>
    <t>800 ESTE Y 275 SUR DEL CENCINAI</t>
  </si>
  <si>
    <t>300 OE DEL SALON COMUNAL LOS SAUCES</t>
  </si>
  <si>
    <t>KENDALL RODRIGUEZ RODRIGUEZ</t>
  </si>
  <si>
    <t>lic.decotfranciscojorlich@mep.go.cr</t>
  </si>
  <si>
    <t>ALLAN ALPIZAR MONTERO</t>
  </si>
  <si>
    <t>ANDRE MIGUEL UGALDE JIMENEZ</t>
  </si>
  <si>
    <t>JUAN DAVID ALFARO ARAYA</t>
  </si>
  <si>
    <t>DEL INST OTTO SILESKY 500 METROS AL ESTE</t>
  </si>
  <si>
    <t>ANA LINA BARRANTES RODRIGUEZ</t>
  </si>
  <si>
    <t>1 KM SUR DE LA ENT.PRINCIPAL DEL MULTICENTRO</t>
  </si>
  <si>
    <t>ROXANA VILLALOBOS VARGAS</t>
  </si>
  <si>
    <t>MARIO ANDRES MORA VALVERDE</t>
  </si>
  <si>
    <t>MELISSA ORTIZ NAVARRO</t>
  </si>
  <si>
    <t>ROGER MENDEZ GUERRERO</t>
  </si>
  <si>
    <t>GABRIEL EMILIANO MORA MONGE</t>
  </si>
  <si>
    <t>MARIA ESTHER CORDERO MADRIZ</t>
  </si>
  <si>
    <t>LUIS ALBERTO RAMIREZ QUESADA</t>
  </si>
  <si>
    <t>DEIDY ZUÑIGA ORTEGA</t>
  </si>
  <si>
    <t>GERARDO HUMBERTO MORA MAROTO</t>
  </si>
  <si>
    <t>GIOVANNI BRILLAS SOLIS</t>
  </si>
  <si>
    <t>JUAN DURAN CUBILLO</t>
  </si>
  <si>
    <t>ANA ESTER CANALES LIOS</t>
  </si>
  <si>
    <t>SEBASTIAN CANALES CAÑIZALES</t>
  </si>
  <si>
    <t>CALLE PRINCIPAL 300 OESTE DEL CEMENTERIO</t>
  </si>
  <si>
    <t>SANDRA CAMPBELL ROJAS</t>
  </si>
  <si>
    <t>DULEY JOSE MEJIA SEQUEIRA</t>
  </si>
  <si>
    <t>LAURA MONTES MORALES</t>
  </si>
  <si>
    <t>JORGE DOWGLAS GONZALEZ CARVAJA</t>
  </si>
  <si>
    <t>CHRISTIAN MORA MOYA</t>
  </si>
  <si>
    <t>GREIVIN O. CHACON RODRIGUEZ</t>
  </si>
  <si>
    <t>ARIANA BENAVIDES MONTERO</t>
  </si>
  <si>
    <t>MARVIN ANTONIO BLANCO JARA</t>
  </si>
  <si>
    <t>lic.tuetalnorte@mep.go.cr</t>
  </si>
  <si>
    <t>DETRAS DE LA PLAZA DE DEPORTES TUETAL NORTE</t>
  </si>
  <si>
    <t>MARIA GIOCONDA MONTERO SOLIS</t>
  </si>
  <si>
    <t>JOXIE ESPINOZA MADRIGAL</t>
  </si>
  <si>
    <t>MARIA VARGAS BOLAÑOS</t>
  </si>
  <si>
    <t>OSCAR ALBERTO VARGAS UREÑA</t>
  </si>
  <si>
    <t>JOSE RICARDO ESCOBAR CAMPOS</t>
  </si>
  <si>
    <t>ILSE V. GUTIERREZ ATENCIO</t>
  </si>
  <si>
    <t>RICHARD ZUÑIGA MESEN</t>
  </si>
  <si>
    <t>LIZETH CORRALES MEJIAS</t>
  </si>
  <si>
    <t>LUIS ROBERTO CERDAS JIMENEZ</t>
  </si>
  <si>
    <t>HUMBERTO SANABRIA PICADO</t>
  </si>
  <si>
    <t>PARQUE CENTRAL LA CRUZ 300 NORTE Y 100 ESTE</t>
  </si>
  <si>
    <t>11 KM NORTE DE LA IGLESIA CATOLICA DE B.A.</t>
  </si>
  <si>
    <t>SHEANA BRUNLEY BARR</t>
  </si>
  <si>
    <t>DANILO CRUZ CASTRO</t>
  </si>
  <si>
    <t>EDIN ARTURO LOPEZ RIVERA</t>
  </si>
  <si>
    <t>col.debagaces@mep.go.cr</t>
  </si>
  <si>
    <t>50 OESTE Y 175 NORTE GIMNACIO MUNICIPAL</t>
  </si>
  <si>
    <t>PAULA OCAMPO MONTERROSA</t>
  </si>
  <si>
    <t>MARY STEPHANIE SOLIS HERRERA</t>
  </si>
  <si>
    <t>URBANIZACION LAS VEGAS,700M NORTE DEL PALI EL</t>
  </si>
  <si>
    <t>YOJEVET SOLANO CASTRO</t>
  </si>
  <si>
    <t>BENLLY SALAZAR GODINEZ</t>
  </si>
  <si>
    <t>HEYNER PEREIRA CHAVES</t>
  </si>
  <si>
    <t>MARCELA MARIA CHAVES ALVAREZ</t>
  </si>
  <si>
    <t>GOLDEN VALLEY SCHOOL-HEREDIA-(HORARIO DIFERENC.)</t>
  </si>
  <si>
    <t>800 SUR 300 ESTE DE LA CASA DE DOÑA LELA</t>
  </si>
  <si>
    <t>MARTA RAMIREZ UMAÑA</t>
  </si>
  <si>
    <t>CARLA BORGE RAMIREZ</t>
  </si>
  <si>
    <t>victoria.mmena@bluevalley.ed.cr</t>
  </si>
  <si>
    <t>1.2 KM NOROESTE DEL TUNEL ACCESO A MULTIPLAZA</t>
  </si>
  <si>
    <t>victoria.mena@bluevalley.ed.cr</t>
  </si>
  <si>
    <t>KARLA SALAS MEJIA</t>
  </si>
  <si>
    <t>DE MACDONALD`S 500 NORTE Y 200 OESTE</t>
  </si>
  <si>
    <t>MARIA DEL ROCIO OBALDIA CASTRO</t>
  </si>
  <si>
    <t>siboformacionintegral@gmail.com</t>
  </si>
  <si>
    <t>JABONCILLO</t>
  </si>
  <si>
    <t>URBANIZACION EL VALLE</t>
  </si>
  <si>
    <t>sep@soepa.co</t>
  </si>
  <si>
    <t>ILEANA VALERIN ROMAN</t>
  </si>
  <si>
    <t>AARON SANCHEZ MORALES</t>
  </si>
  <si>
    <t>800 NORTE Y 400 OESTE DE LOS TRIBUNALES</t>
  </si>
  <si>
    <t>MARIA FERNANDA SEGURA VALERIN</t>
  </si>
  <si>
    <t>KAREN CHAVES AREAS</t>
  </si>
  <si>
    <t>SAIDY HERRERA ALVARADO</t>
  </si>
  <si>
    <t>santaana.highschool&amp;hotmail.com</t>
  </si>
  <si>
    <t>PLAZA CORALCO 100 M NORTE Y 25 M. ESTE STA. A</t>
  </si>
  <si>
    <t>d.academica@santaana.ed.cr</t>
  </si>
  <si>
    <t>125 OESTE DE LA CLINICA SOLON NUÑEZ</t>
  </si>
  <si>
    <t>l.vega@saintmichael.ed.cr</t>
  </si>
  <si>
    <t>DEL MAXI PALI 200 SUR Y 75 ESTE FINAL CALLE</t>
  </si>
  <si>
    <t>direccionacademica@sandaniel.ed.cr</t>
  </si>
  <si>
    <t>lujusa2424@hotmail.com</t>
  </si>
  <si>
    <t>LAURENS TORRES ARTAVIA</t>
  </si>
  <si>
    <t>highschool@sps.ed.cr</t>
  </si>
  <si>
    <t>ADRIANA CALVO BARRANTES</t>
  </si>
  <si>
    <t>RODERICK HENRY WOLSELEY CROUCH</t>
  </si>
  <si>
    <t>AVENIDAS 2 Y 8 CALLE 27</t>
  </si>
  <si>
    <t>ANA LILLIAM ZEPEDA GUEVARA</t>
  </si>
  <si>
    <t>MARIA LUCIA ZAMORA CHAVES</t>
  </si>
  <si>
    <t>ANDREA GARITA ARAYA</t>
  </si>
  <si>
    <t>MARIANA BLOOMFIELD ZAMORA</t>
  </si>
  <si>
    <t>RAFAEL MORA GOÑI</t>
  </si>
  <si>
    <t>school@montealto.cr</t>
  </si>
  <si>
    <t>vittorinogirardisstellin@prodieca.org</t>
  </si>
  <si>
    <t>DE LA IGLESIA DE SAN ANTONIO 350 SUR Y 50 E.</t>
  </si>
  <si>
    <t>DEL COSTADO SUR DEL PARQUE EL BOSQUE 25M ESTE</t>
  </si>
  <si>
    <t>DETRAS DEL ICE, FRENTE RESTAURANTE FLOR LOTO</t>
  </si>
  <si>
    <t>KENIA CALDERON QUIROS</t>
  </si>
  <si>
    <t>DE LA ENTRADA AL PROY.MAR VISTA 400 M. ESTE</t>
  </si>
  <si>
    <t>LIA ANCHIA ANGULO</t>
  </si>
  <si>
    <t>DE LA IGLESIA ASAMBLEA DE DIOS 50 N. Y 25 O.</t>
  </si>
  <si>
    <t>MARIA ANGELA SANCHEZ QUIROS</t>
  </si>
  <si>
    <t>humanistico.heredia@mep.go.cr</t>
  </si>
  <si>
    <t>150M N DEL OVSICORI, UNA</t>
  </si>
  <si>
    <t>OLMAN VARGAS ROJAS</t>
  </si>
  <si>
    <t>JUAN BARRILERO CONTRERAS</t>
  </si>
  <si>
    <t>BO. ESCALANTE DEL BCR 200 NORTE</t>
  </si>
  <si>
    <t>asistencia@fls.ed.cr</t>
  </si>
  <si>
    <t>nuevomilenio@cfnm.ed.cr</t>
  </si>
  <si>
    <t>verenacastro@delmaracademy.com</t>
  </si>
  <si>
    <t>ULTIMA PARADA DEL CARMEN PRIMERA ENTRADA 50 O</t>
  </si>
  <si>
    <t>ESTEBAN BERMUDEZ SANCHEZ</t>
  </si>
  <si>
    <t>LOIS MARE</t>
  </si>
  <si>
    <t>info@crcs.cr</t>
  </si>
  <si>
    <t>info.cecostabalena@gmail.com</t>
  </si>
  <si>
    <t>ROSA IVETH JIMENEZ MADRIGAL</t>
  </si>
  <si>
    <t>santaluciaeduca@outlook.com</t>
  </si>
  <si>
    <t>50 O DE FIDERPAC</t>
  </si>
  <si>
    <t>125 OESTE 100 NORTE DEL MAS X MENOS</t>
  </si>
  <si>
    <t>FRAY MARCO UMAÑA JUAREZ</t>
  </si>
  <si>
    <t>100 SUR 400 NORTE INSTAL DEPORTIVAS DE LA UCR</t>
  </si>
  <si>
    <t>SOR SUSANA LI TONG</t>
  </si>
  <si>
    <t>JULIO CESAR ALVAREZ GUTIERREZ</t>
  </si>
  <si>
    <t>ANA PATRICIA ARROYO UMAÑA</t>
  </si>
  <si>
    <t>PAULA MORAN RIESTRA</t>
  </si>
  <si>
    <t>200 NORTE DEL MAS X MENOS DE SAN  PEDRO</t>
  </si>
  <si>
    <t>jjuarez@cbcb.ed.cr</t>
  </si>
  <si>
    <t>ILONKA SCHOSINSKY VALLS</t>
  </si>
  <si>
    <t>ARTURO VARGAS HERRERA</t>
  </si>
  <si>
    <t>SONIA SMITH SMITH</t>
  </si>
  <si>
    <t>DEIKA EMILET SANCHEZ CASTILLO</t>
  </si>
  <si>
    <t>mep@thelaunchpadtlp.education</t>
  </si>
  <si>
    <t>DORCAS ENRIQUEZ MORA</t>
  </si>
  <si>
    <t>DRA. YALILE CHAN MONTIEL</t>
  </si>
  <si>
    <t>ILEANA LOAIZA VILLALOBOS</t>
  </si>
  <si>
    <t>FRENTE A CONDOMINIO PALMA REAL, BARRIO SAN VI</t>
  </si>
  <si>
    <t>ANA RUTH COTO SOLANO</t>
  </si>
  <si>
    <t>oficinaacademica@collagebbm.com</t>
  </si>
  <si>
    <t>DE LA ESCUELA REPUBLICA FRANCESA 50S Y 150NOR</t>
  </si>
  <si>
    <t>admin@ahs-cr.com</t>
  </si>
  <si>
    <t>LIZA MAUREEN EWEN</t>
  </si>
  <si>
    <t>lewen@mfschool.org</t>
  </si>
  <si>
    <t>MARITZA BUZANO ROMERO</t>
  </si>
  <si>
    <t>MARCO V. GUEVARA SOLANO</t>
  </si>
  <si>
    <t>NOEMY LOPEZ MENDOZA</t>
  </si>
  <si>
    <t>CESAR RODRIGUEZ BARRANTES</t>
  </si>
  <si>
    <t>gchanto@hotmail.com/gchanto@atm.ed.cr</t>
  </si>
  <si>
    <t>* Estudiantes en el Programa Bachillerato Internacional.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</si>
</sst>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\-####"/>
  </numFmts>
  <fonts count="10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 Light"/>
      <family val="2"/>
    </font>
    <font>
      <b/>
      <sz val="11"/>
      <color rgb="FFFF000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 Light"/>
      <family val="2"/>
    </font>
    <font>
      <sz val="18"/>
      <color theme="3"/>
      <name val="Cambria"/>
      <family val="2"/>
      <scheme val="major"/>
    </font>
    <font>
      <b/>
      <sz val="11"/>
      <color rgb="FFFF0000"/>
      <name val="Goudy"/>
      <family val="1"/>
    </font>
    <font>
      <sz val="11"/>
      <color theme="1"/>
      <name val="Goudy"/>
      <family val="1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8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i/>
      <sz val="28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i/>
      <sz val="28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22"/>
      <name val="Cambria"/>
      <family val="1"/>
      <scheme val="major"/>
    </font>
    <font>
      <b/>
      <sz val="20"/>
      <name val="Cambria"/>
      <family val="1"/>
      <scheme val="major"/>
    </font>
    <font>
      <i/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i/>
      <sz val="10"/>
      <name val="Cambria"/>
      <family val="1"/>
      <scheme val="major"/>
    </font>
    <font>
      <sz val="9"/>
      <name val="Cambria"/>
      <family val="1"/>
      <scheme val="major"/>
    </font>
    <font>
      <b/>
      <sz val="11"/>
      <color theme="1"/>
      <name val="Cambria"/>
      <family val="1"/>
      <scheme val="major"/>
    </font>
    <font>
      <i/>
      <sz val="12"/>
      <name val="Cambria"/>
      <family val="1"/>
      <scheme val="major"/>
    </font>
    <font>
      <i/>
      <sz val="10"/>
      <name val="Cambria"/>
      <family val="1"/>
      <scheme val="major"/>
    </font>
    <font>
      <b/>
      <sz val="11"/>
      <color theme="3"/>
      <name val="Cambria"/>
      <family val="1"/>
      <scheme val="major"/>
    </font>
    <font>
      <sz val="18"/>
      <name val="Cambria"/>
      <family val="1"/>
      <scheme val="major"/>
    </font>
    <font>
      <sz val="12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6"/>
      <color rgb="FFFF0000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i/>
      <sz val="14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9" tint="-0.499984740745262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i/>
      <sz val="11"/>
      <color rgb="FFFF0000"/>
      <name val="Cambria"/>
      <family val="1"/>
      <scheme val="major"/>
    </font>
    <font>
      <b/>
      <sz val="14"/>
      <color theme="5" tint="-0.249977111117893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sz val="9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i/>
      <sz val="12"/>
      <color rgb="FFFF0000"/>
      <name val="Cambria"/>
      <family val="1"/>
      <scheme val="major"/>
    </font>
    <font>
      <b/>
      <i/>
      <sz val="11"/>
      <name val="Cambria"/>
      <family val="1"/>
      <scheme val="major"/>
    </font>
    <font>
      <b/>
      <i/>
      <sz val="14"/>
      <color rgb="FFFF0000"/>
      <name val="Cambria"/>
      <family val="1"/>
      <scheme val="major"/>
    </font>
    <font>
      <b/>
      <sz val="12"/>
      <color rgb="FF7030A0"/>
      <name val="Cambria"/>
      <family val="1"/>
      <scheme val="major"/>
    </font>
    <font>
      <b/>
      <i/>
      <sz val="10"/>
      <color rgb="FF002060"/>
      <name val="Cambria"/>
      <family val="1"/>
      <scheme val="major"/>
    </font>
    <font>
      <i/>
      <sz val="10"/>
      <color rgb="FF002060"/>
      <name val="Cambria"/>
      <family val="1"/>
      <scheme val="major"/>
    </font>
    <font>
      <sz val="12"/>
      <color theme="0"/>
      <name val="Cambria"/>
      <family val="1"/>
      <scheme val="major"/>
    </font>
    <font>
      <b/>
      <u/>
      <sz val="10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b/>
      <sz val="11"/>
      <color rgb="FF7030A0"/>
      <name val="Cambria"/>
      <family val="1"/>
      <scheme val="major"/>
    </font>
    <font>
      <b/>
      <sz val="11"/>
      <color rgb="FF008000"/>
      <name val="Cambria"/>
      <family val="1"/>
      <scheme val="major"/>
    </font>
    <font>
      <b/>
      <i/>
      <sz val="12"/>
      <color rgb="FF008000"/>
      <name val="Cambria"/>
      <family val="1"/>
      <scheme val="major"/>
    </font>
    <font>
      <b/>
      <i/>
      <sz val="14"/>
      <color rgb="FF7030A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i/>
      <sz val="13"/>
      <color rgb="FFFF0000"/>
      <name val="Cambria"/>
      <family val="1"/>
      <scheme val="major"/>
    </font>
    <font>
      <b/>
      <i/>
      <sz val="12"/>
      <color rgb="FF3366FF"/>
      <name val="Cambria"/>
      <family val="1"/>
      <scheme val="major"/>
    </font>
    <font>
      <b/>
      <sz val="8"/>
      <color theme="0"/>
      <name val="Cambria"/>
      <family val="1"/>
      <scheme val="major"/>
    </font>
    <font>
      <b/>
      <i/>
      <sz val="8"/>
      <color theme="0"/>
      <name val="Cambria"/>
      <family val="1"/>
      <scheme val="major"/>
    </font>
    <font>
      <sz val="8"/>
      <color theme="0"/>
      <name val="Cambria"/>
      <family val="1"/>
      <scheme val="major"/>
    </font>
    <font>
      <b/>
      <i/>
      <sz val="12"/>
      <color rgb="FF7030A0"/>
      <name val="Cambria"/>
      <family val="1"/>
      <scheme val="major"/>
    </font>
    <font>
      <b/>
      <i/>
      <sz val="9"/>
      <name val="Cambria"/>
      <family val="1"/>
      <scheme val="major"/>
    </font>
    <font>
      <b/>
      <sz val="10"/>
      <color theme="3"/>
      <name val="Cambria"/>
      <family val="1"/>
      <scheme val="major"/>
    </font>
    <font>
      <sz val="16"/>
      <name val="Cambria"/>
      <family val="1"/>
      <scheme val="major"/>
    </font>
    <font>
      <sz val="18"/>
      <color theme="1"/>
      <name val="Cambria"/>
      <family val="1"/>
      <scheme val="major"/>
    </font>
    <font>
      <i/>
      <sz val="10"/>
      <color rgb="FFFF0000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9"/>
      <color theme="8" tint="-0.499984740745262"/>
      <name val="Cambria"/>
      <family val="1"/>
      <scheme val="major"/>
    </font>
    <font>
      <b/>
      <i/>
      <sz val="12"/>
      <color theme="3"/>
      <name val="Cambria"/>
      <family val="1"/>
      <scheme val="major"/>
    </font>
    <font>
      <sz val="10"/>
      <color theme="1"/>
      <name val="Trebuchet MS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87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ashDotDot">
        <color auto="1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DotDot">
        <color auto="1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slantDashDot">
        <color indexed="64"/>
      </bottom>
      <diagonal/>
    </border>
    <border>
      <left/>
      <right/>
      <top style="dashed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ck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ck">
        <color indexed="64"/>
      </left>
      <right/>
      <top/>
      <bottom style="dashDot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ck">
        <color indexed="64"/>
      </left>
      <right/>
      <top/>
      <bottom/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/>
      <diagonal/>
    </border>
    <border>
      <left style="slantDashDot">
        <color auto="1"/>
      </left>
      <right style="slantDashDot">
        <color auto="1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slantDashDot">
        <color auto="1"/>
      </left>
      <right style="slantDashDot">
        <color auto="1"/>
      </right>
      <top/>
      <bottom style="thick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dashed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 style="thick">
        <color indexed="64"/>
      </left>
      <right/>
      <top style="hair">
        <color indexed="64"/>
      </top>
      <bottom style="thick">
        <color auto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auto="1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auto="1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auto="1"/>
      </left>
      <right/>
      <top style="dotted">
        <color indexed="64"/>
      </top>
      <bottom style="thick">
        <color auto="1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dashDot">
        <color indexed="64"/>
      </top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slantDashDot">
        <color indexed="64"/>
      </top>
      <bottom/>
      <diagonal/>
    </border>
    <border>
      <left/>
      <right/>
      <top/>
      <bottom style="slantDashDot">
        <color auto="1"/>
      </bottom>
      <diagonal/>
    </border>
    <border>
      <left style="dotted">
        <color indexed="64"/>
      </left>
      <right style="dotted">
        <color indexed="64"/>
      </right>
      <top/>
      <bottom style="slantDashDot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slantDashDot">
        <color auto="1"/>
      </right>
      <top style="hair">
        <color indexed="64"/>
      </top>
      <bottom style="dotted">
        <color indexed="64"/>
      </bottom>
      <diagonal/>
    </border>
    <border>
      <left style="thick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slantDashDot">
        <color auto="1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auto="1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ck">
        <color indexed="64"/>
      </bottom>
      <diagonal/>
    </border>
    <border>
      <left style="dotted">
        <color indexed="64"/>
      </left>
      <right style="medium">
        <color auto="1"/>
      </right>
      <top style="thick">
        <color auto="1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thick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slantDashDot">
        <color auto="1"/>
      </left>
      <right style="thick">
        <color indexed="64"/>
      </right>
      <top style="hair">
        <color indexed="64"/>
      </top>
      <bottom style="dotted">
        <color auto="1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/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ashDotDot">
        <color indexed="64"/>
      </top>
      <bottom style="thick">
        <color indexed="64"/>
      </bottom>
      <diagonal/>
    </border>
    <border>
      <left style="thick">
        <color indexed="64"/>
      </left>
      <right/>
      <top style="dashDotDot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ashDotDot">
        <color indexed="64"/>
      </top>
      <bottom style="thick">
        <color indexed="64"/>
      </bottom>
      <diagonal/>
    </border>
    <border>
      <left/>
      <right style="medium">
        <color indexed="64"/>
      </right>
      <top style="dashDotDot">
        <color indexed="64"/>
      </top>
      <bottom style="thick">
        <color indexed="64"/>
      </bottom>
      <diagonal/>
    </border>
    <border>
      <left style="medium">
        <color auto="1"/>
      </left>
      <right/>
      <top style="dashDotDot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dashDotDot">
        <color indexed="64"/>
      </top>
      <bottom style="thick">
        <color indexed="64"/>
      </bottom>
      <diagonal/>
    </border>
    <border>
      <left style="dotted">
        <color auto="1"/>
      </left>
      <right/>
      <top style="dashDotDot">
        <color indexed="64"/>
      </top>
      <bottom style="thick">
        <color indexed="64"/>
      </bottom>
      <diagonal/>
    </border>
    <border>
      <left style="slantDashDot">
        <color auto="1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slantDashDot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slantDashDot">
        <color indexed="64"/>
      </bottom>
      <diagonal/>
    </border>
    <border>
      <left style="thick">
        <color auto="1"/>
      </left>
      <right style="dotted">
        <color indexed="64"/>
      </right>
      <top style="slantDashDot">
        <color auto="1"/>
      </top>
      <bottom/>
      <diagonal/>
    </border>
    <border>
      <left style="thick">
        <color auto="1"/>
      </left>
      <right style="dotted">
        <color indexed="64"/>
      </right>
      <top/>
      <bottom style="thick">
        <color indexed="64"/>
      </bottom>
      <diagonal/>
    </border>
    <border>
      <left style="slantDashDot">
        <color auto="1"/>
      </left>
      <right style="thick">
        <color auto="1"/>
      </right>
      <top style="slantDashDot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auto="1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slantDashDot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ck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 style="thick">
        <color indexed="64"/>
      </bottom>
      <diagonal/>
    </border>
    <border>
      <left/>
      <right style="slantDashDot">
        <color auto="1"/>
      </right>
      <top/>
      <bottom style="thick">
        <color indexed="64"/>
      </bottom>
      <diagonal/>
    </border>
    <border>
      <left style="slantDashDot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slantDashDot">
        <color indexed="64"/>
      </right>
      <top style="thick">
        <color indexed="64"/>
      </top>
      <bottom style="medium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slantDashDot">
        <color indexed="64"/>
      </right>
      <top style="dotted">
        <color auto="1"/>
      </top>
      <bottom style="dotted">
        <color auto="1"/>
      </bottom>
      <diagonal/>
    </border>
    <border>
      <left style="slantDashDot">
        <color indexed="64"/>
      </left>
      <right/>
      <top/>
      <bottom style="dashDot">
        <color indexed="64"/>
      </bottom>
      <diagonal/>
    </border>
    <border>
      <left/>
      <right style="slantDashDot">
        <color indexed="64"/>
      </right>
      <top/>
      <bottom style="dashDot">
        <color indexed="64"/>
      </bottom>
      <diagonal/>
    </border>
    <border>
      <left style="slant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slantDashDot">
        <color indexed="64"/>
      </right>
      <top style="dashDot">
        <color indexed="64"/>
      </top>
      <bottom style="dashDot">
        <color indexed="64"/>
      </bottom>
      <diagonal/>
    </border>
    <border>
      <left/>
      <right style="thick">
        <color indexed="64"/>
      </right>
      <top style="hair">
        <color indexed="64"/>
      </top>
      <bottom style="dashed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slantDashDot">
        <color auto="1"/>
      </top>
      <bottom/>
      <diagonal/>
    </border>
    <border>
      <left style="slantDashDot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auto="1"/>
      </left>
      <right/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tted">
        <color auto="1"/>
      </left>
      <right/>
      <top style="hair">
        <color indexed="64"/>
      </top>
      <bottom/>
      <diagonal/>
    </border>
    <border>
      <left/>
      <right/>
      <top style="dashDot">
        <color indexed="64"/>
      </top>
      <bottom style="hair">
        <color indexed="64"/>
      </bottom>
      <diagonal/>
    </border>
    <border>
      <left style="medium">
        <color indexed="64"/>
      </left>
      <right/>
      <top style="dashDot">
        <color indexed="64"/>
      </top>
      <bottom style="hair">
        <color indexed="64"/>
      </bottom>
      <diagonal/>
    </border>
    <border>
      <left style="dotted">
        <color auto="1"/>
      </left>
      <right/>
      <top style="dashDot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ashDot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dashDot">
        <color indexed="64"/>
      </bottom>
      <diagonal/>
    </border>
    <border>
      <left style="medium">
        <color auto="1"/>
      </left>
      <right/>
      <top style="hair">
        <color indexed="64"/>
      </top>
      <bottom style="dashDot">
        <color indexed="64"/>
      </bottom>
      <diagonal/>
    </border>
    <border>
      <left style="dotted">
        <color auto="1"/>
      </left>
      <right/>
      <top style="hair">
        <color indexed="64"/>
      </top>
      <bottom style="dashDot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indexed="64"/>
      </bottom>
      <diagonal/>
    </border>
    <border>
      <left style="dotted">
        <color auto="1"/>
      </left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/>
      <bottom style="dotted">
        <color auto="1"/>
      </bottom>
      <diagonal/>
    </border>
    <border>
      <left style="hair">
        <color auto="1"/>
      </left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ck">
        <color indexed="64"/>
      </bottom>
      <diagonal/>
    </border>
    <border>
      <left style="mediumDashed">
        <color indexed="64"/>
      </left>
      <right/>
      <top style="thick">
        <color indexed="64"/>
      </top>
      <bottom style="medium">
        <color indexed="64"/>
      </bottom>
      <diagonal/>
    </border>
    <border>
      <left style="slantDashDot">
        <color indexed="64"/>
      </left>
      <right/>
      <top style="thick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slantDashDot">
        <color indexed="64"/>
      </left>
      <right/>
      <top/>
      <bottom style="medium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slantDashDot">
        <color indexed="64"/>
      </left>
      <right/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 style="thick">
        <color indexed="64"/>
      </bottom>
      <diagonal/>
    </border>
    <border>
      <left/>
      <right style="slantDashDot">
        <color auto="1"/>
      </right>
      <top style="thin">
        <color indexed="64"/>
      </top>
      <bottom style="thick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 style="dotted">
        <color auto="1"/>
      </top>
      <bottom style="dotted">
        <color auto="1"/>
      </bottom>
      <diagonal/>
    </border>
    <border>
      <left style="thick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 style="mediumDashed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slantDashDot">
        <color auto="1"/>
      </right>
      <top style="dotted">
        <color indexed="64"/>
      </top>
      <bottom style="hair">
        <color indexed="64"/>
      </bottom>
      <diagonal/>
    </border>
    <border>
      <left style="slantDashDot">
        <color indexed="64"/>
      </left>
      <right/>
      <top style="dotted">
        <color indexed="64"/>
      </top>
      <bottom style="hair">
        <color indexed="64"/>
      </bottom>
      <diagonal/>
    </border>
    <border>
      <left style="medium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slantDashDot">
        <color auto="1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slantDashDot">
        <color indexed="64"/>
      </top>
      <bottom/>
      <diagonal/>
    </border>
    <border>
      <left style="mediumDashed">
        <color indexed="64"/>
      </left>
      <right/>
      <top style="slantDashDot">
        <color indexed="64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slantDashDot">
        <color auto="1"/>
      </left>
      <right style="thick">
        <color auto="1"/>
      </right>
      <top/>
      <bottom style="slantDashDot">
        <color auto="1"/>
      </bottom>
      <diagonal/>
    </border>
    <border>
      <left style="thick">
        <color indexed="64"/>
      </left>
      <right style="dotted">
        <color indexed="64"/>
      </right>
      <top/>
      <bottom style="slantDashDot">
        <color auto="1"/>
      </bottom>
      <diagonal/>
    </border>
    <border>
      <left/>
      <right style="medium">
        <color auto="1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dashDot">
        <color indexed="64"/>
      </bottom>
      <diagonal/>
    </border>
    <border>
      <left style="dotted">
        <color auto="1"/>
      </left>
      <right/>
      <top style="dashDot">
        <color indexed="64"/>
      </top>
      <bottom style="dashDot">
        <color indexed="64"/>
      </bottom>
      <diagonal/>
    </border>
    <border>
      <left style="slantDashDot">
        <color indexed="64"/>
      </left>
      <right/>
      <top style="dotted">
        <color indexed="64"/>
      </top>
      <bottom style="slantDashDot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slantDashDot">
        <color indexed="64"/>
      </bottom>
      <diagonal/>
    </border>
    <border>
      <left style="medium">
        <color auto="1"/>
      </left>
      <right/>
      <top style="dotted">
        <color indexed="64"/>
      </top>
      <bottom style="slantDashDot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slantDashDot">
        <color indexed="64"/>
      </top>
      <bottom style="dotted">
        <color indexed="64"/>
      </bottom>
      <diagonal/>
    </border>
    <border>
      <left style="dotted">
        <color indexed="64"/>
      </left>
      <right/>
      <top style="slantDashDot">
        <color indexed="64"/>
      </top>
      <bottom style="dotted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 style="dotted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dotted">
        <color auto="1"/>
      </top>
      <bottom style="dashDotDot">
        <color auto="1"/>
      </bottom>
      <diagonal/>
    </border>
    <border>
      <left/>
      <right style="thick">
        <color indexed="64"/>
      </right>
      <top style="dashDotDot">
        <color auto="1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20" applyNumberFormat="0" applyFill="0" applyAlignment="0" applyProtection="0"/>
    <xf numFmtId="0" fontId="12" fillId="0" borderId="121" applyNumberFormat="0" applyFill="0" applyAlignment="0" applyProtection="0"/>
    <xf numFmtId="0" fontId="13" fillId="0" borderId="122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23" applyNumberFormat="0" applyAlignment="0" applyProtection="0"/>
    <xf numFmtId="0" fontId="18" fillId="8" borderId="124" applyNumberFormat="0" applyAlignment="0" applyProtection="0"/>
    <xf numFmtId="0" fontId="19" fillId="8" borderId="123" applyNumberFormat="0" applyAlignment="0" applyProtection="0"/>
    <xf numFmtId="0" fontId="20" fillId="0" borderId="125" applyNumberFormat="0" applyFill="0" applyAlignment="0" applyProtection="0"/>
    <xf numFmtId="0" fontId="21" fillId="9" borderId="126" applyNumberFormat="0" applyAlignment="0" applyProtection="0"/>
    <xf numFmtId="0" fontId="9" fillId="10" borderId="127" applyNumberFormat="0" applyFont="0" applyAlignment="0" applyProtection="0"/>
    <xf numFmtId="0" fontId="22" fillId="0" borderId="128" applyNumberFormat="0" applyFill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3" fillId="34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1050">
    <xf numFmtId="0" fontId="0" fillId="0" borderId="0" xfId="0"/>
    <xf numFmtId="0" fontId="3" fillId="0" borderId="0" xfId="0" applyFont="1"/>
    <xf numFmtId="1" fontId="4" fillId="0" borderId="0" xfId="0" applyNumberFormat="1" applyFont="1" applyAlignment="1">
      <alignment horizontal="center"/>
    </xf>
    <xf numFmtId="1" fontId="5" fillId="3" borderId="0" xfId="0" applyNumberFormat="1" applyFont="1" applyFill="1"/>
    <xf numFmtId="0" fontId="5" fillId="0" borderId="0" xfId="0" applyFont="1"/>
    <xf numFmtId="1" fontId="3" fillId="0" borderId="0" xfId="0" applyNumberFormat="1" applyFont="1"/>
    <xf numFmtId="0" fontId="7" fillId="0" borderId="0" xfId="0" applyFont="1"/>
    <xf numFmtId="1" fontId="8" fillId="0" borderId="0" xfId="0" applyNumberFormat="1" applyFont="1"/>
    <xf numFmtId="1" fontId="24" fillId="0" borderId="0" xfId="0" applyNumberFormat="1" applyFont="1"/>
    <xf numFmtId="0" fontId="25" fillId="0" borderId="0" xfId="0" applyFont="1"/>
    <xf numFmtId="0" fontId="0" fillId="0" borderId="0" xfId="0"/>
    <xf numFmtId="1" fontId="0" fillId="0" borderId="0" xfId="0" applyNumberFormat="1"/>
    <xf numFmtId="0" fontId="28" fillId="0" borderId="0" xfId="0" applyFont="1"/>
    <xf numFmtId="0" fontId="27" fillId="0" borderId="0" xfId="0" applyFont="1" applyAlignment="1">
      <alignment horizontal="center"/>
    </xf>
    <xf numFmtId="0" fontId="27" fillId="36" borderId="0" xfId="0" applyFont="1" applyFill="1" applyAlignment="1">
      <alignment horizontal="center"/>
    </xf>
    <xf numFmtId="1" fontId="27" fillId="0" borderId="0" xfId="0" applyNumberFormat="1" applyFont="1"/>
    <xf numFmtId="1" fontId="27" fillId="35" borderId="0" xfId="0" applyNumberFormat="1" applyFont="1" applyFill="1"/>
    <xf numFmtId="1" fontId="27" fillId="36" borderId="0" xfId="0" applyNumberFormat="1" applyFont="1" applyFill="1"/>
    <xf numFmtId="0" fontId="27" fillId="0" borderId="0" xfId="0" applyFont="1"/>
    <xf numFmtId="1" fontId="28" fillId="0" borderId="0" xfId="0" applyNumberFormat="1" applyFont="1"/>
    <xf numFmtId="0" fontId="28" fillId="0" borderId="0" xfId="0" applyFont="1" applyFill="1"/>
    <xf numFmtId="0" fontId="29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2" fillId="0" borderId="0" xfId="0" applyFont="1" applyAlignment="1" applyProtection="1">
      <alignment horizontal="centerContinuous" vertical="center"/>
      <protection hidden="1"/>
    </xf>
    <xf numFmtId="0" fontId="33" fillId="0" borderId="0" xfId="0" applyFont="1" applyAlignment="1" applyProtection="1">
      <alignment horizontal="centerContinuous" vertical="center"/>
      <protection hidden="1"/>
    </xf>
    <xf numFmtId="0" fontId="34" fillId="0" borderId="0" xfId="0" applyFont="1" applyBorder="1" applyAlignment="1" applyProtection="1">
      <protection hidden="1"/>
    </xf>
    <xf numFmtId="0" fontId="35" fillId="0" borderId="0" xfId="0" applyFont="1" applyFill="1" applyAlignment="1" applyProtection="1">
      <alignment horizontal="center"/>
      <protection hidden="1"/>
    </xf>
    <xf numFmtId="0" fontId="37" fillId="0" borderId="0" xfId="0" applyFont="1" applyProtection="1">
      <protection hidden="1"/>
    </xf>
    <xf numFmtId="0" fontId="38" fillId="0" borderId="0" xfId="0" applyFont="1" applyProtection="1">
      <protection hidden="1"/>
    </xf>
    <xf numFmtId="0" fontId="40" fillId="0" borderId="0" xfId="0" applyFont="1" applyProtection="1">
      <protection hidden="1"/>
    </xf>
    <xf numFmtId="0" fontId="30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30" fillId="0" borderId="0" xfId="0" applyFont="1" applyBorder="1" applyAlignment="1" applyProtection="1">
      <alignment horizontal="right" vertical="center"/>
      <protection hidden="1"/>
    </xf>
    <xf numFmtId="49" fontId="42" fillId="2" borderId="67" xfId="0" applyNumberFormat="1" applyFont="1" applyFill="1" applyBorder="1" applyAlignment="1" applyProtection="1">
      <alignment horizontal="center" vertical="center" shrinkToFit="1"/>
      <protection locked="0" hidden="1"/>
    </xf>
    <xf numFmtId="0" fontId="30" fillId="0" borderId="0" xfId="0" applyFont="1" applyFill="1" applyBorder="1" applyAlignment="1" applyProtection="1">
      <alignment horizontal="right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Protection="1">
      <protection hidden="1"/>
    </xf>
    <xf numFmtId="0" fontId="30" fillId="0" borderId="0" xfId="0" applyFont="1" applyAlignment="1" applyProtection="1">
      <alignment horizontal="right" vertical="center"/>
      <protection hidden="1"/>
    </xf>
    <xf numFmtId="164" fontId="44" fillId="2" borderId="67" xfId="0" applyNumberFormat="1" applyFont="1" applyFill="1" applyBorder="1" applyAlignment="1" applyProtection="1">
      <alignment horizontal="center" vertical="center" shrinkToFit="1"/>
      <protection locked="0" hidden="1"/>
    </xf>
    <xf numFmtId="164" fontId="44" fillId="0" borderId="0" xfId="0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Protection="1">
      <protection hidden="1"/>
    </xf>
    <xf numFmtId="0" fontId="30" fillId="0" borderId="0" xfId="0" applyFont="1" applyAlignment="1" applyProtection="1">
      <alignment horizontal="right" vertical="center" wrapText="1"/>
      <protection hidden="1"/>
    </xf>
    <xf numFmtId="0" fontId="46" fillId="0" borderId="0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0" fontId="44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right" vertical="center"/>
      <protection hidden="1"/>
    </xf>
    <xf numFmtId="0" fontId="44" fillId="0" borderId="0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Protection="1">
      <protection hidden="1"/>
    </xf>
    <xf numFmtId="0" fontId="40" fillId="0" borderId="0" xfId="0" applyFont="1" applyFill="1" applyProtection="1">
      <protection hidden="1"/>
    </xf>
    <xf numFmtId="0" fontId="30" fillId="0" borderId="9" xfId="0" applyFont="1" applyFill="1" applyBorder="1" applyAlignment="1" applyProtection="1">
      <alignment vertical="center"/>
      <protection hidden="1"/>
    </xf>
    <xf numFmtId="0" fontId="30" fillId="0" borderId="9" xfId="0" applyFont="1" applyFill="1" applyBorder="1" applyAlignment="1" applyProtection="1">
      <alignment horizontal="right" vertical="center"/>
      <protection hidden="1"/>
    </xf>
    <xf numFmtId="0" fontId="44" fillId="0" borderId="9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48" fillId="0" borderId="0" xfId="0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right" vertical="center"/>
      <protection hidden="1"/>
    </xf>
    <xf numFmtId="0" fontId="49" fillId="0" borderId="4" xfId="0" applyFont="1" applyFill="1" applyBorder="1" applyAlignment="1" applyProtection="1">
      <alignment vertical="center" wrapText="1"/>
      <protection hidden="1"/>
    </xf>
    <xf numFmtId="0" fontId="50" fillId="0" borderId="0" xfId="0" applyFont="1" applyFill="1" applyAlignment="1" applyProtection="1">
      <alignment horizontal="left" vertical="center"/>
      <protection hidden="1"/>
    </xf>
    <xf numFmtId="0" fontId="51" fillId="0" borderId="0" xfId="0" applyFont="1" applyFill="1" applyBorder="1" applyAlignment="1" applyProtection="1">
      <alignment vertical="center" wrapText="1"/>
      <protection hidden="1"/>
    </xf>
    <xf numFmtId="0" fontId="38" fillId="0" borderId="0" xfId="0" applyFont="1" applyFill="1" applyBorder="1" applyAlignment="1" applyProtection="1">
      <alignment vertical="center" wrapText="1"/>
      <protection hidden="1"/>
    </xf>
    <xf numFmtId="0" fontId="38" fillId="0" borderId="0" xfId="0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Fill="1" applyBorder="1" applyAlignment="1" applyProtection="1">
      <alignment vertical="center" wrapText="1"/>
      <protection hidden="1"/>
    </xf>
    <xf numFmtId="0" fontId="52" fillId="0" borderId="0" xfId="0" applyFont="1" applyFill="1" applyBorder="1" applyAlignment="1" applyProtection="1">
      <alignment vertical="center" wrapText="1"/>
      <protection hidden="1"/>
    </xf>
    <xf numFmtId="49" fontId="54" fillId="0" borderId="0" xfId="2" quotePrefix="1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 applyProtection="1">
      <alignment horizontal="right" vertical="center"/>
      <protection hidden="1"/>
    </xf>
    <xf numFmtId="0" fontId="33" fillId="0" borderId="0" xfId="0" applyFont="1" applyFill="1" applyBorder="1" applyAlignment="1" applyProtection="1">
      <alignment horizontal="right" vertical="center"/>
      <protection hidden="1"/>
    </xf>
    <xf numFmtId="0" fontId="40" fillId="2" borderId="67" xfId="0" applyFont="1" applyFill="1" applyBorder="1" applyAlignment="1" applyProtection="1">
      <alignment horizontal="center" vertical="center"/>
      <protection locked="0" hidden="1"/>
    </xf>
    <xf numFmtId="0" fontId="40" fillId="0" borderId="0" xfId="0" applyFont="1" applyFill="1" applyBorder="1" applyAlignment="1" applyProtection="1">
      <alignment horizontal="left" vertical="center" indent="1"/>
      <protection hidden="1"/>
    </xf>
    <xf numFmtId="0" fontId="38" fillId="0" borderId="0" xfId="0" applyFont="1" applyFill="1" applyBorder="1" applyAlignment="1" applyProtection="1">
      <alignment horizontal="center" wrapText="1"/>
      <protection hidden="1"/>
    </xf>
    <xf numFmtId="0" fontId="55" fillId="0" borderId="0" xfId="0" applyNumberFormat="1" applyFont="1" applyFill="1" applyBorder="1" applyAlignment="1" applyProtection="1">
      <alignment horizontal="center" vertical="center"/>
      <protection locked="0" hidden="1"/>
    </xf>
    <xf numFmtId="0" fontId="50" fillId="0" borderId="0" xfId="0" applyFont="1" applyFill="1" applyAlignment="1" applyProtection="1">
      <alignment horizontal="right"/>
      <protection hidden="1"/>
    </xf>
    <xf numFmtId="0" fontId="37" fillId="0" borderId="0" xfId="0" applyFont="1" applyFill="1" applyBorder="1" applyAlignment="1" applyProtection="1">
      <alignment vertical="top"/>
      <protection hidden="1"/>
    </xf>
    <xf numFmtId="0" fontId="41" fillId="0" borderId="9" xfId="0" applyFont="1" applyFill="1" applyBorder="1" applyAlignment="1" applyProtection="1">
      <alignment vertical="center"/>
    </xf>
    <xf numFmtId="0" fontId="34" fillId="0" borderId="9" xfId="0" applyFont="1" applyFill="1" applyBorder="1" applyAlignment="1" applyProtection="1">
      <alignment horizontal="left" vertical="center"/>
    </xf>
    <xf numFmtId="0" fontId="34" fillId="0" borderId="9" xfId="0" applyFont="1" applyFill="1" applyBorder="1" applyAlignment="1" applyProtection="1">
      <alignment horizontal="center" vertical="center"/>
      <protection locked="0"/>
    </xf>
    <xf numFmtId="0" fontId="56" fillId="0" borderId="9" xfId="0" applyFont="1" applyFill="1" applyBorder="1" applyAlignment="1" applyProtection="1">
      <alignment vertical="center"/>
      <protection hidden="1"/>
    </xf>
    <xf numFmtId="0" fontId="30" fillId="0" borderId="9" xfId="0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vertical="center"/>
    </xf>
    <xf numFmtId="0" fontId="40" fillId="0" borderId="0" xfId="0" applyFont="1" applyFill="1" applyAlignment="1" applyProtection="1">
      <alignment vertical="center"/>
    </xf>
    <xf numFmtId="0" fontId="51" fillId="0" borderId="0" xfId="0" applyFont="1" applyFill="1" applyBorder="1" applyAlignment="1" applyProtection="1">
      <alignment horizontal="left"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 applyProtection="1">
      <alignment vertical="center" wrapText="1"/>
      <protection hidden="1"/>
    </xf>
    <xf numFmtId="0" fontId="38" fillId="0" borderId="0" xfId="0" applyFont="1" applyFill="1" applyBorder="1" applyAlignment="1" applyProtection="1">
      <alignment wrapText="1"/>
      <protection hidden="1"/>
    </xf>
    <xf numFmtId="49" fontId="5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45" fillId="2" borderId="67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 vertical="center"/>
      <protection locked="0" hidden="1"/>
    </xf>
    <xf numFmtId="0" fontId="44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40" fillId="0" borderId="0" xfId="0" applyFont="1" applyFill="1" applyAlignment="1" applyProtection="1">
      <alignment horizontal="left"/>
      <protection hidden="1"/>
    </xf>
    <xf numFmtId="0" fontId="29" fillId="0" borderId="0" xfId="0" applyFont="1" applyFill="1" applyBorder="1" applyAlignment="1" applyProtection="1">
      <alignment horizontal="center"/>
      <protection locked="0" hidden="1"/>
    </xf>
    <xf numFmtId="0" fontId="41" fillId="0" borderId="0" xfId="0" applyFont="1" applyFill="1" applyAlignment="1" applyProtection="1">
      <alignment vertical="center"/>
    </xf>
    <xf numFmtId="0" fontId="34" fillId="0" borderId="0" xfId="0" applyFont="1" applyFill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vertical="center"/>
      <protection hidden="1"/>
    </xf>
    <xf numFmtId="0" fontId="50" fillId="0" borderId="4" xfId="0" applyFont="1" applyBorder="1" applyAlignment="1" applyProtection="1">
      <alignment horizontal="right" vertical="center"/>
      <protection hidden="1"/>
    </xf>
    <xf numFmtId="0" fontId="30" fillId="0" borderId="4" xfId="0" applyFont="1" applyBorder="1" applyAlignment="1" applyProtection="1">
      <alignment vertical="center"/>
      <protection hidden="1"/>
    </xf>
    <xf numFmtId="0" fontId="41" fillId="0" borderId="0" xfId="0" applyFont="1" applyAlignment="1" applyProtection="1">
      <alignment horizontal="right"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164" fontId="44" fillId="2" borderId="67" xfId="0" applyNumberFormat="1" applyFont="1" applyFill="1" applyBorder="1" applyAlignment="1" applyProtection="1">
      <alignment horizontal="center" vertical="center" shrinkToFit="1"/>
      <protection locked="0"/>
    </xf>
    <xf numFmtId="164" fontId="44" fillId="0" borderId="0" xfId="0" applyNumberFormat="1" applyFont="1" applyFill="1" applyBorder="1" applyAlignment="1" applyProtection="1">
      <alignment vertical="center" shrinkToFit="1"/>
      <protection locked="0"/>
    </xf>
    <xf numFmtId="0" fontId="35" fillId="0" borderId="0" xfId="0" applyFont="1" applyProtection="1">
      <protection hidden="1"/>
    </xf>
    <xf numFmtId="0" fontId="30" fillId="0" borderId="0" xfId="0" applyFont="1" applyProtection="1"/>
    <xf numFmtId="0" fontId="34" fillId="0" borderId="0" xfId="0" applyFont="1" applyAlignment="1" applyProtection="1">
      <alignment vertical="center" wrapText="1"/>
      <protection hidden="1"/>
    </xf>
    <xf numFmtId="0" fontId="30" fillId="0" borderId="0" xfId="0" applyFont="1"/>
    <xf numFmtId="0" fontId="59" fillId="0" borderId="0" xfId="0" applyFont="1" applyFill="1" applyBorder="1" applyAlignment="1" applyProtection="1">
      <alignment horizontal="left" vertical="center"/>
      <protection hidden="1"/>
    </xf>
    <xf numFmtId="0" fontId="29" fillId="0" borderId="0" xfId="0" applyFont="1"/>
    <xf numFmtId="0" fontId="37" fillId="0" borderId="0" xfId="0" applyFont="1" applyFill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horizontal="right" vertical="center"/>
      <protection hidden="1"/>
    </xf>
    <xf numFmtId="0" fontId="58" fillId="0" borderId="0" xfId="0" applyFont="1" applyFill="1" applyBorder="1" applyAlignment="1" applyProtection="1">
      <alignment horizontal="right" vertical="center"/>
      <protection hidden="1"/>
    </xf>
    <xf numFmtId="0" fontId="58" fillId="0" borderId="0" xfId="0" applyFont="1" applyFill="1" applyBorder="1" applyAlignment="1" applyProtection="1">
      <alignment horizontal="left" vertical="center"/>
      <protection hidden="1"/>
    </xf>
    <xf numFmtId="0" fontId="63" fillId="2" borderId="67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64" fillId="0" borderId="0" xfId="0" applyFont="1" applyFill="1" applyBorder="1" applyAlignment="1" applyProtection="1">
      <alignment horizontal="center" vertical="center"/>
      <protection hidden="1"/>
    </xf>
    <xf numFmtId="0" fontId="60" fillId="0" borderId="0" xfId="0" applyFont="1" applyFill="1" applyBorder="1" applyAlignment="1" applyProtection="1">
      <alignment horizontal="left"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horizontal="left" vertical="center" wrapText="1" indent="3"/>
      <protection hidden="1"/>
    </xf>
    <xf numFmtId="0" fontId="35" fillId="0" borderId="0" xfId="0" applyFont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50" fillId="0" borderId="0" xfId="0" applyFont="1" applyFill="1" applyBorder="1" applyAlignment="1" applyProtection="1">
      <alignment vertical="center"/>
      <protection hidden="1"/>
    </xf>
    <xf numFmtId="3" fontId="38" fillId="0" borderId="216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17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54" xfId="0" applyFont="1" applyFill="1" applyBorder="1" applyAlignment="1" applyProtection="1">
      <alignment horizontal="left" vertical="center" indent="3"/>
      <protection hidden="1"/>
    </xf>
    <xf numFmtId="3" fontId="38" fillId="0" borderId="218" xfId="0" applyNumberFormat="1" applyFont="1" applyFill="1" applyBorder="1" applyAlignment="1" applyProtection="1">
      <alignment horizontal="left" vertical="center" indent="3" shrinkToFit="1"/>
      <protection hidden="1"/>
    </xf>
    <xf numFmtId="3" fontId="38" fillId="2" borderId="49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114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0" xfId="0" applyFont="1" applyBorder="1" applyAlignment="1" applyProtection="1">
      <alignment horizontal="left" vertical="center"/>
      <protection hidden="1"/>
    </xf>
    <xf numFmtId="0" fontId="30" fillId="0" borderId="101" xfId="0" applyFont="1" applyFill="1" applyBorder="1" applyAlignment="1" applyProtection="1">
      <alignment horizontal="left" vertical="center" indent="3"/>
      <protection hidden="1"/>
    </xf>
    <xf numFmtId="3" fontId="38" fillId="0" borderId="219" xfId="0" applyNumberFormat="1" applyFont="1" applyFill="1" applyBorder="1" applyAlignment="1" applyProtection="1">
      <alignment horizontal="left" vertical="center" indent="3" shrinkToFit="1"/>
      <protection hidden="1"/>
    </xf>
    <xf numFmtId="3" fontId="38" fillId="2" borderId="220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221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24" xfId="0" applyFont="1" applyFill="1" applyBorder="1" applyAlignment="1" applyProtection="1">
      <alignment vertical="center"/>
      <protection hidden="1"/>
    </xf>
    <xf numFmtId="0" fontId="50" fillId="0" borderId="268" xfId="0" applyFont="1" applyFill="1" applyBorder="1" applyAlignment="1" applyProtection="1">
      <alignment vertical="center"/>
      <protection hidden="1"/>
    </xf>
    <xf numFmtId="3" fontId="38" fillId="2" borderId="269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270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222" xfId="0" applyFont="1" applyFill="1" applyBorder="1" applyAlignment="1" applyProtection="1">
      <alignment vertical="center"/>
      <protection hidden="1"/>
    </xf>
    <xf numFmtId="3" fontId="38" fillId="0" borderId="223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24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225" xfId="0" applyFont="1" applyFill="1" applyBorder="1" applyAlignment="1" applyProtection="1">
      <alignment horizontal="left" vertical="center" indent="3"/>
      <protection hidden="1"/>
    </xf>
    <xf numFmtId="3" fontId="38" fillId="0" borderId="226" xfId="0" applyNumberFormat="1" applyFont="1" applyFill="1" applyBorder="1" applyAlignment="1" applyProtection="1">
      <alignment horizontal="left" vertical="center" indent="3" shrinkToFit="1"/>
      <protection hidden="1"/>
    </xf>
    <xf numFmtId="3" fontId="38" fillId="2" borderId="227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228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0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Alignment="1" applyProtection="1">
      <alignment vertical="center"/>
      <protection hidden="1"/>
    </xf>
    <xf numFmtId="0" fontId="50" fillId="0" borderId="0" xfId="0" applyFont="1" applyFill="1" applyBorder="1" applyAlignment="1" applyProtection="1">
      <alignment horizontal="right" vertical="center"/>
      <protection hidden="1"/>
    </xf>
    <xf numFmtId="0" fontId="30" fillId="0" borderId="229" xfId="0" applyFont="1" applyFill="1" applyBorder="1" applyAlignment="1" applyProtection="1">
      <alignment horizontal="left" vertical="center" indent="3"/>
      <protection hidden="1"/>
    </xf>
    <xf numFmtId="3" fontId="38" fillId="0" borderId="230" xfId="0" applyNumberFormat="1" applyFont="1" applyFill="1" applyBorder="1" applyAlignment="1" applyProtection="1">
      <alignment horizontal="left" vertical="center" indent="3" shrinkToFit="1"/>
      <protection hidden="1"/>
    </xf>
    <xf numFmtId="3" fontId="38" fillId="2" borderId="231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23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58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 applyProtection="1">
      <alignment vertical="center"/>
      <protection hidden="1"/>
    </xf>
    <xf numFmtId="0" fontId="58" fillId="0" borderId="0" xfId="0" applyFont="1" applyFill="1" applyBorder="1" applyAlignment="1" applyProtection="1">
      <alignment horizontal="right" vertical="center" wrapText="1" indent="3"/>
      <protection hidden="1"/>
    </xf>
    <xf numFmtId="0" fontId="29" fillId="0" borderId="0" xfId="0" applyFont="1" applyFill="1" applyBorder="1" applyAlignment="1" applyProtection="1">
      <alignment horizontal="right" vertical="center"/>
      <protection hidden="1"/>
    </xf>
    <xf numFmtId="0" fontId="58" fillId="0" borderId="0" xfId="0" applyFont="1" applyFill="1" applyBorder="1" applyAlignment="1" applyProtection="1">
      <alignment vertical="center"/>
      <protection hidden="1"/>
    </xf>
    <xf numFmtId="0" fontId="45" fillId="0" borderId="0" xfId="0" applyFont="1" applyFill="1" applyBorder="1" applyAlignment="1" applyProtection="1">
      <alignment horizontal="left" vertical="center" indent="8"/>
      <protection hidden="1"/>
    </xf>
    <xf numFmtId="0" fontId="60" fillId="0" borderId="0" xfId="0" applyFont="1" applyFill="1" applyBorder="1" applyAlignment="1" applyProtection="1">
      <alignment horizontal="left" vertical="center" indent="8"/>
      <protection hidden="1"/>
    </xf>
    <xf numFmtId="0" fontId="58" fillId="0" borderId="0" xfId="0" applyFont="1" applyFill="1" applyBorder="1" applyAlignment="1" applyProtection="1">
      <alignment horizontal="right" vertical="top" wrapText="1"/>
      <protection hidden="1"/>
    </xf>
    <xf numFmtId="0" fontId="45" fillId="0" borderId="104" xfId="0" applyFont="1" applyFill="1" applyBorder="1" applyAlignment="1" applyProtection="1">
      <alignment vertical="center"/>
      <protection hidden="1"/>
    </xf>
    <xf numFmtId="3" fontId="38" fillId="0" borderId="211" xfId="0" applyNumberFormat="1" applyFont="1" applyFill="1" applyBorder="1" applyAlignment="1" applyProtection="1">
      <alignment horizontal="center" vertical="center"/>
      <protection hidden="1"/>
    </xf>
    <xf numFmtId="3" fontId="38" fillId="0" borderId="104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38" fillId="0" borderId="54" xfId="0" applyFont="1" applyFill="1" applyBorder="1" applyAlignment="1" applyProtection="1">
      <alignment horizontal="left" vertical="center" indent="3"/>
      <protection hidden="1"/>
    </xf>
    <xf numFmtId="3" fontId="38" fillId="2" borderId="51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0" xfId="0" applyFont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vertical="center" wrapText="1"/>
      <protection hidden="1"/>
    </xf>
    <xf numFmtId="0" fontId="37" fillId="0" borderId="0" xfId="0" applyFont="1" applyFill="1" applyBorder="1" applyAlignment="1" applyProtection="1">
      <alignment horizontal="left" vertical="center" indent="3"/>
      <protection hidden="1"/>
    </xf>
    <xf numFmtId="3" fontId="38" fillId="0" borderId="46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0" xfId="0" applyFont="1" applyFill="1" applyBorder="1" applyAlignment="1" applyProtection="1">
      <alignment horizontal="left" vertical="center"/>
      <protection hidden="1"/>
    </xf>
    <xf numFmtId="0" fontId="63" fillId="0" borderId="0" xfId="0" applyFont="1" applyFill="1" applyBorder="1" applyAlignment="1" applyProtection="1">
      <alignment vertical="center"/>
      <protection hidden="1"/>
    </xf>
    <xf numFmtId="0" fontId="44" fillId="2" borderId="65" xfId="0" applyFont="1" applyFill="1" applyBorder="1" applyAlignment="1" applyProtection="1">
      <alignment horizontal="left" vertical="center" wrapText="1" indent="3"/>
      <protection locked="0"/>
    </xf>
    <xf numFmtId="3" fontId="38" fillId="2" borderId="75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0" xfId="0" applyFont="1" applyFill="1" applyBorder="1" applyAlignment="1" applyProtection="1">
      <alignment horizontal="right" vertical="center"/>
      <protection hidden="1"/>
    </xf>
    <xf numFmtId="0" fontId="45" fillId="0" borderId="65" xfId="0" applyFont="1" applyFill="1" applyBorder="1" applyAlignment="1" applyProtection="1">
      <alignment horizontal="left" vertical="center"/>
      <protection hidden="1"/>
    </xf>
    <xf numFmtId="0" fontId="38" fillId="2" borderId="64" xfId="0" applyFont="1" applyFill="1" applyBorder="1" applyAlignment="1" applyProtection="1">
      <alignment horizontal="center" vertical="center" shrinkToFit="1"/>
      <protection locked="0"/>
    </xf>
    <xf numFmtId="0" fontId="60" fillId="0" borderId="0" xfId="0" applyFont="1" applyBorder="1" applyAlignment="1" applyProtection="1">
      <alignment vertical="center"/>
      <protection hidden="1"/>
    </xf>
    <xf numFmtId="0" fontId="68" fillId="0" borderId="0" xfId="0" applyFont="1" applyFill="1" applyBorder="1" applyAlignment="1" applyProtection="1">
      <alignment horizontal="left" vertical="center"/>
      <protection hidden="1"/>
    </xf>
    <xf numFmtId="0" fontId="69" fillId="0" borderId="7" xfId="0" applyFont="1" applyBorder="1" applyAlignment="1" applyProtection="1">
      <alignment vertical="center"/>
      <protection hidden="1"/>
    </xf>
    <xf numFmtId="0" fontId="40" fillId="0" borderId="10" xfId="0" applyFont="1" applyBorder="1" applyAlignment="1" applyProtection="1">
      <alignment horizontal="center" vertical="center" shrinkToFit="1"/>
      <protection hidden="1"/>
    </xf>
    <xf numFmtId="0" fontId="40" fillId="0" borderId="118" xfId="0" applyFont="1" applyBorder="1" applyAlignment="1" applyProtection="1">
      <alignment horizontal="center" vertical="center" shrinkToFit="1"/>
      <protection hidden="1"/>
    </xf>
    <xf numFmtId="0" fontId="40" fillId="0" borderId="36" xfId="0" applyFont="1" applyBorder="1" applyAlignment="1" applyProtection="1">
      <alignment horizontal="center" vertical="center" shrinkToFit="1"/>
      <protection hidden="1"/>
    </xf>
    <xf numFmtId="0" fontId="40" fillId="0" borderId="112" xfId="0" applyFont="1" applyBorder="1" applyAlignment="1" applyProtection="1">
      <alignment horizontal="center" vertical="center" shrinkToFit="1"/>
      <protection hidden="1"/>
    </xf>
    <xf numFmtId="0" fontId="40" fillId="2" borderId="75" xfId="0" applyFont="1" applyFill="1" applyBorder="1" applyAlignment="1" applyProtection="1">
      <alignment horizontal="center" vertical="center" shrinkToFit="1"/>
      <protection locked="0"/>
    </xf>
    <xf numFmtId="0" fontId="40" fillId="2" borderId="119" xfId="0" applyFont="1" applyFill="1" applyBorder="1" applyAlignment="1" applyProtection="1">
      <alignment horizontal="center" vertical="center" shrinkToFit="1"/>
      <protection locked="0"/>
    </xf>
    <xf numFmtId="0" fontId="40" fillId="2" borderId="69" xfId="0" applyFont="1" applyFill="1" applyBorder="1" applyAlignment="1" applyProtection="1">
      <alignment horizontal="center" vertical="center" shrinkToFit="1"/>
      <protection locked="0"/>
    </xf>
    <xf numFmtId="0" fontId="40" fillId="2" borderId="64" xfId="0" applyFont="1" applyFill="1" applyBorder="1" applyAlignment="1" applyProtection="1">
      <alignment horizontal="center" vertical="center" shrinkToFit="1"/>
      <protection locked="0"/>
    </xf>
    <xf numFmtId="0" fontId="40" fillId="2" borderId="13" xfId="0" applyFont="1" applyFill="1" applyBorder="1" applyAlignment="1" applyProtection="1">
      <alignment horizontal="center" vertical="center" shrinkToFit="1"/>
      <protection locked="0"/>
    </xf>
    <xf numFmtId="0" fontId="40" fillId="2" borderId="117" xfId="0" applyFont="1" applyFill="1" applyBorder="1" applyAlignment="1" applyProtection="1">
      <alignment horizontal="center" vertical="center" shrinkToFit="1"/>
      <protection locked="0"/>
    </xf>
    <xf numFmtId="0" fontId="40" fillId="2" borderId="35" xfId="0" applyFont="1" applyFill="1" applyBorder="1" applyAlignment="1" applyProtection="1">
      <alignment horizontal="center" vertical="center" shrinkToFit="1"/>
      <protection locked="0"/>
    </xf>
    <xf numFmtId="0" fontId="40" fillId="2" borderId="113" xfId="0" applyFont="1" applyFill="1" applyBorder="1" applyAlignment="1" applyProtection="1">
      <alignment horizontal="center" vertical="center" shrinkToFit="1"/>
      <protection locked="0"/>
    </xf>
    <xf numFmtId="0" fontId="45" fillId="0" borderId="39" xfId="0" applyFont="1" applyFill="1" applyBorder="1" applyAlignment="1" applyProtection="1">
      <alignment horizontal="left" vertical="center"/>
      <protection hidden="1"/>
    </xf>
    <xf numFmtId="3" fontId="38" fillId="2" borderId="85" xfId="0" applyNumberFormat="1" applyFont="1" applyFill="1" applyBorder="1" applyAlignment="1" applyProtection="1">
      <alignment horizontal="center" vertical="center" shrinkToFit="1"/>
      <protection locked="0"/>
    </xf>
    <xf numFmtId="0" fontId="38" fillId="2" borderId="38" xfId="0" applyFont="1" applyFill="1" applyBorder="1" applyAlignment="1" applyProtection="1">
      <alignment horizontal="center" vertical="center" shrinkToFit="1"/>
      <protection locked="0"/>
    </xf>
    <xf numFmtId="0" fontId="45" fillId="0" borderId="0" xfId="0" applyFont="1" applyFill="1" applyBorder="1" applyAlignment="1" applyProtection="1">
      <alignment vertical="center"/>
      <protection hidden="1"/>
    </xf>
    <xf numFmtId="0" fontId="46" fillId="0" borderId="0" xfId="0" applyFont="1" applyFill="1" applyBorder="1" applyAlignment="1" applyProtection="1">
      <alignment vertical="center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45" fillId="0" borderId="155" xfId="0" applyFont="1" applyFill="1" applyBorder="1" applyAlignment="1" applyProtection="1">
      <alignment horizontal="left" vertical="center"/>
      <protection hidden="1"/>
    </xf>
    <xf numFmtId="3" fontId="38" fillId="2" borderId="156" xfId="0" applyNumberFormat="1" applyFont="1" applyFill="1" applyBorder="1" applyAlignment="1" applyProtection="1">
      <alignment horizontal="center" vertical="center" shrinkToFit="1"/>
      <protection locked="0"/>
    </xf>
    <xf numFmtId="0" fontId="38" fillId="2" borderId="161" xfId="0" applyFont="1" applyFill="1" applyBorder="1" applyAlignment="1" applyProtection="1">
      <alignment horizontal="center" vertical="center" shrinkToFit="1"/>
      <protection locked="0"/>
    </xf>
    <xf numFmtId="0" fontId="50" fillId="0" borderId="0" xfId="0" applyFont="1" applyBorder="1" applyAlignment="1" applyProtection="1">
      <alignment vertical="center"/>
      <protection hidden="1"/>
    </xf>
    <xf numFmtId="0" fontId="30" fillId="0" borderId="44" xfId="0" applyFont="1" applyBorder="1" applyAlignment="1" applyProtection="1">
      <alignment vertical="center"/>
      <protection hidden="1"/>
    </xf>
    <xf numFmtId="3" fontId="3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0" fillId="2" borderId="67" xfId="0" applyFont="1" applyFill="1" applyBorder="1" applyAlignment="1" applyProtection="1">
      <alignment horizontal="center" vertical="center"/>
      <protection locked="0"/>
    </xf>
    <xf numFmtId="0" fontId="30" fillId="0" borderId="41" xfId="0" applyFont="1" applyFill="1" applyBorder="1" applyAlignment="1" applyProtection="1">
      <alignment vertical="top" wrapText="1"/>
      <protection hidden="1"/>
    </xf>
    <xf numFmtId="0" fontId="50" fillId="0" borderId="0" xfId="0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0" fontId="37" fillId="0" borderId="0" xfId="0" applyFont="1" applyFill="1" applyBorder="1" applyAlignment="1" applyProtection="1">
      <alignment horizontal="left" vertical="center" wrapText="1"/>
      <protection hidden="1"/>
    </xf>
    <xf numFmtId="0" fontId="40" fillId="0" borderId="0" xfId="0" applyFont="1" applyFill="1" applyBorder="1" applyAlignment="1" applyProtection="1">
      <alignment horizontal="left" vertical="top" shrinkToFit="1"/>
      <protection locked="0"/>
    </xf>
    <xf numFmtId="0" fontId="59" fillId="0" borderId="0" xfId="0" applyFont="1" applyFill="1" applyBorder="1" applyAlignment="1" applyProtection="1">
      <alignment horizontal="left" vertical="center" indent="5"/>
      <protection hidden="1"/>
    </xf>
    <xf numFmtId="0" fontId="29" fillId="0" borderId="7" xfId="0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vertical="center"/>
      <protection hidden="1"/>
    </xf>
    <xf numFmtId="0" fontId="29" fillId="0" borderId="30" xfId="0" applyFont="1" applyFill="1" applyBorder="1" applyAlignment="1" applyProtection="1">
      <alignment horizontal="center" vertical="center" wrapText="1"/>
      <protection hidden="1"/>
    </xf>
    <xf numFmtId="0" fontId="71" fillId="0" borderId="22" xfId="0" applyFont="1" applyFill="1" applyBorder="1" applyAlignment="1" applyProtection="1">
      <alignment horizontal="left" vertical="center" wrapText="1"/>
      <protection hidden="1"/>
    </xf>
    <xf numFmtId="3" fontId="38" fillId="0" borderId="57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73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73" xfId="0" applyNumberFormat="1" applyFont="1" applyFill="1" applyBorder="1" applyAlignment="1" applyProtection="1">
      <alignment horizontal="center" vertical="center"/>
      <protection hidden="1"/>
    </xf>
    <xf numFmtId="3" fontId="40" fillId="0" borderId="26" xfId="0" applyNumberFormat="1" applyFont="1" applyFill="1" applyBorder="1" applyAlignment="1" applyProtection="1">
      <alignment horizontal="center" vertical="center"/>
      <protection hidden="1"/>
    </xf>
    <xf numFmtId="0" fontId="69" fillId="0" borderId="47" xfId="0" applyFont="1" applyFill="1" applyBorder="1" applyAlignment="1" applyProtection="1">
      <alignment vertical="center" wrapText="1"/>
      <protection hidden="1"/>
    </xf>
    <xf numFmtId="0" fontId="67" fillId="0" borderId="47" xfId="0" applyFont="1" applyFill="1" applyBorder="1" applyAlignment="1" applyProtection="1">
      <alignment vertical="center" wrapText="1"/>
      <protection hidden="1"/>
    </xf>
    <xf numFmtId="3" fontId="38" fillId="0" borderId="58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108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108" xfId="0" applyNumberFormat="1" applyFont="1" applyFill="1" applyBorder="1" applyAlignment="1" applyProtection="1">
      <alignment horizontal="center" vertical="center"/>
      <protection hidden="1"/>
    </xf>
    <xf numFmtId="3" fontId="38" fillId="0" borderId="171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60" xfId="0" applyNumberFormat="1" applyFont="1" applyFill="1" applyBorder="1" applyAlignment="1" applyProtection="1">
      <alignment horizontal="center" vertical="center"/>
      <protection hidden="1"/>
    </xf>
    <xf numFmtId="0" fontId="30" fillId="0" borderId="48" xfId="0" applyFont="1" applyFill="1" applyBorder="1" applyAlignment="1" applyProtection="1">
      <alignment horizontal="left" vertical="center" wrapText="1" indent="2"/>
      <protection hidden="1"/>
    </xf>
    <xf numFmtId="0" fontId="72" fillId="0" borderId="54" xfId="0" applyFont="1" applyFill="1" applyBorder="1" applyAlignment="1" applyProtection="1">
      <alignment horizontal="left" vertical="center" wrapText="1" indent="1"/>
      <protection hidden="1"/>
    </xf>
    <xf numFmtId="3" fontId="38" fillId="0" borderId="51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94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94" xfId="0" applyNumberFormat="1" applyFont="1" applyFill="1" applyBorder="1" applyAlignment="1" applyProtection="1">
      <alignment horizontal="center" vertical="center"/>
      <protection locked="0"/>
    </xf>
    <xf numFmtId="3" fontId="40" fillId="2" borderId="48" xfId="0" applyNumberFormat="1" applyFont="1" applyFill="1" applyBorder="1" applyAlignment="1" applyProtection="1">
      <alignment horizontal="center" vertical="center"/>
      <protection locked="0"/>
    </xf>
    <xf numFmtId="3" fontId="40" fillId="2" borderId="94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9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48" xfId="0" applyFont="1" applyFill="1" applyBorder="1" applyAlignment="1" applyProtection="1">
      <alignment horizontal="left" vertical="center" indent="2"/>
      <protection hidden="1"/>
    </xf>
    <xf numFmtId="3" fontId="38" fillId="2" borderId="94" xfId="0" applyNumberFormat="1" applyFont="1" applyFill="1" applyBorder="1" applyAlignment="1" applyProtection="1">
      <alignment horizontal="center" wrapText="1"/>
      <protection locked="0"/>
    </xf>
    <xf numFmtId="3" fontId="38" fillId="2" borderId="48" xfId="0" applyNumberFormat="1" applyFont="1" applyFill="1" applyBorder="1" applyAlignment="1" applyProtection="1">
      <alignment horizontal="center" wrapText="1"/>
      <protection locked="0"/>
    </xf>
    <xf numFmtId="0" fontId="37" fillId="0" borderId="48" xfId="0" applyFont="1" applyFill="1" applyBorder="1" applyAlignment="1" applyProtection="1">
      <alignment horizontal="left" vertical="center" indent="2"/>
      <protection hidden="1"/>
    </xf>
    <xf numFmtId="0" fontId="30" fillId="0" borderId="50" xfId="0" applyFont="1" applyFill="1" applyBorder="1" applyAlignment="1" applyProtection="1">
      <alignment horizontal="left" vertical="center" wrapText="1" indent="2"/>
      <protection hidden="1"/>
    </xf>
    <xf numFmtId="0" fontId="72" fillId="0" borderId="202" xfId="0" applyFont="1" applyFill="1" applyBorder="1" applyAlignment="1" applyProtection="1">
      <alignment horizontal="left" vertical="center" wrapText="1" indent="1"/>
      <protection hidden="1"/>
    </xf>
    <xf numFmtId="3" fontId="38" fillId="0" borderId="59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163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163" xfId="0" applyNumberFormat="1" applyFont="1" applyFill="1" applyBorder="1" applyAlignment="1" applyProtection="1">
      <alignment horizontal="center" vertical="center"/>
      <protection locked="0"/>
    </xf>
    <xf numFmtId="3" fontId="40" fillId="2" borderId="50" xfId="0" applyNumberFormat="1" applyFont="1" applyFill="1" applyBorder="1" applyAlignment="1" applyProtection="1">
      <alignment horizontal="center" vertical="center"/>
      <protection locked="0"/>
    </xf>
    <xf numFmtId="0" fontId="69" fillId="0" borderId="60" xfId="0" applyFont="1" applyFill="1" applyBorder="1" applyAlignment="1" applyProtection="1">
      <alignment vertical="center" wrapText="1"/>
      <protection hidden="1"/>
    </xf>
    <xf numFmtId="0" fontId="67" fillId="0" borderId="60" xfId="0" applyFont="1" applyFill="1" applyBorder="1" applyAlignment="1" applyProtection="1">
      <alignment vertical="center" wrapText="1"/>
      <protection hidden="1"/>
    </xf>
    <xf numFmtId="3" fontId="38" fillId="0" borderId="61" xfId="0" applyNumberFormat="1" applyFont="1" applyFill="1" applyBorder="1" applyAlignment="1" applyProtection="1">
      <alignment horizontal="center" vertical="center" shrinkToFit="1"/>
      <protection hidden="1"/>
    </xf>
    <xf numFmtId="0" fontId="37" fillId="0" borderId="48" xfId="0" applyFont="1" applyFill="1" applyBorder="1" applyAlignment="1" applyProtection="1">
      <alignment horizontal="left" vertical="center" wrapText="1" indent="2"/>
      <protection hidden="1"/>
    </xf>
    <xf numFmtId="0" fontId="30" fillId="0" borderId="62" xfId="0" applyFont="1" applyFill="1" applyBorder="1" applyAlignment="1" applyProtection="1">
      <alignment horizontal="left" vertical="center" wrapText="1" indent="2"/>
      <protection hidden="1"/>
    </xf>
    <xf numFmtId="0" fontId="72" fillId="0" borderId="62" xfId="0" applyFont="1" applyFill="1" applyBorder="1" applyAlignment="1" applyProtection="1">
      <alignment horizontal="left" vertical="center" wrapText="1" indent="2"/>
      <protection hidden="1"/>
    </xf>
    <xf numFmtId="3" fontId="38" fillId="0" borderId="63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110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110" xfId="0" applyNumberFormat="1" applyFont="1" applyFill="1" applyBorder="1" applyAlignment="1" applyProtection="1">
      <alignment horizontal="center" vertical="center"/>
      <protection locked="0"/>
    </xf>
    <xf numFmtId="3" fontId="40" fillId="2" borderId="62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left" vertical="center"/>
      <protection hidden="1"/>
    </xf>
    <xf numFmtId="0" fontId="73" fillId="0" borderId="0" xfId="0" applyFont="1" applyFill="1" applyAlignment="1" applyProtection="1">
      <alignment horizontal="center" vertical="center"/>
      <protection hidden="1"/>
    </xf>
    <xf numFmtId="0" fontId="74" fillId="0" borderId="7" xfId="0" applyFont="1" applyFill="1" applyBorder="1" applyAlignment="1" applyProtection="1">
      <alignment vertical="center" wrapText="1"/>
      <protection hidden="1"/>
    </xf>
    <xf numFmtId="0" fontId="37" fillId="0" borderId="0" xfId="0" applyFont="1" applyFill="1" applyAlignment="1" applyProtection="1">
      <alignment horizontal="left" vertical="center" indent="2"/>
      <protection hidden="1"/>
    </xf>
    <xf numFmtId="0" fontId="37" fillId="0" borderId="0" xfId="0" applyFont="1" applyFill="1" applyBorder="1" applyAlignment="1" applyProtection="1">
      <alignment horizontal="left" vertical="center" indent="2"/>
      <protection hidden="1"/>
    </xf>
    <xf numFmtId="0" fontId="58" fillId="0" borderId="0" xfId="0" applyFont="1" applyAlignment="1" applyProtection="1">
      <protection hidden="1"/>
    </xf>
    <xf numFmtId="0" fontId="58" fillId="0" borderId="0" xfId="0" applyFont="1" applyBorder="1" applyAlignment="1" applyProtection="1">
      <protection hidden="1"/>
    </xf>
    <xf numFmtId="0" fontId="59" fillId="0" borderId="0" xfId="0" applyFont="1" applyFill="1" applyBorder="1" applyAlignment="1" applyProtection="1">
      <alignment horizontal="left" vertical="center" indent="6"/>
      <protection hidden="1"/>
    </xf>
    <xf numFmtId="0" fontId="50" fillId="0" borderId="5" xfId="0" applyFont="1" applyFill="1" applyBorder="1" applyAlignment="1" applyProtection="1">
      <alignment horizontal="center" vertical="center" wrapText="1"/>
      <protection hidden="1"/>
    </xf>
    <xf numFmtId="0" fontId="50" fillId="0" borderId="98" xfId="0" applyFont="1" applyFill="1" applyBorder="1" applyAlignment="1" applyProtection="1">
      <alignment horizontal="center" vertical="center" wrapText="1"/>
      <protection hidden="1"/>
    </xf>
    <xf numFmtId="0" fontId="50" fillId="0" borderId="89" xfId="0" applyFont="1" applyFill="1" applyBorder="1" applyAlignment="1" applyProtection="1">
      <alignment horizontal="center" vertical="center" wrapText="1"/>
      <protection hidden="1"/>
    </xf>
    <xf numFmtId="0" fontId="50" fillId="0" borderId="52" xfId="0" applyFont="1" applyFill="1" applyBorder="1" applyAlignment="1" applyProtection="1">
      <alignment horizontal="center" vertical="center" wrapText="1"/>
      <protection hidden="1"/>
    </xf>
    <xf numFmtId="0" fontId="71" fillId="0" borderId="8" xfId="0" applyFont="1" applyFill="1" applyBorder="1" applyAlignment="1" applyProtection="1">
      <alignment horizontal="left" vertical="center" wrapText="1"/>
      <protection hidden="1"/>
    </xf>
    <xf numFmtId="3" fontId="38" fillId="0" borderId="102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2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243" xfId="0" applyFont="1" applyFill="1" applyBorder="1" applyAlignment="1" applyProtection="1">
      <alignment vertical="center"/>
      <protection hidden="1"/>
    </xf>
    <xf numFmtId="0" fontId="30" fillId="0" borderId="7" xfId="0" applyFont="1" applyFill="1" applyBorder="1" applyAlignment="1" applyProtection="1">
      <alignment vertical="center"/>
      <protection hidden="1"/>
    </xf>
    <xf numFmtId="0" fontId="69" fillId="0" borderId="19" xfId="0" applyFont="1" applyFill="1" applyBorder="1" applyAlignment="1" applyProtection="1">
      <alignment vertical="center" wrapText="1"/>
      <protection hidden="1"/>
    </xf>
    <xf numFmtId="3" fontId="38" fillId="0" borderId="99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74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54" xfId="0" applyFont="1" applyFill="1" applyBorder="1" applyAlignment="1" applyProtection="1">
      <alignment horizontal="left" vertical="center" wrapText="1" indent="2"/>
      <protection hidden="1"/>
    </xf>
    <xf numFmtId="3" fontId="38" fillId="2" borderId="4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62" xfId="0" applyFont="1" applyFill="1" applyBorder="1" applyAlignment="1" applyProtection="1">
      <alignment horizontal="left" vertical="center" indent="2"/>
      <protection hidden="1"/>
    </xf>
    <xf numFmtId="3" fontId="38" fillId="2" borderId="108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6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150" xfId="0" applyFont="1" applyFill="1" applyBorder="1" applyAlignment="1" applyProtection="1">
      <alignment horizontal="left" vertical="center" wrapText="1" indent="2"/>
      <protection hidden="1"/>
    </xf>
    <xf numFmtId="3" fontId="38" fillId="0" borderId="106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107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109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60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55" xfId="0" applyFont="1" applyFill="1" applyBorder="1" applyAlignment="1" applyProtection="1">
      <alignment horizontal="left" vertical="center" wrapText="1" indent="2"/>
      <protection hidden="1"/>
    </xf>
    <xf numFmtId="3" fontId="38" fillId="0" borderId="100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103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101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109" xfId="0" applyFont="1" applyFill="1" applyBorder="1" applyAlignment="1" applyProtection="1">
      <alignment horizontal="left" vertical="center" wrapText="1" indent="2"/>
      <protection hidden="1"/>
    </xf>
    <xf numFmtId="3" fontId="38" fillId="2" borderId="105" xfId="0" applyNumberFormat="1" applyFont="1" applyFill="1" applyBorder="1" applyAlignment="1" applyProtection="1">
      <alignment horizontal="center" vertical="center" shrinkToFit="1"/>
      <protection locked="0"/>
    </xf>
    <xf numFmtId="0" fontId="69" fillId="0" borderId="0" xfId="0" applyFont="1" applyFill="1" applyBorder="1" applyAlignment="1" applyProtection="1">
      <alignment vertical="center" wrapText="1"/>
      <protection hidden="1"/>
    </xf>
    <xf numFmtId="3" fontId="38" fillId="0" borderId="90" xfId="0" applyNumberFormat="1" applyFont="1" applyFill="1" applyBorder="1" applyAlignment="1" applyProtection="1">
      <alignment horizontal="center" vertical="center" shrinkToFit="1"/>
      <protection hidden="1"/>
    </xf>
    <xf numFmtId="0" fontId="37" fillId="0" borderId="54" xfId="0" applyFont="1" applyFill="1" applyBorder="1" applyAlignment="1" applyProtection="1">
      <alignment horizontal="left" vertical="center" wrapText="1" indent="2"/>
      <protection hidden="1"/>
    </xf>
    <xf numFmtId="0" fontId="37" fillId="0" borderId="150" xfId="0" applyFont="1" applyFill="1" applyBorder="1" applyAlignment="1" applyProtection="1">
      <alignment horizontal="left" vertical="center" wrapText="1" indent="2"/>
      <protection hidden="1"/>
    </xf>
    <xf numFmtId="0" fontId="76" fillId="0" borderId="0" xfId="0" applyFont="1" applyFill="1" applyBorder="1" applyAlignment="1" applyProtection="1">
      <alignment vertical="center" wrapText="1"/>
      <protection hidden="1"/>
    </xf>
    <xf numFmtId="0" fontId="37" fillId="0" borderId="101" xfId="0" applyFont="1" applyFill="1" applyBorder="1" applyAlignment="1" applyProtection="1">
      <alignment horizontal="left" vertical="center" indent="2"/>
      <protection hidden="1"/>
    </xf>
    <xf numFmtId="0" fontId="74" fillId="0" borderId="53" xfId="0" applyFont="1" applyFill="1" applyBorder="1" applyAlignment="1" applyProtection="1">
      <alignment vertical="center" wrapText="1"/>
      <protection hidden="1"/>
    </xf>
    <xf numFmtId="0" fontId="37" fillId="0" borderId="173" xfId="0" applyFont="1" applyFill="1" applyBorder="1" applyAlignment="1" applyProtection="1">
      <alignment horizontal="left" vertical="center" indent="2"/>
      <protection hidden="1"/>
    </xf>
    <xf numFmtId="3" fontId="38" fillId="2" borderId="62" xfId="0" applyNumberFormat="1" applyFont="1" applyFill="1" applyBorder="1" applyAlignment="1" applyProtection="1">
      <alignment horizontal="center" vertical="center" shrinkToFit="1"/>
      <protection locked="0"/>
    </xf>
    <xf numFmtId="0" fontId="74" fillId="0" borderId="56" xfId="0" applyFont="1" applyFill="1" applyBorder="1" applyAlignment="1" applyProtection="1">
      <alignment vertical="center" wrapText="1"/>
      <protection hidden="1"/>
    </xf>
    <xf numFmtId="0" fontId="45" fillId="0" borderId="0" xfId="0" applyFont="1" applyFill="1" applyBorder="1" applyAlignment="1" applyProtection="1">
      <alignment horizontal="justify" vertical="center"/>
      <protection hidden="1"/>
    </xf>
    <xf numFmtId="0" fontId="72" fillId="0" borderId="0" xfId="0" applyFont="1" applyBorder="1" applyAlignment="1" applyProtection="1">
      <alignment vertical="center"/>
      <protection hidden="1"/>
    </xf>
    <xf numFmtId="0" fontId="73" fillId="0" borderId="0" xfId="0" applyFont="1" applyBorder="1" applyAlignment="1" applyProtection="1">
      <alignment horizontal="center" vertical="center"/>
      <protection hidden="1"/>
    </xf>
    <xf numFmtId="0" fontId="74" fillId="0" borderId="0" xfId="0" applyFont="1" applyFill="1" applyBorder="1" applyAlignment="1" applyProtection="1">
      <alignment vertical="center"/>
      <protection hidden="1"/>
    </xf>
    <xf numFmtId="0" fontId="74" fillId="0" borderId="0" xfId="0" applyFont="1" applyFill="1" applyBorder="1" applyAlignment="1" applyProtection="1">
      <alignment vertical="center" wrapText="1"/>
      <protection hidden="1"/>
    </xf>
    <xf numFmtId="0" fontId="67" fillId="0" borderId="0" xfId="0" applyFont="1" applyFill="1" applyAlignment="1" applyProtection="1">
      <alignment horizontal="left" vertical="center" wrapText="1"/>
      <protection hidden="1"/>
    </xf>
    <xf numFmtId="0" fontId="58" fillId="0" borderId="5" xfId="0" applyFont="1" applyFill="1" applyBorder="1" applyAlignment="1" applyProtection="1">
      <alignment horizontal="center" vertical="center" wrapText="1"/>
      <protection hidden="1"/>
    </xf>
    <xf numFmtId="0" fontId="58" fillId="0" borderId="6" xfId="0" applyFont="1" applyFill="1" applyBorder="1" applyAlignment="1" applyProtection="1">
      <alignment horizontal="center" vertical="center" wrapText="1"/>
      <protection hidden="1"/>
    </xf>
    <xf numFmtId="0" fontId="45" fillId="0" borderId="98" xfId="0" applyFont="1" applyFill="1" applyBorder="1" applyAlignment="1" applyProtection="1">
      <alignment horizontal="center" vertical="center" wrapText="1"/>
      <protection hidden="1"/>
    </xf>
    <xf numFmtId="0" fontId="45" fillId="0" borderId="89" xfId="0" applyFont="1" applyFill="1" applyBorder="1" applyAlignment="1" applyProtection="1">
      <alignment horizontal="center" vertical="center" wrapText="1"/>
      <protection hidden="1"/>
    </xf>
    <xf numFmtId="0" fontId="45" fillId="0" borderId="5" xfId="0" applyFont="1" applyFill="1" applyBorder="1" applyAlignment="1" applyProtection="1">
      <alignment horizontal="center" vertical="center" wrapText="1"/>
      <protection hidden="1"/>
    </xf>
    <xf numFmtId="0" fontId="56" fillId="0" borderId="26" xfId="0" applyFont="1" applyFill="1" applyBorder="1" applyAlignment="1" applyProtection="1">
      <alignment horizontal="left" vertical="center" wrapText="1"/>
      <protection hidden="1"/>
    </xf>
    <xf numFmtId="3" fontId="38" fillId="0" borderId="27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0" xfId="0" applyFont="1" applyFill="1" applyBorder="1" applyAlignment="1" applyProtection="1">
      <alignment horizontal="left" vertical="center" wrapText="1" indent="2"/>
      <protection hidden="1"/>
    </xf>
    <xf numFmtId="3" fontId="38" fillId="2" borderId="90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65" xfId="0" applyFont="1" applyFill="1" applyBorder="1" applyAlignment="1" applyProtection="1">
      <alignment horizontal="left" vertical="center" wrapText="1" indent="2"/>
      <protection hidden="1"/>
    </xf>
    <xf numFmtId="3" fontId="38" fillId="0" borderId="75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67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30" xfId="0" applyFont="1" applyFill="1" applyBorder="1" applyAlignment="1" applyProtection="1">
      <alignment horizontal="left" vertical="center" wrapText="1" indent="2"/>
      <protection hidden="1"/>
    </xf>
    <xf numFmtId="3" fontId="38" fillId="0" borderId="13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93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0" xfId="0" applyFont="1" applyBorder="1" applyAlignment="1" applyProtection="1">
      <alignment vertical="top" wrapText="1"/>
      <protection hidden="1"/>
    </xf>
    <xf numFmtId="0" fontId="45" fillId="0" borderId="0" xfId="0" applyFont="1" applyFill="1" applyAlignment="1" applyProtection="1">
      <alignment horizontal="justify" vertical="center"/>
      <protection hidden="1"/>
    </xf>
    <xf numFmtId="0" fontId="72" fillId="0" borderId="0" xfId="0" applyFont="1" applyAlignment="1" applyProtection="1">
      <alignment horizontal="center" vertical="center" shrinkToFit="1"/>
      <protection hidden="1"/>
    </xf>
    <xf numFmtId="0" fontId="73" fillId="0" borderId="0" xfId="0" applyFont="1" applyAlignment="1" applyProtection="1">
      <alignment horizontal="center" vertical="center"/>
      <protection hidden="1"/>
    </xf>
    <xf numFmtId="0" fontId="59" fillId="0" borderId="0" xfId="0" applyFont="1" applyFill="1" applyAlignment="1">
      <alignment horizontal="left" indent="19"/>
    </xf>
    <xf numFmtId="0" fontId="59" fillId="0" borderId="0" xfId="0" applyFont="1" applyFill="1" applyBorder="1" applyAlignment="1">
      <alignment horizontal="left" indent="12"/>
    </xf>
    <xf numFmtId="0" fontId="60" fillId="0" borderId="30" xfId="0" applyFont="1" applyFill="1" applyBorder="1" applyAlignment="1" applyProtection="1">
      <alignment horizontal="left" vertical="center" indent="10"/>
      <protection hidden="1"/>
    </xf>
    <xf numFmtId="0" fontId="63" fillId="0" borderId="13" xfId="0" applyFont="1" applyFill="1" applyBorder="1" applyAlignment="1">
      <alignment horizontal="center" wrapText="1"/>
    </xf>
    <xf numFmtId="0" fontId="63" fillId="0" borderId="71" xfId="0" applyFont="1" applyFill="1" applyBorder="1" applyAlignment="1">
      <alignment horizontal="center" wrapText="1"/>
    </xf>
    <xf numFmtId="0" fontId="63" fillId="0" borderId="72" xfId="0" applyFont="1" applyFill="1" applyBorder="1" applyAlignment="1">
      <alignment horizontal="center" wrapText="1"/>
    </xf>
    <xf numFmtId="0" fontId="63" fillId="0" borderId="30" xfId="0" applyFont="1" applyFill="1" applyBorder="1" applyAlignment="1">
      <alignment horizontal="center" wrapText="1"/>
    </xf>
    <xf numFmtId="0" fontId="63" fillId="0" borderId="145" xfId="0" applyFont="1" applyFill="1" applyBorder="1" applyAlignment="1">
      <alignment horizontal="center" wrapText="1"/>
    </xf>
    <xf numFmtId="0" fontId="46" fillId="0" borderId="146" xfId="0" applyFont="1" applyFill="1" applyBorder="1" applyAlignment="1">
      <alignment horizontal="center" wrapText="1"/>
    </xf>
    <xf numFmtId="0" fontId="46" fillId="0" borderId="71" xfId="0" applyFont="1" applyFill="1" applyBorder="1" applyAlignment="1">
      <alignment horizontal="center" wrapText="1"/>
    </xf>
    <xf numFmtId="0" fontId="46" fillId="0" borderId="130" xfId="0" applyFont="1" applyFill="1" applyBorder="1" applyAlignment="1">
      <alignment horizontal="center" wrapText="1"/>
    </xf>
    <xf numFmtId="0" fontId="50" fillId="0" borderId="19" xfId="0" applyFont="1" applyFill="1" applyBorder="1" applyAlignment="1">
      <alignment horizontal="left" vertical="center" wrapText="1" indent="2"/>
    </xf>
    <xf numFmtId="3" fontId="38" fillId="0" borderId="99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74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36" xfId="0" applyNumberFormat="1" applyFont="1" applyFill="1" applyBorder="1" applyAlignment="1" applyProtection="1">
      <alignment horizontal="center" vertical="center" wrapText="1"/>
      <protection hidden="1"/>
    </xf>
    <xf numFmtId="3" fontId="38" fillId="2" borderId="131" xfId="0" applyNumberFormat="1" applyFont="1" applyFill="1" applyBorder="1" applyAlignment="1" applyProtection="1">
      <alignment horizontal="center" vertical="center" wrapText="1"/>
      <protection locked="0"/>
    </xf>
    <xf numFmtId="3" fontId="38" fillId="2" borderId="112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65" xfId="0" applyFont="1" applyFill="1" applyBorder="1" applyAlignment="1">
      <alignment horizontal="left" vertical="center" wrapText="1" indent="2"/>
    </xf>
    <xf numFmtId="3" fontId="38" fillId="0" borderId="75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67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68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69" xfId="0" applyNumberFormat="1" applyFont="1" applyFill="1" applyBorder="1" applyAlignment="1" applyProtection="1">
      <alignment horizontal="center" vertical="center" wrapText="1"/>
      <protection hidden="1"/>
    </xf>
    <xf numFmtId="3" fontId="38" fillId="2" borderId="67" xfId="0" applyNumberFormat="1" applyFont="1" applyFill="1" applyBorder="1" applyAlignment="1" applyProtection="1">
      <alignment horizontal="center" vertical="center" wrapText="1"/>
      <protection locked="0"/>
    </xf>
    <xf numFmtId="3" fontId="38" fillId="2" borderId="119" xfId="0" applyNumberFormat="1" applyFont="1" applyFill="1" applyBorder="1" applyAlignment="1" applyProtection="1">
      <alignment horizontal="center" vertical="center" wrapText="1"/>
      <protection locked="0"/>
    </xf>
    <xf numFmtId="3" fontId="38" fillId="2" borderId="64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67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65" xfId="0" applyFont="1" applyFill="1" applyBorder="1" applyAlignment="1">
      <alignment horizontal="left" vertical="center" wrapText="1" indent="2"/>
    </xf>
    <xf numFmtId="0" fontId="50" fillId="0" borderId="39" xfId="0" applyFont="1" applyFill="1" applyBorder="1" applyAlignment="1">
      <alignment horizontal="left" vertical="center" wrapText="1" indent="2"/>
    </xf>
    <xf numFmtId="3" fontId="38" fillId="0" borderId="85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86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149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87" xfId="0" applyNumberFormat="1" applyFont="1" applyFill="1" applyBorder="1" applyAlignment="1" applyProtection="1">
      <alignment horizontal="center" vertical="center" wrapText="1"/>
      <protection hidden="1"/>
    </xf>
    <xf numFmtId="3" fontId="38" fillId="2" borderId="86" xfId="0" applyNumberFormat="1" applyFont="1" applyFill="1" applyBorder="1" applyAlignment="1" applyProtection="1">
      <alignment horizontal="center" vertical="center" wrapText="1"/>
      <protection locked="0"/>
    </xf>
    <xf numFmtId="3" fontId="38" fillId="2" borderId="152" xfId="0" applyNumberFormat="1" applyFont="1" applyFill="1" applyBorder="1" applyAlignment="1" applyProtection="1">
      <alignment horizontal="center" vertical="center" wrapText="1"/>
      <protection locked="0"/>
    </xf>
    <xf numFmtId="3" fontId="38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55" xfId="0" applyFont="1" applyFill="1" applyBorder="1" applyAlignment="1">
      <alignment horizontal="left" vertical="center" wrapText="1" indent="2"/>
    </xf>
    <xf numFmtId="3" fontId="38" fillId="0" borderId="156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157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158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159" xfId="0" applyNumberFormat="1" applyFont="1" applyFill="1" applyBorder="1" applyAlignment="1" applyProtection="1">
      <alignment horizontal="center" vertical="center" wrapText="1"/>
      <protection hidden="1"/>
    </xf>
    <xf numFmtId="3" fontId="38" fillId="2" borderId="157" xfId="0" applyNumberFormat="1" applyFont="1" applyFill="1" applyBorder="1" applyAlignment="1" applyProtection="1">
      <alignment horizontal="center" vertical="center" wrapText="1"/>
      <protection locked="0"/>
    </xf>
    <xf numFmtId="3" fontId="38" fillId="2" borderId="160" xfId="0" applyNumberFormat="1" applyFont="1" applyFill="1" applyBorder="1" applyAlignment="1" applyProtection="1">
      <alignment horizontal="center" vertical="center" wrapText="1"/>
      <protection locked="0"/>
    </xf>
    <xf numFmtId="3" fontId="38" fillId="2" borderId="16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justify"/>
      <protection hidden="1"/>
    </xf>
    <xf numFmtId="0" fontId="73" fillId="0" borderId="0" xfId="0" applyFont="1" applyFill="1" applyAlignment="1" applyProtection="1">
      <alignment horizontal="left"/>
      <protection hidden="1"/>
    </xf>
    <xf numFmtId="0" fontId="77" fillId="0" borderId="0" xfId="0" applyFont="1" applyFill="1" applyAlignment="1" applyProtection="1">
      <alignment vertical="center" wrapText="1"/>
      <protection hidden="1"/>
    </xf>
    <xf numFmtId="0" fontId="59" fillId="0" borderId="0" xfId="0" applyFont="1" applyFill="1" applyAlignment="1" applyProtection="1">
      <alignment horizontal="left"/>
      <protection hidden="1"/>
    </xf>
    <xf numFmtId="0" fontId="59" fillId="0" borderId="0" xfId="0" applyFont="1" applyFill="1" applyAlignment="1" applyProtection="1">
      <protection hidden="1"/>
    </xf>
    <xf numFmtId="0" fontId="62" fillId="0" borderId="30" xfId="0" applyFont="1" applyFill="1" applyBorder="1" applyAlignment="1" applyProtection="1">
      <alignment horizontal="left" vertical="center"/>
      <protection hidden="1"/>
    </xf>
    <xf numFmtId="0" fontId="60" fillId="0" borderId="0" xfId="0" applyFont="1" applyFill="1" applyBorder="1" applyAlignment="1" applyProtection="1">
      <alignment horizontal="left" vertical="center" indent="10"/>
      <protection hidden="1"/>
    </xf>
    <xf numFmtId="0" fontId="29" fillId="0" borderId="5" xfId="0" applyFont="1" applyFill="1" applyBorder="1" applyAlignment="1" applyProtection="1">
      <alignment horizontal="center" vertical="center" wrapText="1"/>
      <protection hidden="1"/>
    </xf>
    <xf numFmtId="0" fontId="29" fillId="0" borderId="98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Border="1" applyProtection="1">
      <protection hidden="1"/>
    </xf>
    <xf numFmtId="0" fontId="71" fillId="0" borderId="26" xfId="0" applyFont="1" applyFill="1" applyBorder="1" applyAlignment="1" applyProtection="1">
      <alignment horizontal="center" vertical="center" wrapText="1"/>
      <protection hidden="1"/>
    </xf>
    <xf numFmtId="3" fontId="63" fillId="0" borderId="27" xfId="0" applyNumberFormat="1" applyFont="1" applyFill="1" applyBorder="1" applyAlignment="1" applyProtection="1">
      <alignment horizontal="center" vertical="center" wrapText="1"/>
      <protection hidden="1"/>
    </xf>
    <xf numFmtId="3" fontId="63" fillId="0" borderId="129" xfId="0" applyNumberFormat="1" applyFont="1" applyFill="1" applyBorder="1" applyAlignment="1" applyProtection="1">
      <alignment horizontal="center" vertical="center" wrapText="1"/>
      <protection hidden="1"/>
    </xf>
    <xf numFmtId="3" fontId="79" fillId="0" borderId="138" xfId="0" applyNumberFormat="1" applyFont="1" applyFill="1" applyBorder="1" applyAlignment="1" applyProtection="1">
      <alignment horizontal="center" vertical="center" wrapText="1"/>
      <protection hidden="1"/>
    </xf>
    <xf numFmtId="3" fontId="79" fillId="0" borderId="141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Fill="1" applyBorder="1" applyAlignment="1" applyProtection="1">
      <alignment horizontal="center" vertical="center" wrapText="1"/>
      <protection hidden="1"/>
    </xf>
    <xf numFmtId="3" fontId="38" fillId="0" borderId="46" xfId="0" applyNumberFormat="1" applyFont="1" applyFill="1" applyBorder="1" applyAlignment="1" applyProtection="1">
      <alignment horizontal="center" vertical="center" wrapText="1"/>
      <protection hidden="1"/>
    </xf>
    <xf numFmtId="3" fontId="38" fillId="2" borderId="135" xfId="0" applyNumberFormat="1" applyFont="1" applyFill="1" applyBorder="1" applyAlignment="1" applyProtection="1">
      <alignment horizontal="center" vertical="center" wrapText="1"/>
      <protection locked="0"/>
    </xf>
    <xf numFmtId="3" fontId="80" fillId="0" borderId="136" xfId="0" applyNumberFormat="1" applyFont="1" applyFill="1" applyBorder="1" applyAlignment="1" applyProtection="1">
      <alignment horizontal="center" vertical="center" wrapText="1"/>
      <protection hidden="1"/>
    </xf>
    <xf numFmtId="3" fontId="80" fillId="0" borderId="137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65" xfId="0" applyFont="1" applyFill="1" applyBorder="1" applyAlignment="1" applyProtection="1">
      <alignment horizontal="center" vertical="center" wrapText="1"/>
      <protection hidden="1"/>
    </xf>
    <xf numFmtId="3" fontId="38" fillId="2" borderId="147" xfId="0" applyNumberFormat="1" applyFont="1" applyFill="1" applyBorder="1" applyAlignment="1" applyProtection="1">
      <alignment horizontal="center" vertical="center" wrapText="1"/>
      <protection locked="0"/>
    </xf>
    <xf numFmtId="3" fontId="80" fillId="0" borderId="139" xfId="0" applyNumberFormat="1" applyFont="1" applyFill="1" applyBorder="1" applyAlignment="1" applyProtection="1">
      <alignment horizontal="center" vertical="center" wrapText="1"/>
      <protection hidden="1"/>
    </xf>
    <xf numFmtId="3" fontId="80" fillId="0" borderId="142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76" xfId="0" applyFont="1" applyFill="1" applyBorder="1" applyAlignment="1" applyProtection="1">
      <alignment horizontal="center" vertical="center" wrapText="1"/>
      <protection hidden="1"/>
    </xf>
    <xf numFmtId="3" fontId="38" fillId="0" borderId="77" xfId="0" applyNumberFormat="1" applyFont="1" applyFill="1" applyBorder="1" applyAlignment="1" applyProtection="1">
      <alignment horizontal="center" vertical="center" wrapText="1"/>
      <protection hidden="1"/>
    </xf>
    <xf numFmtId="3" fontId="38" fillId="2" borderId="148" xfId="0" applyNumberFormat="1" applyFont="1" applyFill="1" applyBorder="1" applyAlignment="1" applyProtection="1">
      <alignment horizontal="center" vertical="center" wrapText="1"/>
      <protection locked="0"/>
    </xf>
    <xf numFmtId="3" fontId="80" fillId="0" borderId="140" xfId="0" applyNumberFormat="1" applyFont="1" applyFill="1" applyBorder="1" applyAlignment="1" applyProtection="1">
      <alignment horizontal="center" vertical="center" wrapText="1"/>
      <protection hidden="1"/>
    </xf>
    <xf numFmtId="3" fontId="80" fillId="0" borderId="143" xfId="0" applyNumberFormat="1" applyFont="1" applyFill="1" applyBorder="1" applyAlignment="1" applyProtection="1">
      <alignment horizontal="center" vertical="center" wrapText="1"/>
      <protection hidden="1"/>
    </xf>
    <xf numFmtId="0" fontId="81" fillId="0" borderId="0" xfId="0" applyFont="1" applyProtection="1">
      <protection hidden="1"/>
    </xf>
    <xf numFmtId="0" fontId="81" fillId="0" borderId="0" xfId="0" applyFont="1" applyAlignment="1">
      <alignment horizontal="left"/>
    </xf>
    <xf numFmtId="0" fontId="61" fillId="0" borderId="0" xfId="0" applyFont="1" applyAlignment="1" applyProtection="1">
      <alignment horizontal="center"/>
      <protection hidden="1"/>
    </xf>
    <xf numFmtId="0" fontId="60" fillId="0" borderId="0" xfId="0" applyFont="1" applyFill="1" applyAlignment="1" applyProtection="1">
      <alignment horizontal="left" indent="5"/>
      <protection hidden="1"/>
    </xf>
    <xf numFmtId="0" fontId="60" fillId="0" borderId="0" xfId="0" applyFont="1" applyFill="1" applyBorder="1" applyAlignment="1" applyProtection="1">
      <alignment horizontal="left" vertical="center" indent="5"/>
      <protection hidden="1"/>
    </xf>
    <xf numFmtId="0" fontId="58" fillId="0" borderId="23" xfId="0" applyFont="1" applyFill="1" applyBorder="1" applyAlignment="1" applyProtection="1">
      <alignment horizontal="center" vertical="center" wrapText="1"/>
      <protection hidden="1"/>
    </xf>
    <xf numFmtId="0" fontId="46" fillId="0" borderId="13" xfId="0" applyFont="1" applyFill="1" applyBorder="1" applyAlignment="1" applyProtection="1">
      <alignment horizontal="center" vertical="center" wrapText="1"/>
      <protection hidden="1"/>
    </xf>
    <xf numFmtId="0" fontId="46" fillId="0" borderId="71" xfId="0" applyFont="1" applyFill="1" applyBorder="1" applyAlignment="1" applyProtection="1">
      <alignment horizontal="center" vertical="center" wrapText="1"/>
      <protection hidden="1"/>
    </xf>
    <xf numFmtId="0" fontId="46" fillId="0" borderId="30" xfId="0" applyFont="1" applyFill="1" applyBorder="1" applyAlignment="1" applyProtection="1">
      <alignment horizontal="center" vertical="center" wrapText="1"/>
      <protection hidden="1"/>
    </xf>
    <xf numFmtId="0" fontId="46" fillId="0" borderId="146" xfId="0" applyFont="1" applyFill="1" applyBorder="1" applyAlignment="1" applyProtection="1">
      <alignment horizontal="center" vertical="center" wrapText="1"/>
      <protection hidden="1"/>
    </xf>
    <xf numFmtId="0" fontId="46" fillId="0" borderId="130" xfId="0" applyFont="1" applyFill="1" applyBorder="1" applyAlignment="1" applyProtection="1">
      <alignment horizontal="center" vertical="center" wrapText="1"/>
      <protection hidden="1"/>
    </xf>
    <xf numFmtId="0" fontId="46" fillId="0" borderId="250" xfId="0" applyFont="1" applyFill="1" applyBorder="1" applyAlignment="1" applyProtection="1">
      <alignment horizontal="center" vertical="center" wrapText="1"/>
      <protection hidden="1"/>
    </xf>
    <xf numFmtId="0" fontId="46" fillId="0" borderId="251" xfId="0" applyFont="1" applyFill="1" applyBorder="1" applyAlignment="1" applyProtection="1">
      <alignment horizontal="center" vertical="center" wrapText="1"/>
      <protection hidden="1"/>
    </xf>
    <xf numFmtId="0" fontId="46" fillId="0" borderId="190" xfId="0" applyFont="1" applyFill="1" applyBorder="1" applyAlignment="1" applyProtection="1">
      <alignment horizontal="center" vertical="center" wrapText="1"/>
      <protection hidden="1"/>
    </xf>
    <xf numFmtId="0" fontId="56" fillId="0" borderId="26" xfId="0" applyFont="1" applyFill="1" applyBorder="1" applyAlignment="1" applyProtection="1">
      <alignment horizontal="left" vertical="center" wrapText="1" indent="1"/>
      <protection hidden="1"/>
    </xf>
    <xf numFmtId="3" fontId="37" fillId="0" borderId="27" xfId="0" applyNumberFormat="1" applyFont="1" applyFill="1" applyBorder="1" applyAlignment="1" applyProtection="1">
      <alignment horizontal="center" vertical="center" shrinkToFit="1"/>
      <protection hidden="1"/>
    </xf>
    <xf numFmtId="3" fontId="37" fillId="0" borderId="73" xfId="0" applyNumberFormat="1" applyFont="1" applyFill="1" applyBorder="1" applyAlignment="1" applyProtection="1">
      <alignment horizontal="center" vertical="center" shrinkToFit="1"/>
      <protection hidden="1"/>
    </xf>
    <xf numFmtId="3" fontId="37" fillId="0" borderId="26" xfId="0" applyNumberFormat="1" applyFont="1" applyFill="1" applyBorder="1" applyAlignment="1" applyProtection="1">
      <alignment horizontal="center" vertical="center" shrinkToFit="1"/>
      <protection hidden="1"/>
    </xf>
    <xf numFmtId="3" fontId="37" fillId="0" borderId="34" xfId="0" applyNumberFormat="1" applyFont="1" applyFill="1" applyBorder="1" applyAlignment="1" applyProtection="1">
      <alignment horizontal="center" vertical="center" shrinkToFit="1"/>
      <protection hidden="1"/>
    </xf>
    <xf numFmtId="3" fontId="37" fillId="0" borderId="242" xfId="0" applyNumberFormat="1" applyFont="1" applyFill="1" applyBorder="1" applyAlignment="1" applyProtection="1">
      <alignment horizontal="center" vertical="center" shrinkToFit="1"/>
      <protection hidden="1"/>
    </xf>
    <xf numFmtId="3" fontId="37" fillId="0" borderId="193" xfId="0" applyNumberFormat="1" applyFont="1" applyFill="1" applyBorder="1" applyAlignment="1" applyProtection="1">
      <alignment horizontal="center" vertical="center" shrinkToFit="1"/>
      <protection hidden="1"/>
    </xf>
    <xf numFmtId="3" fontId="37" fillId="0" borderId="192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65" xfId="0" applyFont="1" applyFill="1" applyBorder="1" applyAlignment="1" applyProtection="1">
      <alignment horizontal="left" vertical="center" wrapText="1" indent="1"/>
      <protection hidden="1"/>
    </xf>
    <xf numFmtId="3" fontId="38" fillId="0" borderId="21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52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195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194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74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135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69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53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197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196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81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54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55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153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56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57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58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59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86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87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38" xfId="0" applyNumberFormat="1" applyFont="1" applyFill="1" applyBorder="1" applyAlignment="1" applyProtection="1">
      <alignment horizontal="center" vertical="center" shrinkToFit="1"/>
      <protection hidden="1"/>
    </xf>
    <xf numFmtId="0" fontId="52" fillId="0" borderId="54" xfId="0" applyFont="1" applyFill="1" applyBorder="1" applyAlignment="1" applyProtection="1">
      <alignment horizontal="left" vertical="center" wrapText="1" indent="3"/>
      <protection hidden="1"/>
    </xf>
    <xf numFmtId="3" fontId="38" fillId="0" borderId="49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60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261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210" xfId="0" applyNumberFormat="1" applyFont="1" applyFill="1" applyBorder="1" applyAlignment="1" applyProtection="1">
      <alignment horizontal="center" vertical="center" shrinkToFit="1"/>
      <protection hidden="1"/>
    </xf>
    <xf numFmtId="0" fontId="52" fillId="0" borderId="48" xfId="0" applyFont="1" applyFill="1" applyBorder="1" applyAlignment="1" applyProtection="1">
      <alignment horizontal="left" vertical="center" wrapText="1" indent="3"/>
      <protection hidden="1"/>
    </xf>
    <xf numFmtId="0" fontId="52" fillId="0" borderId="23" xfId="0" applyFont="1" applyFill="1" applyBorder="1" applyAlignment="1" applyProtection="1">
      <alignment horizontal="left" vertical="center" wrapText="1" indent="3"/>
      <protection hidden="1"/>
    </xf>
    <xf numFmtId="3" fontId="38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53" xfId="0" applyFont="1" applyFill="1" applyBorder="1" applyAlignment="1" applyProtection="1">
      <alignment horizontal="left" vertical="center" wrapText="1" indent="1"/>
      <protection hidden="1"/>
    </xf>
    <xf numFmtId="0" fontId="52" fillId="0" borderId="185" xfId="0" applyFont="1" applyFill="1" applyBorder="1" applyAlignment="1" applyProtection="1">
      <alignment horizontal="left" vertical="center" wrapText="1" indent="3"/>
      <protection hidden="1"/>
    </xf>
    <xf numFmtId="3" fontId="38" fillId="0" borderId="271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272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273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262" xfId="0" applyFont="1" applyFill="1" applyBorder="1" applyAlignment="1" applyProtection="1">
      <alignment horizontal="left" vertical="center" wrapText="1" indent="1"/>
      <protection hidden="1"/>
    </xf>
    <xf numFmtId="3" fontId="38" fillId="0" borderId="209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95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111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166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63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264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275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276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265" xfId="0" applyFont="1" applyFill="1" applyBorder="1" applyAlignment="1" applyProtection="1">
      <alignment horizontal="left" vertical="center" wrapText="1" indent="1"/>
      <protection hidden="1"/>
    </xf>
    <xf numFmtId="0" fontId="45" fillId="0" borderId="133" xfId="0" applyFont="1" applyFill="1" applyBorder="1" applyAlignment="1" applyProtection="1">
      <alignment horizontal="left" vertical="center" wrapText="1" indent="1"/>
      <protection hidden="1"/>
    </xf>
    <xf numFmtId="0" fontId="45" fillId="0" borderId="3" xfId="0" applyFont="1" applyFill="1" applyBorder="1" applyAlignment="1" applyProtection="1">
      <alignment horizontal="left" vertical="center" wrapText="1" indent="1"/>
      <protection hidden="1"/>
    </xf>
    <xf numFmtId="3" fontId="38" fillId="0" borderId="35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50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191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190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78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79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88" xfId="0" applyNumberFormat="1" applyFont="1" applyFill="1" applyBorder="1" applyAlignment="1" applyProtection="1">
      <alignment horizontal="center" vertical="center" shrinkToFit="1"/>
      <protection locked="0"/>
    </xf>
    <xf numFmtId="0" fontId="72" fillId="0" borderId="0" xfId="0" applyFont="1" applyAlignment="1" applyProtection="1">
      <alignment vertical="center"/>
      <protection hidden="1"/>
    </xf>
    <xf numFmtId="0" fontId="84" fillId="0" borderId="0" xfId="0" applyFont="1" applyAlignment="1" applyProtection="1">
      <alignment horizontal="center" vertical="center"/>
      <protection hidden="1"/>
    </xf>
    <xf numFmtId="0" fontId="85" fillId="0" borderId="0" xfId="0" applyFont="1" applyAlignment="1" applyProtection="1">
      <alignment horizontal="center" vertical="center"/>
      <protection hidden="1"/>
    </xf>
    <xf numFmtId="0" fontId="56" fillId="0" borderId="0" xfId="0" applyFont="1" applyBorder="1" applyAlignment="1" applyProtection="1">
      <alignment vertical="center" wrapText="1"/>
      <protection hidden="1"/>
    </xf>
    <xf numFmtId="0" fontId="77" fillId="0" borderId="0" xfId="0" applyFont="1" applyBorder="1" applyAlignment="1" applyProtection="1">
      <alignment vertical="center" wrapText="1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87" fillId="0" borderId="0" xfId="0" applyFont="1" applyBorder="1" applyAlignment="1" applyProtection="1">
      <alignment vertical="center" wrapText="1"/>
      <protection hidden="1"/>
    </xf>
    <xf numFmtId="0" fontId="87" fillId="0" borderId="44" xfId="0" applyFont="1" applyBorder="1" applyAlignment="1" applyProtection="1">
      <alignment vertical="center" wrapText="1"/>
      <protection hidden="1"/>
    </xf>
    <xf numFmtId="0" fontId="56" fillId="0" borderId="44" xfId="0" applyFont="1" applyBorder="1" applyAlignment="1" applyProtection="1">
      <alignment vertical="center" wrapText="1"/>
      <protection hidden="1"/>
    </xf>
    <xf numFmtId="0" fontId="86" fillId="0" borderId="0" xfId="0" applyFont="1" applyBorder="1" applyAlignment="1" applyProtection="1">
      <alignment vertical="center" wrapText="1"/>
      <protection hidden="1"/>
    </xf>
    <xf numFmtId="0" fontId="60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 applyProtection="1">
      <alignment vertical="center" wrapText="1"/>
      <protection hidden="1"/>
    </xf>
    <xf numFmtId="0" fontId="46" fillId="0" borderId="93" xfId="0" applyFont="1" applyFill="1" applyBorder="1" applyAlignment="1" applyProtection="1">
      <alignment horizontal="center" vertical="center" wrapText="1"/>
      <protection hidden="1"/>
    </xf>
    <xf numFmtId="0" fontId="46" fillId="0" borderId="191" xfId="0" applyFont="1" applyFill="1" applyBorder="1" applyAlignment="1" applyProtection="1">
      <alignment horizontal="center" vertical="center" wrapText="1"/>
      <protection hidden="1"/>
    </xf>
    <xf numFmtId="3" fontId="46" fillId="0" borderId="27" xfId="0" applyNumberFormat="1" applyFont="1" applyFill="1" applyBorder="1" applyAlignment="1" applyProtection="1">
      <alignment horizontal="center" vertical="center" shrinkToFit="1"/>
      <protection hidden="1"/>
    </xf>
    <xf numFmtId="3" fontId="46" fillId="0" borderId="73" xfId="0" applyNumberFormat="1" applyFont="1" applyFill="1" applyBorder="1" applyAlignment="1" applyProtection="1">
      <alignment horizontal="center" vertical="center" shrinkToFit="1"/>
      <protection hidden="1"/>
    </xf>
    <xf numFmtId="3" fontId="46" fillId="0" borderId="26" xfId="0" applyNumberFormat="1" applyFont="1" applyFill="1" applyBorder="1" applyAlignment="1" applyProtection="1">
      <alignment horizontal="center" vertical="center" shrinkToFit="1"/>
      <protection hidden="1"/>
    </xf>
    <xf numFmtId="3" fontId="46" fillId="0" borderId="192" xfId="0" applyNumberFormat="1" applyFont="1" applyFill="1" applyBorder="1" applyAlignment="1" applyProtection="1">
      <alignment horizontal="center" vertical="center" shrinkToFit="1"/>
      <protection hidden="1"/>
    </xf>
    <xf numFmtId="3" fontId="46" fillId="0" borderId="193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Alignment="1" applyProtection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left" vertical="center" wrapText="1"/>
      <protection hidden="1"/>
    </xf>
    <xf numFmtId="0" fontId="88" fillId="0" borderId="0" xfId="0" applyFont="1" applyFill="1" applyBorder="1" applyAlignment="1" applyProtection="1">
      <alignment horizontal="center" vertical="center" wrapText="1"/>
      <protection hidden="1"/>
    </xf>
    <xf numFmtId="0" fontId="46" fillId="0" borderId="65" xfId="0" applyFont="1" applyBorder="1" applyAlignment="1" applyProtection="1">
      <alignment horizontal="right" vertical="center"/>
      <protection hidden="1"/>
    </xf>
    <xf numFmtId="0" fontId="46" fillId="0" borderId="65" xfId="0" applyFont="1" applyFill="1" applyBorder="1" applyAlignment="1" applyProtection="1">
      <alignment horizontal="left" vertical="center" wrapText="1"/>
      <protection hidden="1"/>
    </xf>
    <xf numFmtId="0" fontId="88" fillId="0" borderId="65" xfId="0" applyFont="1" applyFill="1" applyBorder="1" applyAlignment="1" applyProtection="1">
      <alignment horizontal="center" vertical="center" wrapText="1"/>
      <protection hidden="1"/>
    </xf>
    <xf numFmtId="3" fontId="38" fillId="0" borderId="65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65" xfId="0" applyFont="1" applyFill="1" applyBorder="1" applyAlignment="1" applyProtection="1">
      <alignment horizontal="right" vertical="center"/>
      <protection hidden="1"/>
    </xf>
    <xf numFmtId="0" fontId="46" fillId="0" borderId="28" xfId="0" applyFont="1" applyBorder="1" applyAlignment="1" applyProtection="1">
      <alignment horizontal="right" vertical="center"/>
      <protection hidden="1"/>
    </xf>
    <xf numFmtId="0" fontId="46" fillId="0" borderId="28" xfId="0" applyFont="1" applyFill="1" applyBorder="1" applyAlignment="1" applyProtection="1">
      <alignment horizontal="left" vertical="center" wrapText="1"/>
      <protection hidden="1"/>
    </xf>
    <xf numFmtId="0" fontId="88" fillId="0" borderId="28" xfId="0" applyFont="1" applyFill="1" applyBorder="1" applyAlignment="1" applyProtection="1">
      <alignment horizontal="center" vertical="center" wrapText="1"/>
      <protection hidden="1"/>
    </xf>
    <xf numFmtId="3" fontId="38" fillId="0" borderId="29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91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28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198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199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24" xfId="0" applyFont="1" applyBorder="1" applyAlignment="1" applyProtection="1">
      <alignment horizontal="right" vertical="center"/>
      <protection hidden="1"/>
    </xf>
    <xf numFmtId="0" fontId="46" fillId="0" borderId="24" xfId="0" applyFont="1" applyFill="1" applyBorder="1" applyAlignment="1" applyProtection="1">
      <alignment horizontal="left" vertical="center" wrapText="1"/>
      <protection hidden="1"/>
    </xf>
    <xf numFmtId="0" fontId="88" fillId="0" borderId="24" xfId="0" applyFont="1" applyFill="1" applyBorder="1" applyAlignment="1" applyProtection="1">
      <alignment horizontal="center" vertical="center" wrapText="1"/>
      <protection hidden="1"/>
    </xf>
    <xf numFmtId="3" fontId="38" fillId="0" borderId="25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92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24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200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201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30" xfId="0" applyFont="1" applyBorder="1" applyAlignment="1" applyProtection="1">
      <alignment horizontal="right" vertical="center"/>
      <protection hidden="1"/>
    </xf>
    <xf numFmtId="0" fontId="46" fillId="0" borderId="30" xfId="0" applyFont="1" applyFill="1" applyBorder="1" applyAlignment="1" applyProtection="1">
      <alignment horizontal="left" vertical="center" wrapText="1"/>
      <protection hidden="1"/>
    </xf>
    <xf numFmtId="0" fontId="88" fillId="0" borderId="30" xfId="0" applyFont="1" applyFill="1" applyBorder="1" applyAlignment="1" applyProtection="1">
      <alignment horizontal="center" vertical="center" wrapText="1"/>
      <protection hidden="1"/>
    </xf>
    <xf numFmtId="3" fontId="38" fillId="0" borderId="30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0" xfId="0" applyFont="1" applyFill="1" applyBorder="1" applyAlignment="1" applyProtection="1">
      <alignment horizontal="right" vertical="center"/>
      <protection hidden="1"/>
    </xf>
    <xf numFmtId="0" fontId="73" fillId="0" borderId="0" xfId="0" applyFont="1" applyFill="1" applyBorder="1" applyAlignment="1" applyProtection="1">
      <alignment horizontal="center" vertical="center" wrapText="1"/>
      <protection hidden="1"/>
    </xf>
    <xf numFmtId="0" fontId="58" fillId="0" borderId="0" xfId="0" applyFont="1" applyAlignment="1" applyProtection="1">
      <alignment vertical="center"/>
      <protection hidden="1"/>
    </xf>
    <xf numFmtId="0" fontId="72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right" vertical="center"/>
      <protection hidden="1"/>
    </xf>
    <xf numFmtId="0" fontId="37" fillId="0" borderId="0" xfId="0" applyFont="1" applyAlignment="1" applyProtection="1">
      <alignment vertical="center"/>
      <protection locked="0"/>
    </xf>
    <xf numFmtId="0" fontId="64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60" fillId="0" borderId="0" xfId="0" applyFont="1" applyFill="1" applyBorder="1" applyAlignment="1" applyProtection="1">
      <alignment horizontal="center" vertical="center"/>
      <protection hidden="1"/>
    </xf>
    <xf numFmtId="0" fontId="58" fillId="0" borderId="37" xfId="0" applyFont="1" applyFill="1" applyBorder="1" applyAlignment="1" applyProtection="1">
      <alignment horizontal="center" vertical="center"/>
      <protection hidden="1"/>
    </xf>
    <xf numFmtId="0" fontId="76" fillId="0" borderId="72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31" xfId="0" applyFont="1" applyFill="1" applyBorder="1" applyAlignment="1" applyProtection="1">
      <alignment horizontal="center" vertical="center" shrinkToFit="1"/>
      <protection hidden="1"/>
    </xf>
    <xf numFmtId="0" fontId="37" fillId="0" borderId="0" xfId="0" applyFont="1" applyAlignment="1" applyProtection="1">
      <alignment horizontal="center" vertical="center"/>
      <protection locked="0"/>
    </xf>
    <xf numFmtId="0" fontId="38" fillId="2" borderId="0" xfId="0" applyFont="1" applyFill="1" applyBorder="1" applyAlignment="1" applyProtection="1">
      <alignment horizontal="left" vertical="center" shrinkToFit="1"/>
      <protection locked="0"/>
    </xf>
    <xf numFmtId="0" fontId="38" fillId="2" borderId="21" xfId="0" applyFont="1" applyFill="1" applyBorder="1" applyAlignment="1" applyProtection="1">
      <alignment horizontal="center" vertical="center" shrinkToFit="1"/>
      <protection locked="0"/>
    </xf>
    <xf numFmtId="0" fontId="38" fillId="2" borderId="65" xfId="0" applyFont="1" applyFill="1" applyBorder="1" applyAlignment="1" applyProtection="1">
      <alignment horizontal="left" vertical="center" shrinkToFit="1"/>
      <protection locked="0"/>
    </xf>
    <xf numFmtId="0" fontId="38" fillId="2" borderId="69" xfId="0" applyFont="1" applyFill="1" applyBorder="1" applyAlignment="1" applyProtection="1">
      <alignment horizontal="center" vertical="center" shrinkToFit="1"/>
      <protection locked="0"/>
    </xf>
    <xf numFmtId="0" fontId="75" fillId="0" borderId="0" xfId="0" applyFont="1" applyFill="1" applyBorder="1" applyAlignment="1" applyProtection="1">
      <alignment vertical="center" wrapText="1"/>
      <protection hidden="1"/>
    </xf>
    <xf numFmtId="0" fontId="55" fillId="0" borderId="0" xfId="0" applyFont="1" applyAlignment="1" applyProtection="1">
      <alignment horizontal="left" vertical="center" indent="1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90" fillId="0" borderId="0" xfId="0" applyFont="1" applyFill="1" applyBorder="1" applyAlignment="1" applyProtection="1">
      <alignment vertical="center" wrapText="1"/>
      <protection locked="0"/>
    </xf>
    <xf numFmtId="3" fontId="38" fillId="2" borderId="69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0" xfId="0" quotePrefix="1" applyFont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38" fillId="2" borderId="76" xfId="0" applyFont="1" applyFill="1" applyBorder="1" applyAlignment="1" applyProtection="1">
      <alignment horizontal="left" vertical="center" shrinkToFit="1"/>
      <protection locked="0"/>
    </xf>
    <xf numFmtId="3" fontId="38" fillId="2" borderId="79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hidden="1"/>
    </xf>
    <xf numFmtId="3" fontId="5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Alignment="1" applyProtection="1">
      <alignment vertical="center"/>
      <protection locked="0"/>
    </xf>
    <xf numFmtId="0" fontId="55" fillId="0" borderId="0" xfId="0" applyFont="1" applyFill="1" applyBorder="1" applyAlignment="1" applyProtection="1">
      <alignment horizontal="left" vertical="center" wrapText="1"/>
      <protection hidden="1"/>
    </xf>
    <xf numFmtId="0" fontId="37" fillId="0" borderId="0" xfId="0" applyFont="1" applyFill="1" applyAlignment="1" applyProtection="1">
      <alignment horizontal="center" vertical="center"/>
      <protection hidden="1"/>
    </xf>
    <xf numFmtId="0" fontId="60" fillId="0" borderId="0" xfId="0" applyFont="1" applyFill="1" applyAlignment="1" applyProtection="1">
      <alignment horizontal="left" vertical="center" indent="10"/>
      <protection hidden="1"/>
    </xf>
    <xf numFmtId="0" fontId="64" fillId="0" borderId="0" xfId="0" applyFont="1" applyFill="1" applyBorder="1" applyAlignment="1">
      <alignment horizontal="center" vertical="center"/>
    </xf>
    <xf numFmtId="0" fontId="46" fillId="0" borderId="35" xfId="0" applyFont="1" applyFill="1" applyBorder="1" applyAlignment="1" applyProtection="1">
      <alignment horizontal="center" wrapText="1"/>
      <protection hidden="1"/>
    </xf>
    <xf numFmtId="0" fontId="46" fillId="0" borderId="71" xfId="0" applyFont="1" applyFill="1" applyBorder="1" applyAlignment="1" applyProtection="1">
      <alignment horizontal="center" wrapText="1"/>
      <protection hidden="1"/>
    </xf>
    <xf numFmtId="0" fontId="46" fillId="0" borderId="72" xfId="0" applyFont="1" applyFill="1" applyBorder="1" applyAlignment="1" applyProtection="1">
      <alignment horizontal="center" wrapText="1"/>
      <protection hidden="1"/>
    </xf>
    <xf numFmtId="0" fontId="46" fillId="0" borderId="130" xfId="0" applyFont="1" applyFill="1" applyBorder="1" applyAlignment="1" applyProtection="1">
      <alignment horizontal="center" wrapText="1"/>
      <protection hidden="1"/>
    </xf>
    <xf numFmtId="3" fontId="38" fillId="0" borderId="36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131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118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112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133" xfId="0" applyFont="1" applyFill="1" applyBorder="1" applyAlignment="1" applyProtection="1">
      <alignment horizontal="center" vertical="center" wrapText="1"/>
      <protection hidden="1"/>
    </xf>
    <xf numFmtId="3" fontId="38" fillId="0" borderId="85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39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149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119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154" xfId="0" applyNumberFormat="1" applyFont="1" applyFill="1" applyBorder="1" applyAlignment="1" applyProtection="1">
      <alignment horizontal="center" vertical="center" shrinkToFit="1"/>
      <protection hidden="1"/>
    </xf>
    <xf numFmtId="0" fontId="58" fillId="0" borderId="70" xfId="0" applyFont="1" applyFill="1" applyBorder="1" applyAlignment="1" applyProtection="1">
      <alignment horizontal="center" vertical="center" wrapText="1"/>
      <protection hidden="1"/>
    </xf>
    <xf numFmtId="3" fontId="38" fillId="0" borderId="72" xfId="0" applyNumberFormat="1" applyFont="1" applyFill="1" applyBorder="1" applyAlignment="1" applyProtection="1">
      <alignment horizontal="center" vertical="center" shrinkToFit="1"/>
      <protection hidden="1"/>
    </xf>
    <xf numFmtId="0" fontId="91" fillId="0" borderId="0" xfId="0" applyFont="1" applyFill="1" applyAlignment="1" applyProtection="1">
      <alignment horizontal="center" vertical="center"/>
      <protection hidden="1"/>
    </xf>
    <xf numFmtId="0" fontId="92" fillId="0" borderId="0" xfId="0" applyFont="1" applyFill="1" applyBorder="1" applyAlignment="1" applyProtection="1">
      <alignment horizontal="center" vertical="center" wrapText="1"/>
      <protection hidden="1"/>
    </xf>
    <xf numFmtId="0" fontId="93" fillId="0" borderId="0" xfId="0" applyFont="1" applyAlignment="1" applyProtection="1">
      <alignment horizontal="center" vertical="center"/>
      <protection hidden="1"/>
    </xf>
    <xf numFmtId="0" fontId="46" fillId="0" borderId="13" xfId="0" applyFont="1" applyFill="1" applyBorder="1" applyAlignment="1" applyProtection="1">
      <alignment horizontal="center" wrapText="1"/>
      <protection hidden="1"/>
    </xf>
    <xf numFmtId="0" fontId="46" fillId="0" borderId="30" xfId="0" applyFont="1" applyFill="1" applyBorder="1" applyAlignment="1" applyProtection="1">
      <alignment horizontal="center" wrapText="1"/>
      <protection hidden="1"/>
    </xf>
    <xf numFmtId="0" fontId="45" fillId="0" borderId="185" xfId="0" applyFont="1" applyFill="1" applyBorder="1" applyAlignment="1" applyProtection="1">
      <alignment horizontal="left" vertical="center" wrapText="1" indent="2"/>
      <protection hidden="1"/>
    </xf>
    <xf numFmtId="3" fontId="38" fillId="0" borderId="151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186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44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186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33" xfId="0" applyFont="1" applyFill="1" applyBorder="1" applyAlignment="1" applyProtection="1">
      <alignment horizontal="left" vertical="center" wrapText="1" indent="2"/>
      <protection hidden="1"/>
    </xf>
    <xf numFmtId="3" fontId="38" fillId="2" borderId="86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152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87" xfId="0" applyFont="1" applyFill="1" applyBorder="1" applyAlignment="1" applyProtection="1">
      <alignment horizontal="left" vertical="center" wrapText="1" indent="2"/>
      <protection hidden="1"/>
    </xf>
    <xf numFmtId="0" fontId="91" fillId="0" borderId="7" xfId="0" applyFont="1" applyFill="1" applyBorder="1" applyAlignment="1" applyProtection="1">
      <alignment horizontal="center" vertical="center"/>
      <protection hidden="1"/>
    </xf>
    <xf numFmtId="0" fontId="92" fillId="0" borderId="7" xfId="0" applyFont="1" applyFill="1" applyBorder="1" applyAlignment="1" applyProtection="1">
      <alignment horizontal="center" vertical="center" wrapText="1"/>
      <protection hidden="1"/>
    </xf>
    <xf numFmtId="0" fontId="77" fillId="0" borderId="0" xfId="0" applyFont="1" applyFill="1" applyBorder="1" applyAlignment="1" applyProtection="1">
      <alignment vertical="center" wrapText="1"/>
      <protection hidden="1"/>
    </xf>
    <xf numFmtId="0" fontId="55" fillId="0" borderId="0" xfId="0" applyFont="1" applyAlignment="1" applyProtection="1">
      <alignment vertical="center"/>
      <protection hidden="1"/>
    </xf>
    <xf numFmtId="0" fontId="73" fillId="0" borderId="7" xfId="0" applyFont="1" applyFill="1" applyBorder="1" applyAlignment="1" applyProtection="1">
      <alignment horizontal="center" vertical="center"/>
      <protection hidden="1"/>
    </xf>
    <xf numFmtId="0" fontId="72" fillId="0" borderId="7" xfId="0" applyFont="1" applyFill="1" applyBorder="1" applyAlignment="1" applyProtection="1">
      <alignment horizontal="center" vertical="center"/>
      <protection hidden="1"/>
    </xf>
    <xf numFmtId="0" fontId="84" fillId="0" borderId="7" xfId="0" applyFont="1" applyFill="1" applyBorder="1" applyAlignment="1" applyProtection="1">
      <alignment horizontal="center" vertical="center" wrapText="1"/>
      <protection hidden="1"/>
    </xf>
    <xf numFmtId="0" fontId="73" fillId="0" borderId="7" xfId="0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Alignment="1" applyProtection="1">
      <alignment horizontal="left" vertical="center"/>
      <protection hidden="1"/>
    </xf>
    <xf numFmtId="0" fontId="64" fillId="0" borderId="0" xfId="0" applyFont="1" applyFill="1" applyBorder="1" applyAlignment="1">
      <alignment vertical="center"/>
    </xf>
    <xf numFmtId="0" fontId="58" fillId="0" borderId="7" xfId="0" applyFont="1" applyFill="1" applyBorder="1" applyAlignment="1" applyProtection="1">
      <alignment horizontal="center" vertical="center" wrapText="1"/>
      <protection hidden="1"/>
    </xf>
    <xf numFmtId="0" fontId="58" fillId="0" borderId="175" xfId="0" applyFont="1" applyFill="1" applyBorder="1" applyAlignment="1" applyProtection="1">
      <alignment horizontal="center" vertical="center" wrapText="1"/>
      <protection hidden="1"/>
    </xf>
    <xf numFmtId="0" fontId="58" fillId="0" borderId="176" xfId="0" applyFont="1" applyFill="1" applyBorder="1" applyAlignment="1" applyProtection="1">
      <alignment horizontal="center" vertical="center" wrapText="1"/>
      <protection hidden="1"/>
    </xf>
    <xf numFmtId="0" fontId="58" fillId="0" borderId="130" xfId="0" applyFont="1" applyFill="1" applyBorder="1" applyAlignment="1" applyProtection="1">
      <alignment horizontal="center" vertical="center" wrapText="1"/>
      <protection hidden="1"/>
    </xf>
    <xf numFmtId="0" fontId="58" fillId="0" borderId="36" xfId="0" applyFont="1" applyFill="1" applyBorder="1" applyAlignment="1" applyProtection="1">
      <alignment horizontal="center" vertical="center" wrapText="1"/>
      <protection hidden="1"/>
    </xf>
    <xf numFmtId="0" fontId="76" fillId="0" borderId="60" xfId="0" applyFont="1" applyFill="1" applyBorder="1" applyAlignment="1" applyProtection="1">
      <alignment horizontal="left" vertical="center" indent="1"/>
      <protection hidden="1"/>
    </xf>
    <xf numFmtId="3" fontId="38" fillId="0" borderId="172" xfId="0" applyNumberFormat="1" applyFont="1" applyFill="1" applyBorder="1" applyAlignment="1" applyProtection="1">
      <alignment horizontal="center" vertical="center" shrinkToFit="1"/>
      <protection hidden="1"/>
    </xf>
    <xf numFmtId="0" fontId="37" fillId="0" borderId="60" xfId="0" applyFont="1" applyFill="1" applyBorder="1" applyAlignment="1" applyProtection="1">
      <alignment horizontal="left" vertical="center" wrapText="1" indent="7"/>
      <protection hidden="1"/>
    </xf>
    <xf numFmtId="3" fontId="38" fillId="2" borderId="172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216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0" xfId="0" applyFont="1" applyAlignment="1" applyProtection="1">
      <alignment vertical="center"/>
      <protection hidden="1"/>
    </xf>
    <xf numFmtId="0" fontId="37" fillId="0" borderId="101" xfId="0" applyFont="1" applyFill="1" applyBorder="1" applyAlignment="1" applyProtection="1">
      <alignment horizontal="left" vertical="center" wrapText="1" indent="7"/>
      <protection hidden="1"/>
    </xf>
    <xf numFmtId="3" fontId="38" fillId="2" borderId="239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65" xfId="0" applyFont="1" applyFill="1" applyBorder="1" applyAlignment="1" applyProtection="1">
      <alignment horizontal="left" vertical="center" indent="1"/>
      <protection hidden="1"/>
    </xf>
    <xf numFmtId="3" fontId="38" fillId="2" borderId="240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76" xfId="0" applyFont="1" applyFill="1" applyBorder="1" applyAlignment="1" applyProtection="1">
      <alignment horizontal="left" vertical="center" indent="1"/>
      <protection hidden="1"/>
    </xf>
    <xf numFmtId="3" fontId="38" fillId="0" borderId="77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241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76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0" xfId="0" applyFont="1" applyFill="1" applyBorder="1" applyAlignment="1" applyProtection="1">
      <alignment vertical="center"/>
      <protection hidden="1"/>
    </xf>
    <xf numFmtId="0" fontId="67" fillId="0" borderId="0" xfId="0" applyFont="1" applyFill="1" applyBorder="1" applyAlignment="1" applyProtection="1">
      <alignment vertical="center"/>
      <protection hidden="1"/>
    </xf>
    <xf numFmtId="0" fontId="58" fillId="0" borderId="30" xfId="0" applyFont="1" applyFill="1" applyBorder="1" applyAlignment="1" applyProtection="1">
      <alignment horizontal="center" vertical="center" wrapText="1"/>
      <protection hidden="1"/>
    </xf>
    <xf numFmtId="0" fontId="46" fillId="0" borderId="175" xfId="0" applyFont="1" applyFill="1" applyBorder="1" applyAlignment="1" applyProtection="1">
      <alignment horizontal="center" vertical="center" wrapText="1"/>
      <protection hidden="1"/>
    </xf>
    <xf numFmtId="0" fontId="46" fillId="0" borderId="176" xfId="0" applyFont="1" applyFill="1" applyBorder="1" applyAlignment="1" applyProtection="1">
      <alignment horizontal="center" vertical="center" wrapText="1"/>
      <protection hidden="1"/>
    </xf>
    <xf numFmtId="0" fontId="62" fillId="0" borderId="26" xfId="0" applyFont="1" applyFill="1" applyBorder="1" applyAlignment="1" applyProtection="1">
      <alignment horizontal="left" vertical="center"/>
      <protection hidden="1"/>
    </xf>
    <xf numFmtId="0" fontId="62" fillId="0" borderId="26" xfId="0" applyFont="1" applyFill="1" applyBorder="1" applyAlignment="1" applyProtection="1">
      <alignment horizontal="left" vertical="center" wrapText="1"/>
      <protection hidden="1"/>
    </xf>
    <xf numFmtId="3" fontId="46" fillId="0" borderId="27" xfId="0" applyNumberFormat="1" applyFont="1" applyFill="1" applyBorder="1" applyAlignment="1" applyProtection="1">
      <alignment horizontal="center" vertical="center" wrapText="1"/>
      <protection hidden="1"/>
    </xf>
    <xf numFmtId="3" fontId="46" fillId="0" borderId="177" xfId="0" applyNumberFormat="1" applyFont="1" applyFill="1" applyBorder="1" applyAlignment="1" applyProtection="1">
      <alignment horizontal="center" vertical="center" wrapText="1"/>
      <protection hidden="1"/>
    </xf>
    <xf numFmtId="3" fontId="46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76" fillId="0" borderId="60" xfId="0" applyFont="1" applyFill="1" applyBorder="1" applyAlignment="1" applyProtection="1">
      <alignment horizontal="left" vertical="center" indent="5"/>
      <protection hidden="1"/>
    </xf>
    <xf numFmtId="0" fontId="56" fillId="0" borderId="60" xfId="0" applyFont="1" applyFill="1" applyBorder="1" applyAlignment="1" applyProtection="1">
      <alignment horizontal="left" vertical="center" wrapText="1" indent="5"/>
      <protection hidden="1"/>
    </xf>
    <xf numFmtId="3" fontId="38" fillId="0" borderId="234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60" xfId="0" applyFont="1" applyFill="1" applyBorder="1" applyAlignment="1" applyProtection="1">
      <alignment horizontal="left" vertical="center" wrapText="1" indent="9"/>
      <protection hidden="1"/>
    </xf>
    <xf numFmtId="3" fontId="38" fillId="2" borderId="235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233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16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236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48" xfId="0" applyNumberFormat="1" applyFont="1" applyFill="1" applyBorder="1" applyAlignment="1" applyProtection="1">
      <alignment horizontal="center" vertical="center" shrinkToFit="1"/>
      <protection hidden="1"/>
    </xf>
    <xf numFmtId="0" fontId="76" fillId="0" borderId="65" xfId="0" applyFont="1" applyFill="1" applyBorder="1" applyAlignment="1" applyProtection="1">
      <alignment horizontal="left" vertical="center" indent="5"/>
      <protection hidden="1"/>
    </xf>
    <xf numFmtId="0" fontId="56" fillId="0" borderId="44" xfId="0" applyFont="1" applyFill="1" applyBorder="1" applyAlignment="1" applyProtection="1">
      <alignment horizontal="left" vertical="center" wrapText="1" indent="5"/>
      <protection hidden="1"/>
    </xf>
    <xf numFmtId="0" fontId="96" fillId="0" borderId="44" xfId="0" applyFont="1" applyFill="1" applyBorder="1" applyAlignment="1" applyProtection="1">
      <alignment horizontal="center" vertical="center" wrapText="1"/>
      <protection hidden="1"/>
    </xf>
    <xf numFmtId="3" fontId="38" fillId="2" borderId="179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237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44" xfId="0" applyFont="1" applyFill="1" applyBorder="1" applyAlignment="1" applyProtection="1">
      <alignment horizontal="left" vertical="center" indent="5"/>
      <protection hidden="1"/>
    </xf>
    <xf numFmtId="0" fontId="76" fillId="0" borderId="180" xfId="0" applyFont="1" applyFill="1" applyBorder="1" applyAlignment="1" applyProtection="1">
      <alignment horizontal="left" vertical="center" indent="5"/>
      <protection hidden="1"/>
    </xf>
    <xf numFmtId="0" fontId="56" fillId="0" borderId="180" xfId="0" applyFont="1" applyFill="1" applyBorder="1" applyAlignment="1" applyProtection="1">
      <alignment horizontal="left" vertical="center" wrapText="1" indent="5"/>
      <protection hidden="1"/>
    </xf>
    <xf numFmtId="0" fontId="96" fillId="0" borderId="180" xfId="0" applyFont="1" applyFill="1" applyBorder="1" applyAlignment="1" applyProtection="1">
      <alignment horizontal="center" vertical="center" wrapText="1"/>
      <protection hidden="1"/>
    </xf>
    <xf numFmtId="3" fontId="38" fillId="0" borderId="181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182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238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235" xfId="0" applyNumberFormat="1" applyFont="1" applyFill="1" applyBorder="1" applyAlignment="1" applyProtection="1">
      <alignment horizontal="center" vertical="center" shrinkToFit="1"/>
      <protection hidden="1"/>
    </xf>
    <xf numFmtId="0" fontId="44" fillId="0" borderId="54" xfId="0" applyFont="1" applyFill="1" applyBorder="1" applyAlignment="1" applyProtection="1">
      <alignment horizontal="left" vertical="center" wrapText="1" indent="6"/>
      <protection hidden="1"/>
    </xf>
    <xf numFmtId="3" fontId="38" fillId="0" borderId="0" xfId="0" applyNumberFormat="1" applyFont="1" applyFill="1" applyBorder="1" applyAlignment="1" applyProtection="1">
      <alignment vertical="center" shrinkToFit="1"/>
      <protection hidden="1"/>
    </xf>
    <xf numFmtId="3" fontId="38" fillId="0" borderId="21" xfId="0" applyNumberFormat="1" applyFont="1" applyFill="1" applyBorder="1" applyAlignment="1" applyProtection="1">
      <alignment vertical="center" shrinkToFit="1"/>
      <protection hidden="1"/>
    </xf>
    <xf numFmtId="0" fontId="44" fillId="0" borderId="173" xfId="0" applyFont="1" applyFill="1" applyBorder="1" applyAlignment="1" applyProtection="1">
      <alignment horizontal="left" vertical="center" wrapText="1" indent="6"/>
      <protection hidden="1"/>
    </xf>
    <xf numFmtId="3" fontId="38" fillId="2" borderId="174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35" xfId="0" applyNumberFormat="1" applyFont="1" applyFill="1" applyBorder="1" applyAlignment="1" applyProtection="1">
      <alignment vertical="center" shrinkToFit="1"/>
      <protection hidden="1"/>
    </xf>
    <xf numFmtId="3" fontId="38" fillId="0" borderId="30" xfId="0" applyNumberFormat="1" applyFont="1" applyFill="1" applyBorder="1" applyAlignment="1" applyProtection="1">
      <alignment vertical="center" shrinkToFit="1"/>
      <protection hidden="1"/>
    </xf>
    <xf numFmtId="3" fontId="53" fillId="0" borderId="7" xfId="0" applyNumberFormat="1" applyFont="1" applyFill="1" applyBorder="1" applyAlignment="1" applyProtection="1">
      <alignment vertical="center"/>
      <protection hidden="1"/>
    </xf>
    <xf numFmtId="3" fontId="53" fillId="0" borderId="0" xfId="0" applyNumberFormat="1" applyFont="1" applyFill="1" applyBorder="1" applyAlignment="1" applyProtection="1">
      <alignment vertical="center"/>
      <protection hidden="1"/>
    </xf>
    <xf numFmtId="0" fontId="97" fillId="0" borderId="0" xfId="0" applyFont="1" applyFill="1" applyBorder="1" applyAlignment="1" applyProtection="1">
      <alignment horizontal="center" vertical="center" shrinkToFit="1"/>
      <protection locked="0" hidden="1"/>
    </xf>
    <xf numFmtId="0" fontId="30" fillId="0" borderId="0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Fill="1" applyBorder="1" applyAlignment="1" applyProtection="1">
      <alignment horizontal="left" vertical="center" indent="1"/>
      <protection hidden="1"/>
    </xf>
    <xf numFmtId="0" fontId="98" fillId="0" borderId="0" xfId="0" applyFont="1" applyAlignment="1" applyProtection="1">
      <alignment vertical="center"/>
      <protection hidden="1"/>
    </xf>
    <xf numFmtId="14" fontId="44" fillId="0" borderId="0" xfId="0" applyNumberFormat="1" applyFont="1" applyFill="1" applyBorder="1" applyAlignment="1" applyProtection="1">
      <alignment vertical="center" shrinkToFit="1"/>
      <protection hidden="1"/>
    </xf>
    <xf numFmtId="0" fontId="60" fillId="0" borderId="0" xfId="0" applyFont="1" applyFill="1" applyAlignment="1" applyProtection="1">
      <alignment horizontal="left"/>
      <protection hidden="1"/>
    </xf>
    <xf numFmtId="0" fontId="59" fillId="0" borderId="0" xfId="0" applyFont="1" applyFill="1" applyAlignment="1">
      <alignment horizontal="left"/>
    </xf>
    <xf numFmtId="0" fontId="59" fillId="0" borderId="0" xfId="0" applyFont="1" applyFill="1" applyBorder="1" applyAlignment="1">
      <alignment horizontal="left"/>
    </xf>
    <xf numFmtId="0" fontId="59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Fill="1" applyBorder="1" applyAlignment="1">
      <alignment vertical="center"/>
    </xf>
    <xf numFmtId="0" fontId="75" fillId="0" borderId="0" xfId="0" applyFont="1" applyAlignment="1" applyProtection="1">
      <alignment vertical="center" wrapText="1"/>
      <protection hidden="1"/>
    </xf>
    <xf numFmtId="0" fontId="96" fillId="0" borderId="0" xfId="0" applyFont="1" applyFill="1" applyBorder="1" applyAlignment="1" applyProtection="1">
      <alignment horizontal="left" vertical="center"/>
      <protection hidden="1"/>
    </xf>
    <xf numFmtId="0" fontId="99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vertical="top"/>
      <protection hidden="1"/>
    </xf>
    <xf numFmtId="3" fontId="38" fillId="0" borderId="277" xfId="0" applyNumberFormat="1" applyFont="1" applyFill="1" applyBorder="1" applyAlignment="1" applyProtection="1">
      <alignment horizontal="center" vertical="center" shrinkToFit="1"/>
      <protection hidden="1"/>
    </xf>
    <xf numFmtId="0" fontId="38" fillId="0" borderId="0" xfId="0" applyFont="1" applyFill="1" applyAlignment="1" applyProtection="1">
      <alignment wrapText="1"/>
      <protection hidden="1"/>
    </xf>
    <xf numFmtId="0" fontId="38" fillId="0" borderId="0" xfId="0" applyFont="1" applyFill="1" applyBorder="1" applyAlignment="1" applyProtection="1">
      <protection hidden="1"/>
    </xf>
    <xf numFmtId="0" fontId="37" fillId="0" borderId="0" xfId="0" applyFont="1" applyBorder="1" applyAlignment="1" applyProtection="1">
      <alignment vertical="center"/>
      <protection hidden="1"/>
    </xf>
    <xf numFmtId="0" fontId="37" fillId="0" borderId="0" xfId="0" applyFont="1" applyAlignment="1" applyProtection="1">
      <alignment horizontal="left" vertical="center" wrapText="1"/>
      <protection hidden="1"/>
    </xf>
    <xf numFmtId="0" fontId="40" fillId="0" borderId="0" xfId="0" applyFont="1" applyFill="1" applyBorder="1" applyAlignment="1" applyProtection="1">
      <alignment vertical="top" wrapText="1"/>
      <protection locked="0"/>
    </xf>
    <xf numFmtId="1" fontId="0" fillId="0" borderId="0" xfId="0" applyNumberFormat="1" applyFill="1"/>
    <xf numFmtId="0" fontId="45" fillId="0" borderId="30" xfId="0" applyFont="1" applyFill="1" applyBorder="1" applyAlignment="1" applyProtection="1">
      <alignment horizontal="center" vertical="center" wrapText="1"/>
      <protection hidden="1"/>
    </xf>
    <xf numFmtId="3" fontId="38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38" fillId="2" borderId="278" xfId="0" applyNumberFormat="1" applyFont="1" applyFill="1" applyBorder="1" applyAlignment="1" applyProtection="1">
      <alignment horizontal="center" vertical="center" wrapText="1"/>
      <protection locked="0"/>
    </xf>
    <xf numFmtId="3" fontId="80" fillId="0" borderId="279" xfId="0" applyNumberFormat="1" applyFont="1" applyFill="1" applyBorder="1" applyAlignment="1" applyProtection="1">
      <alignment horizontal="center" vertical="center" wrapText="1"/>
      <protection hidden="1"/>
    </xf>
    <xf numFmtId="3" fontId="80" fillId="0" borderId="280" xfId="0" applyNumberFormat="1" applyFont="1" applyFill="1" applyBorder="1" applyAlignment="1" applyProtection="1">
      <alignment horizontal="center" vertical="center" wrapText="1"/>
      <protection hidden="1"/>
    </xf>
    <xf numFmtId="3" fontId="46" fillId="0" borderId="34" xfId="0" applyNumberFormat="1" applyFont="1" applyFill="1" applyBorder="1" applyAlignment="1" applyProtection="1">
      <alignment horizontal="center" vertical="center" wrapText="1"/>
      <protection hidden="1"/>
    </xf>
    <xf numFmtId="3" fontId="46" fillId="0" borderId="34" xfId="0" applyNumberFormat="1" applyFont="1" applyFill="1" applyBorder="1" applyAlignment="1" applyProtection="1">
      <alignment vertical="center" wrapText="1"/>
      <protection hidden="1"/>
    </xf>
    <xf numFmtId="3" fontId="46" fillId="0" borderId="26" xfId="0" applyNumberFormat="1" applyFont="1" applyFill="1" applyBorder="1" applyAlignment="1" applyProtection="1">
      <alignment vertical="center" wrapText="1"/>
      <protection hidden="1"/>
    </xf>
    <xf numFmtId="0" fontId="96" fillId="0" borderId="0" xfId="0" applyFont="1" applyFill="1" applyBorder="1" applyAlignment="1" applyProtection="1">
      <alignment horizontal="left" vertical="center"/>
      <protection hidden="1"/>
    </xf>
    <xf numFmtId="0" fontId="88" fillId="0" borderId="0" xfId="0" applyFont="1" applyBorder="1" applyAlignment="1" applyProtection="1">
      <alignment horizontal="center" vertical="center"/>
      <protection hidden="1"/>
    </xf>
    <xf numFmtId="0" fontId="38" fillId="0" borderId="65" xfId="0" applyFont="1" applyFill="1" applyBorder="1" applyAlignment="1" applyProtection="1">
      <alignment horizontal="center" vertical="center" wrapText="1"/>
      <protection hidden="1"/>
    </xf>
    <xf numFmtId="0" fontId="88" fillId="0" borderId="68" xfId="0" applyFont="1" applyBorder="1" applyAlignment="1" applyProtection="1">
      <alignment horizontal="center" vertical="center"/>
      <protection hidden="1"/>
    </xf>
    <xf numFmtId="0" fontId="88" fillId="0" borderId="68" xfId="0" applyFont="1" applyBorder="1" applyAlignment="1" applyProtection="1">
      <alignment horizontal="center" vertical="center" shrinkToFit="1"/>
      <protection hidden="1"/>
    </xf>
    <xf numFmtId="0" fontId="38" fillId="0" borderId="76" xfId="0" applyFont="1" applyFill="1" applyBorder="1" applyAlignment="1" applyProtection="1">
      <alignment horizontal="center" vertical="center" wrapText="1"/>
      <protection hidden="1"/>
    </xf>
    <xf numFmtId="0" fontId="88" fillId="0" borderId="80" xfId="0" applyFont="1" applyBorder="1" applyAlignment="1" applyProtection="1">
      <alignment horizontal="center" vertical="center"/>
      <protection hidden="1"/>
    </xf>
    <xf numFmtId="0" fontId="44" fillId="0" borderId="67" xfId="0" applyFont="1" applyFill="1" applyBorder="1" applyAlignment="1" applyProtection="1">
      <alignment vertical="center"/>
      <protection hidden="1"/>
    </xf>
    <xf numFmtId="0" fontId="100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indent="3"/>
    </xf>
    <xf numFmtId="0" fontId="0" fillId="0" borderId="0" xfId="0" applyFill="1"/>
    <xf numFmtId="1" fontId="3" fillId="0" borderId="0" xfId="0" applyNumberFormat="1" applyFont="1" applyFill="1"/>
    <xf numFmtId="0" fontId="38" fillId="0" borderId="0" xfId="0" applyFont="1" applyFill="1" applyBorder="1" applyAlignment="1" applyProtection="1">
      <alignment horizontal="center" vertical="center"/>
      <protection locked="0" hidden="1"/>
    </xf>
    <xf numFmtId="3" fontId="38" fillId="2" borderId="44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180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154" xfId="0" applyNumberFormat="1" applyFont="1" applyFill="1" applyBorder="1" applyAlignment="1" applyProtection="1">
      <alignment vertical="center" shrinkToFit="1"/>
      <protection hidden="1"/>
    </xf>
    <xf numFmtId="3" fontId="38" fillId="0" borderId="72" xfId="0" applyNumberFormat="1" applyFont="1" applyFill="1" applyBorder="1" applyAlignment="1" applyProtection="1">
      <alignment vertical="center" shrinkToFit="1"/>
      <protection hidden="1"/>
    </xf>
    <xf numFmtId="3" fontId="93" fillId="0" borderId="7" xfId="0" applyNumberFormat="1" applyFont="1" applyFill="1" applyBorder="1" applyAlignment="1" applyProtection="1">
      <alignment horizontal="center" vertical="center"/>
      <protection hidden="1"/>
    </xf>
    <xf numFmtId="3" fontId="38" fillId="0" borderId="0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0" xfId="0" applyFont="1" applyFill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left" vertical="center" indent="1"/>
      <protection hidden="1"/>
    </xf>
    <xf numFmtId="0" fontId="58" fillId="0" borderId="7" xfId="0" applyFont="1" applyFill="1" applyBorder="1" applyAlignment="1" applyProtection="1">
      <alignment horizontal="center" vertical="center" wrapText="1"/>
      <protection hidden="1"/>
    </xf>
    <xf numFmtId="0" fontId="58" fillId="0" borderId="30" xfId="0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Alignment="1" applyProtection="1">
      <alignment horizontal="center" vertical="center"/>
      <protection hidden="1"/>
    </xf>
    <xf numFmtId="0" fontId="60" fillId="0" borderId="0" xfId="0" applyFont="1" applyFill="1" applyBorder="1" applyAlignment="1" applyProtection="1">
      <alignment horizontal="center" vertical="center" wrapText="1"/>
      <protection hidden="1"/>
    </xf>
    <xf numFmtId="0" fontId="45" fillId="0" borderId="26" xfId="0" applyFont="1" applyFill="1" applyBorder="1" applyAlignment="1" applyProtection="1">
      <alignment horizontal="center" vertical="center" wrapText="1"/>
      <protection hidden="1"/>
    </xf>
    <xf numFmtId="0" fontId="58" fillId="0" borderId="7" xfId="0" applyFont="1" applyFill="1" applyBorder="1" applyAlignment="1" applyProtection="1">
      <alignment horizontal="center" vertical="center" wrapText="1"/>
      <protection hidden="1"/>
    </xf>
    <xf numFmtId="0" fontId="58" fillId="0" borderId="30" xfId="0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Fill="1" applyBorder="1" applyAlignment="1" applyProtection="1">
      <alignment horizontal="center" vertical="center" wrapText="1"/>
      <protection hidden="1"/>
    </xf>
    <xf numFmtId="0" fontId="46" fillId="0" borderId="76" xfId="0" applyFont="1" applyFill="1" applyBorder="1" applyAlignment="1" applyProtection="1">
      <alignment horizontal="center" vertical="center" wrapText="1"/>
      <protection hidden="1"/>
    </xf>
    <xf numFmtId="0" fontId="38" fillId="0" borderId="48" xfId="0" applyFont="1" applyFill="1" applyBorder="1" applyAlignment="1" applyProtection="1">
      <alignment horizontal="left" vertical="center" indent="3"/>
      <protection hidden="1"/>
    </xf>
    <xf numFmtId="0" fontId="58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283" xfId="0" applyFont="1" applyFill="1" applyBorder="1" applyAlignment="1" applyProtection="1">
      <alignment vertical="center"/>
      <protection hidden="1"/>
    </xf>
    <xf numFmtId="0" fontId="37" fillId="0" borderId="23" xfId="0" applyFont="1" applyFill="1" applyBorder="1" applyAlignment="1" applyProtection="1">
      <alignment horizontal="left" vertical="center" indent="3"/>
      <protection hidden="1"/>
    </xf>
    <xf numFmtId="0" fontId="44" fillId="2" borderId="133" xfId="0" applyFont="1" applyFill="1" applyBorder="1" applyAlignment="1" applyProtection="1">
      <alignment horizontal="left" vertical="center" wrapText="1" indent="3"/>
      <protection locked="0"/>
    </xf>
    <xf numFmtId="0" fontId="45" fillId="0" borderId="133" xfId="0" applyFont="1" applyFill="1" applyBorder="1" applyAlignment="1" applyProtection="1">
      <alignment horizontal="left" vertical="center"/>
      <protection hidden="1"/>
    </xf>
    <xf numFmtId="0" fontId="73" fillId="0" borderId="133" xfId="0" applyFont="1" applyFill="1" applyBorder="1" applyAlignment="1" applyProtection="1">
      <alignment horizontal="center" vertical="center"/>
      <protection hidden="1"/>
    </xf>
    <xf numFmtId="0" fontId="73" fillId="0" borderId="284" xfId="0" applyFont="1" applyFill="1" applyBorder="1" applyAlignment="1" applyProtection="1">
      <alignment horizontal="center" vertical="center"/>
      <protection hidden="1"/>
    </xf>
    <xf numFmtId="0" fontId="30" fillId="0" borderId="54" xfId="0" applyFont="1" applyBorder="1" applyAlignment="1" applyProtection="1">
      <alignment vertical="center"/>
      <protection hidden="1"/>
    </xf>
    <xf numFmtId="0" fontId="45" fillId="0" borderId="285" xfId="0" applyFont="1" applyFill="1" applyBorder="1" applyAlignment="1" applyProtection="1">
      <alignment horizontal="left" vertical="center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locked="0"/>
    </xf>
    <xf numFmtId="0" fontId="73" fillId="0" borderId="0" xfId="0" applyFont="1" applyFill="1" applyBorder="1" applyAlignment="1" applyProtection="1">
      <alignment horizontal="left" vertical="center"/>
      <protection hidden="1"/>
    </xf>
    <xf numFmtId="3" fontId="101" fillId="0" borderId="0" xfId="0" applyNumberFormat="1" applyFont="1" applyFill="1" applyBorder="1" applyAlignment="1" applyProtection="1">
      <alignment horizontal="left" vertical="center" indent="4"/>
      <protection hidden="1"/>
    </xf>
    <xf numFmtId="0" fontId="76" fillId="0" borderId="39" xfId="0" applyFont="1" applyFill="1" applyBorder="1" applyAlignment="1" applyProtection="1">
      <alignment horizontal="left" vertical="center" indent="1"/>
      <protection hidden="1"/>
    </xf>
    <xf numFmtId="3" fontId="38" fillId="2" borderId="286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0" xfId="0" applyFont="1" applyFill="1" applyBorder="1" applyAlignment="1" applyProtection="1">
      <alignment vertical="center"/>
      <protection hidden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0" fontId="44" fillId="0" borderId="39" xfId="0" applyFont="1" applyFill="1" applyBorder="1" applyAlignment="1" applyProtection="1">
      <alignment vertical="center"/>
      <protection hidden="1"/>
    </xf>
    <xf numFmtId="0" fontId="102" fillId="0" borderId="0" xfId="0" applyFont="1"/>
    <xf numFmtId="0" fontId="103" fillId="0" borderId="0" xfId="0" applyFont="1"/>
    <xf numFmtId="0" fontId="100" fillId="0" borderId="0" xfId="0" applyFont="1"/>
    <xf numFmtId="0" fontId="103" fillId="36" borderId="0" xfId="0" applyFont="1" applyFill="1"/>
    <xf numFmtId="3" fontId="75" fillId="0" borderId="0" xfId="0" applyNumberFormat="1" applyFont="1" applyFill="1" applyBorder="1" applyAlignment="1" applyProtection="1">
      <alignment vertical="center" wrapText="1"/>
      <protection hidden="1"/>
    </xf>
    <xf numFmtId="0" fontId="104" fillId="0" borderId="0" xfId="0" applyFont="1" applyFill="1" applyBorder="1" applyAlignment="1" applyProtection="1">
      <alignment vertical="center"/>
      <protection hidden="1"/>
    </xf>
    <xf numFmtId="0" fontId="105" fillId="0" borderId="0" xfId="0" applyFont="1"/>
    <xf numFmtId="1" fontId="105" fillId="0" borderId="0" xfId="0" applyNumberFormat="1" applyFont="1"/>
    <xf numFmtId="0" fontId="96" fillId="0" borderId="0" xfId="0" applyFont="1" applyFill="1" applyBorder="1" applyAlignment="1" applyProtection="1">
      <alignment horizontal="center" vertical="center" wrapText="1"/>
      <protection hidden="1"/>
    </xf>
    <xf numFmtId="0" fontId="96" fillId="0" borderId="9" xfId="0" applyFont="1" applyFill="1" applyBorder="1" applyAlignment="1" applyProtection="1">
      <alignment horizontal="center" vertical="center" wrapText="1"/>
      <protection hidden="1"/>
    </xf>
    <xf numFmtId="0" fontId="44" fillId="2" borderId="64" xfId="0" applyFont="1" applyFill="1" applyBorder="1" applyAlignment="1" applyProtection="1">
      <alignment horizontal="center" vertical="center" shrinkToFit="1"/>
      <protection locked="0" hidden="1"/>
    </xf>
    <xf numFmtId="0" fontId="44" fillId="2" borderId="66" xfId="0" applyFont="1" applyFill="1" applyBorder="1" applyAlignment="1" applyProtection="1">
      <alignment horizontal="center" vertical="center" shrinkToFit="1"/>
      <protection locked="0" hidden="1"/>
    </xf>
    <xf numFmtId="0" fontId="44" fillId="2" borderId="64" xfId="0" applyFont="1" applyFill="1" applyBorder="1" applyAlignment="1" applyProtection="1">
      <alignment horizontal="left" vertical="center" shrinkToFit="1"/>
      <protection locked="0" hidden="1"/>
    </xf>
    <xf numFmtId="0" fontId="44" fillId="2" borderId="66" xfId="0" applyFont="1" applyFill="1" applyBorder="1" applyAlignment="1" applyProtection="1">
      <alignment horizontal="left" vertical="center" shrinkToFit="1"/>
      <protection locked="0" hidden="1"/>
    </xf>
    <xf numFmtId="0" fontId="44" fillId="2" borderId="38" xfId="0" applyFont="1" applyFill="1" applyBorder="1" applyAlignment="1" applyProtection="1">
      <alignment horizontal="left" vertical="center" shrinkToFit="1"/>
      <protection locked="0" hidden="1"/>
    </xf>
    <xf numFmtId="0" fontId="44" fillId="2" borderId="39" xfId="0" applyFont="1" applyFill="1" applyBorder="1" applyAlignment="1" applyProtection="1">
      <alignment horizontal="left" vertical="center" shrinkToFit="1"/>
      <protection locked="0" hidden="1"/>
    </xf>
    <xf numFmtId="0" fontId="44" fillId="2" borderId="40" xfId="0" applyFont="1" applyFill="1" applyBorder="1" applyAlignment="1" applyProtection="1">
      <alignment horizontal="left" vertical="center" shrinkToFit="1"/>
      <protection locked="0" hidden="1"/>
    </xf>
    <xf numFmtId="0" fontId="44" fillId="2" borderId="43" xfId="0" applyFont="1" applyFill="1" applyBorder="1" applyAlignment="1" applyProtection="1">
      <alignment horizontal="left" vertical="center" shrinkToFit="1"/>
      <protection locked="0" hidden="1"/>
    </xf>
    <xf numFmtId="0" fontId="44" fillId="2" borderId="44" xfId="0" applyFont="1" applyFill="1" applyBorder="1" applyAlignment="1" applyProtection="1">
      <alignment horizontal="left" vertical="center" shrinkToFit="1"/>
      <protection locked="0" hidden="1"/>
    </xf>
    <xf numFmtId="0" fontId="44" fillId="2" borderId="45" xfId="0" applyFont="1" applyFill="1" applyBorder="1" applyAlignment="1" applyProtection="1">
      <alignment horizontal="left" vertical="center" shrinkToFit="1"/>
      <protection locked="0" hidden="1"/>
    </xf>
    <xf numFmtId="0" fontId="30" fillId="0" borderId="0" xfId="0" applyFont="1" applyFill="1" applyBorder="1" applyAlignment="1" applyProtection="1">
      <alignment horizontal="right" vertical="center" wrapText="1"/>
      <protection hidden="1"/>
    </xf>
    <xf numFmtId="0" fontId="43" fillId="2" borderId="64" xfId="0" applyFont="1" applyFill="1" applyBorder="1" applyAlignment="1" applyProtection="1">
      <alignment horizontal="center" vertical="center" shrinkToFit="1"/>
      <protection locked="0" hidden="1"/>
    </xf>
    <xf numFmtId="0" fontId="43" fillId="2" borderId="65" xfId="0" applyFont="1" applyFill="1" applyBorder="1" applyAlignment="1" applyProtection="1">
      <alignment horizontal="center" vertical="center" shrinkToFit="1"/>
      <protection locked="0" hidden="1"/>
    </xf>
    <xf numFmtId="0" fontId="43" fillId="2" borderId="66" xfId="0" applyFont="1" applyFill="1" applyBorder="1" applyAlignment="1" applyProtection="1">
      <alignment horizontal="center" vertical="center" shrinkToFit="1"/>
      <protection locked="0" hidden="1"/>
    </xf>
    <xf numFmtId="164" fontId="44" fillId="2" borderId="64" xfId="0" applyNumberFormat="1" applyFont="1" applyFill="1" applyBorder="1" applyAlignment="1" applyProtection="1">
      <alignment horizontal="center" vertical="center" shrinkToFit="1"/>
      <protection locked="0" hidden="1"/>
    </xf>
    <xf numFmtId="164" fontId="44" fillId="2" borderId="66" xfId="0" applyNumberFormat="1" applyFont="1" applyFill="1" applyBorder="1" applyAlignment="1" applyProtection="1">
      <alignment horizontal="center" vertical="center" shrinkToFit="1"/>
      <protection locked="0" hidden="1"/>
    </xf>
    <xf numFmtId="0" fontId="37" fillId="2" borderId="64" xfId="1" applyFont="1" applyFill="1" applyBorder="1" applyAlignment="1" applyProtection="1">
      <alignment horizontal="left" vertical="center" shrinkToFit="1"/>
      <protection locked="0" hidden="1"/>
    </xf>
    <xf numFmtId="0" fontId="37" fillId="2" borderId="65" xfId="0" applyFont="1" applyFill="1" applyBorder="1" applyAlignment="1" applyProtection="1">
      <alignment horizontal="left" vertical="center" shrinkToFit="1"/>
      <protection locked="0" hidden="1"/>
    </xf>
    <xf numFmtId="0" fontId="37" fillId="2" borderId="66" xfId="0" applyFont="1" applyFill="1" applyBorder="1" applyAlignment="1" applyProtection="1">
      <alignment horizontal="left" vertical="center" shrinkToFit="1"/>
      <protection locked="0" hidden="1"/>
    </xf>
    <xf numFmtId="0" fontId="44" fillId="2" borderId="65" xfId="0" applyFont="1" applyFill="1" applyBorder="1" applyAlignment="1" applyProtection="1">
      <alignment horizontal="center" vertical="center" shrinkToFit="1"/>
      <protection locked="0" hidden="1"/>
    </xf>
    <xf numFmtId="0" fontId="30" fillId="0" borderId="0" xfId="0" applyFont="1" applyBorder="1" applyAlignment="1" applyProtection="1">
      <alignment horizontal="right" vertical="center"/>
      <protection hidden="1"/>
    </xf>
    <xf numFmtId="0" fontId="30" fillId="0" borderId="42" xfId="0" applyFont="1" applyBorder="1" applyAlignment="1" applyProtection="1">
      <alignment horizontal="right" vertical="center"/>
      <protection hidden="1"/>
    </xf>
    <xf numFmtId="0" fontId="31" fillId="0" borderId="38" xfId="0" applyFont="1" applyBorder="1" applyAlignment="1" applyProtection="1">
      <alignment horizontal="center" vertical="center" shrinkToFit="1"/>
      <protection hidden="1"/>
    </xf>
    <xf numFmtId="0" fontId="31" fillId="0" borderId="39" xfId="0" applyFont="1" applyBorder="1" applyAlignment="1" applyProtection="1">
      <alignment horizontal="center" vertical="center" shrinkToFit="1"/>
      <protection hidden="1"/>
    </xf>
    <xf numFmtId="0" fontId="31" fillId="0" borderId="40" xfId="0" applyFont="1" applyBorder="1" applyAlignment="1" applyProtection="1">
      <alignment horizontal="center" vertical="center" shrinkToFit="1"/>
      <protection hidden="1"/>
    </xf>
    <xf numFmtId="0" fontId="31" fillId="0" borderId="43" xfId="0" applyFont="1" applyBorder="1" applyAlignment="1" applyProtection="1">
      <alignment horizontal="center" vertical="center" shrinkToFit="1"/>
      <protection hidden="1"/>
    </xf>
    <xf numFmtId="0" fontId="31" fillId="0" borderId="44" xfId="0" applyFont="1" applyBorder="1" applyAlignment="1" applyProtection="1">
      <alignment horizontal="center" vertical="center" shrinkToFit="1"/>
      <protection hidden="1"/>
    </xf>
    <xf numFmtId="0" fontId="31" fillId="0" borderId="45" xfId="0" applyFont="1" applyBorder="1" applyAlignment="1" applyProtection="1">
      <alignment horizontal="center" vertical="center" shrinkToFit="1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44" fillId="2" borderId="65" xfId="0" applyFont="1" applyFill="1" applyBorder="1" applyAlignment="1" applyProtection="1">
      <alignment horizontal="left" vertical="center" shrinkToFit="1"/>
      <protection locked="0" hidden="1"/>
    </xf>
    <xf numFmtId="0" fontId="44" fillId="0" borderId="0" xfId="0" applyFont="1" applyFill="1" applyBorder="1" applyAlignment="1" applyProtection="1">
      <alignment horizontal="right" vertical="center" wrapText="1"/>
      <protection hidden="1"/>
    </xf>
    <xf numFmtId="0" fontId="44" fillId="0" borderId="42" xfId="0" applyFont="1" applyFill="1" applyBorder="1" applyAlignment="1" applyProtection="1">
      <alignment horizontal="right" vertical="center" wrapText="1"/>
      <protection hidden="1"/>
    </xf>
    <xf numFmtId="0" fontId="38" fillId="2" borderId="67" xfId="0" applyFont="1" applyFill="1" applyBorder="1" applyAlignment="1" applyProtection="1">
      <alignment horizontal="center" vertical="center"/>
      <protection locked="0" hidden="1"/>
    </xf>
    <xf numFmtId="0" fontId="96" fillId="0" borderId="0" xfId="0" applyFont="1" applyFill="1" applyBorder="1" applyAlignment="1" applyProtection="1">
      <alignment horizontal="left" vertical="center"/>
      <protection hidden="1"/>
    </xf>
    <xf numFmtId="0" fontId="33" fillId="2" borderId="64" xfId="0" applyFont="1" applyFill="1" applyBorder="1" applyAlignment="1" applyProtection="1">
      <alignment horizontal="center" vertical="center" shrinkToFit="1"/>
      <protection locked="0"/>
    </xf>
    <xf numFmtId="0" fontId="33" fillId="2" borderId="65" xfId="0" applyFont="1" applyFill="1" applyBorder="1" applyAlignment="1" applyProtection="1">
      <alignment horizontal="center" vertical="center" shrinkToFit="1"/>
      <protection locked="0"/>
    </xf>
    <xf numFmtId="0" fontId="33" fillId="2" borderId="66" xfId="0" applyFont="1" applyFill="1" applyBorder="1" applyAlignment="1" applyProtection="1">
      <alignment horizontal="center" vertical="center" shrinkToFit="1"/>
      <protection locked="0"/>
    </xf>
    <xf numFmtId="0" fontId="44" fillId="0" borderId="67" xfId="0" applyFont="1" applyFill="1" applyBorder="1" applyAlignment="1" applyProtection="1">
      <protection hidden="1"/>
    </xf>
    <xf numFmtId="0" fontId="44" fillId="0" borderId="67" xfId="0" applyFont="1" applyFill="1" applyBorder="1" applyAlignment="1" applyProtection="1">
      <alignment vertical="center"/>
      <protection hidden="1"/>
    </xf>
    <xf numFmtId="0" fontId="44" fillId="0" borderId="64" xfId="0" applyFont="1" applyFill="1" applyBorder="1" applyAlignment="1" applyProtection="1">
      <alignment vertical="center"/>
      <protection hidden="1"/>
    </xf>
    <xf numFmtId="0" fontId="44" fillId="0" borderId="65" xfId="0" applyFont="1" applyFill="1" applyBorder="1" applyAlignment="1" applyProtection="1">
      <alignment vertical="center"/>
      <protection hidden="1"/>
    </xf>
    <xf numFmtId="0" fontId="44" fillId="0" borderId="66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44" fillId="2" borderId="64" xfId="0" applyFont="1" applyFill="1" applyBorder="1" applyAlignment="1" applyProtection="1">
      <alignment horizontal="center" vertical="center"/>
      <protection locked="0"/>
    </xf>
    <xf numFmtId="0" fontId="44" fillId="2" borderId="65" xfId="0" applyFont="1" applyFill="1" applyBorder="1" applyAlignment="1" applyProtection="1">
      <alignment horizontal="center" vertical="center"/>
      <protection locked="0"/>
    </xf>
    <xf numFmtId="0" fontId="44" fillId="2" borderId="66" xfId="0" applyFont="1" applyFill="1" applyBorder="1" applyAlignment="1" applyProtection="1">
      <alignment horizontal="center" vertical="center"/>
      <protection locked="0"/>
    </xf>
    <xf numFmtId="164" fontId="44" fillId="2" borderId="64" xfId="0" applyNumberFormat="1" applyFont="1" applyFill="1" applyBorder="1" applyAlignment="1" applyProtection="1">
      <alignment horizontal="center" vertical="center" shrinkToFit="1"/>
      <protection locked="0"/>
    </xf>
    <xf numFmtId="164" fontId="44" fillId="2" borderId="65" xfId="0" applyNumberFormat="1" applyFont="1" applyFill="1" applyBorder="1" applyAlignment="1" applyProtection="1">
      <alignment horizontal="center" vertical="center" shrinkToFit="1"/>
      <protection locked="0"/>
    </xf>
    <xf numFmtId="164" fontId="44" fillId="2" borderId="66" xfId="0" applyNumberFormat="1" applyFont="1" applyFill="1" applyBorder="1" applyAlignment="1" applyProtection="1">
      <alignment horizontal="center" vertical="center" shrinkToFit="1"/>
      <protection locked="0"/>
    </xf>
    <xf numFmtId="14" fontId="4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3" fillId="0" borderId="15" xfId="0" applyNumberFormat="1" applyFont="1" applyBorder="1" applyAlignment="1" applyProtection="1">
      <alignment horizontal="center"/>
    </xf>
    <xf numFmtId="0" fontId="32" fillId="0" borderId="38" xfId="0" applyFont="1" applyBorder="1" applyAlignment="1" applyProtection="1">
      <alignment horizontal="justify" vertical="center" wrapText="1"/>
      <protection hidden="1"/>
    </xf>
    <xf numFmtId="0" fontId="32" fillId="0" borderId="39" xfId="0" applyFont="1" applyBorder="1" applyAlignment="1" applyProtection="1">
      <alignment horizontal="justify" vertical="center" wrapText="1"/>
      <protection hidden="1"/>
    </xf>
    <xf numFmtId="0" fontId="32" fillId="0" borderId="40" xfId="0" applyFont="1" applyBorder="1" applyAlignment="1" applyProtection="1">
      <alignment horizontal="justify" vertical="center" wrapText="1"/>
      <protection hidden="1"/>
    </xf>
    <xf numFmtId="0" fontId="32" fillId="0" borderId="41" xfId="0" applyFont="1" applyBorder="1" applyAlignment="1" applyProtection="1">
      <alignment horizontal="justify" vertical="center" wrapText="1"/>
      <protection hidden="1"/>
    </xf>
    <xf numFmtId="0" fontId="32" fillId="0" borderId="0" xfId="0" applyFont="1" applyBorder="1" applyAlignment="1" applyProtection="1">
      <alignment horizontal="justify" vertical="center" wrapText="1"/>
      <protection hidden="1"/>
    </xf>
    <xf numFmtId="0" fontId="32" fillId="0" borderId="42" xfId="0" applyFont="1" applyBorder="1" applyAlignment="1" applyProtection="1">
      <alignment horizontal="justify" vertical="center" wrapText="1"/>
      <protection hidden="1"/>
    </xf>
    <xf numFmtId="0" fontId="32" fillId="0" borderId="43" xfId="0" applyFont="1" applyBorder="1" applyAlignment="1" applyProtection="1">
      <alignment horizontal="justify" vertical="center" wrapText="1"/>
      <protection hidden="1"/>
    </xf>
    <xf numFmtId="0" fontId="32" fillId="0" borderId="44" xfId="0" applyFont="1" applyBorder="1" applyAlignment="1" applyProtection="1">
      <alignment horizontal="justify" vertical="center" wrapText="1"/>
      <protection hidden="1"/>
    </xf>
    <xf numFmtId="0" fontId="32" fillId="0" borderId="45" xfId="0" applyFont="1" applyBorder="1" applyAlignment="1" applyProtection="1">
      <alignment horizontal="justify" vertical="center" wrapText="1"/>
      <protection hidden="1"/>
    </xf>
    <xf numFmtId="0" fontId="30" fillId="0" borderId="1" xfId="0" applyFont="1" applyBorder="1" applyAlignment="1" applyProtection="1">
      <alignment horizontal="center"/>
      <protection hidden="1"/>
    </xf>
    <xf numFmtId="0" fontId="44" fillId="0" borderId="64" xfId="0" applyFont="1" applyFill="1" applyBorder="1" applyAlignment="1" applyProtection="1">
      <alignment horizontal="left" vertical="center"/>
      <protection hidden="1"/>
    </xf>
    <xf numFmtId="0" fontId="44" fillId="0" borderId="66" xfId="0" applyFont="1" applyFill="1" applyBorder="1" applyAlignment="1" applyProtection="1">
      <alignment horizontal="left" vertical="center"/>
      <protection hidden="1"/>
    </xf>
    <xf numFmtId="0" fontId="37" fillId="2" borderId="38" xfId="0" applyFont="1" applyFill="1" applyBorder="1" applyAlignment="1" applyProtection="1">
      <alignment horizontal="left" vertical="top" wrapText="1"/>
      <protection locked="0"/>
    </xf>
    <xf numFmtId="0" fontId="37" fillId="2" borderId="39" xfId="0" applyFont="1" applyFill="1" applyBorder="1" applyAlignment="1" applyProtection="1">
      <alignment horizontal="left" vertical="top" wrapText="1"/>
      <protection locked="0"/>
    </xf>
    <xf numFmtId="0" fontId="37" fillId="2" borderId="40" xfId="0" applyFont="1" applyFill="1" applyBorder="1" applyAlignment="1" applyProtection="1">
      <alignment horizontal="left" vertical="top" wrapText="1"/>
      <protection locked="0"/>
    </xf>
    <xf numFmtId="0" fontId="37" fillId="2" borderId="41" xfId="0" applyFont="1" applyFill="1" applyBorder="1" applyAlignment="1" applyProtection="1">
      <alignment horizontal="left" vertical="top" wrapText="1"/>
      <protection locked="0"/>
    </xf>
    <xf numFmtId="0" fontId="37" fillId="2" borderId="0" xfId="0" applyFont="1" applyFill="1" applyBorder="1" applyAlignment="1" applyProtection="1">
      <alignment horizontal="left" vertical="top" wrapText="1"/>
      <protection locked="0"/>
    </xf>
    <xf numFmtId="0" fontId="37" fillId="2" borderId="42" xfId="0" applyFont="1" applyFill="1" applyBorder="1" applyAlignment="1" applyProtection="1">
      <alignment horizontal="left" vertical="top" wrapText="1"/>
      <protection locked="0"/>
    </xf>
    <xf numFmtId="0" fontId="37" fillId="2" borderId="43" xfId="0" applyFont="1" applyFill="1" applyBorder="1" applyAlignment="1" applyProtection="1">
      <alignment horizontal="left" vertical="top" wrapText="1"/>
      <protection locked="0"/>
    </xf>
    <xf numFmtId="0" fontId="37" fillId="2" borderId="44" xfId="0" applyFont="1" applyFill="1" applyBorder="1" applyAlignment="1" applyProtection="1">
      <alignment horizontal="left" vertical="top" wrapText="1"/>
      <protection locked="0"/>
    </xf>
    <xf numFmtId="0" fontId="37" fillId="2" borderId="45" xfId="0" applyFont="1" applyFill="1" applyBorder="1" applyAlignment="1" applyProtection="1">
      <alignment horizontal="left" vertical="top" wrapText="1"/>
      <protection locked="0"/>
    </xf>
    <xf numFmtId="0" fontId="44" fillId="0" borderId="48" xfId="0" applyFont="1" applyFill="1" applyBorder="1" applyAlignment="1" applyProtection="1">
      <alignment horizontal="left" vertical="center" wrapText="1" indent="6"/>
      <protection hidden="1"/>
    </xf>
    <xf numFmtId="0" fontId="44" fillId="0" borderId="62" xfId="0" applyFont="1" applyFill="1" applyBorder="1" applyAlignment="1" applyProtection="1">
      <alignment horizontal="left" vertical="center" wrapText="1" indent="6"/>
      <protection hidden="1"/>
    </xf>
    <xf numFmtId="0" fontId="37" fillId="0" borderId="282" xfId="0" applyFont="1" applyBorder="1" applyAlignment="1" applyProtection="1">
      <alignment horizontal="center" vertical="center"/>
      <protection hidden="1"/>
    </xf>
    <xf numFmtId="0" fontId="37" fillId="0" borderId="21" xfId="0" applyFont="1" applyBorder="1" applyAlignment="1" applyProtection="1">
      <alignment horizontal="center" vertical="center"/>
      <protection hidden="1"/>
    </xf>
    <xf numFmtId="0" fontId="37" fillId="0" borderId="35" xfId="0" applyFont="1" applyBorder="1" applyAlignment="1" applyProtection="1">
      <alignment horizontal="center" vertical="center"/>
      <protection hidden="1"/>
    </xf>
    <xf numFmtId="3" fontId="75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75" fillId="0" borderId="154" xfId="0" applyNumberFormat="1" applyFont="1" applyFill="1" applyBorder="1" applyAlignment="1" applyProtection="1">
      <alignment horizontal="center" vertical="center" wrapText="1"/>
      <protection hidden="1"/>
    </xf>
    <xf numFmtId="0" fontId="76" fillId="0" borderId="184" xfId="0" applyFont="1" applyFill="1" applyBorder="1" applyAlignment="1" applyProtection="1">
      <alignment horizontal="left" vertical="center" wrapText="1" indent="5"/>
      <protection hidden="1"/>
    </xf>
    <xf numFmtId="0" fontId="76" fillId="0" borderId="183" xfId="0" applyFont="1" applyFill="1" applyBorder="1" applyAlignment="1" applyProtection="1">
      <alignment horizontal="left" vertical="center" wrapText="1" indent="5"/>
      <protection hidden="1"/>
    </xf>
    <xf numFmtId="0" fontId="58" fillId="0" borderId="33" xfId="0" applyFont="1" applyFill="1" applyBorder="1" applyAlignment="1" applyProtection="1">
      <alignment horizontal="center" vertical="center"/>
      <protection hidden="1"/>
    </xf>
    <xf numFmtId="0" fontId="58" fillId="0" borderId="18" xfId="0" applyFont="1" applyFill="1" applyBorder="1" applyAlignment="1" applyProtection="1">
      <alignment horizontal="center" vertical="center"/>
      <protection hidden="1"/>
    </xf>
    <xf numFmtId="0" fontId="95" fillId="0" borderId="109" xfId="0" applyFont="1" applyFill="1" applyBorder="1" applyAlignment="1" applyProtection="1">
      <alignment horizontal="left" vertical="center" wrapText="1"/>
      <protection hidden="1"/>
    </xf>
    <xf numFmtId="0" fontId="95" fillId="0" borderId="178" xfId="0" applyFont="1" applyFill="1" applyBorder="1" applyAlignment="1" applyProtection="1">
      <alignment horizontal="left" vertical="center" wrapText="1"/>
      <protection hidden="1"/>
    </xf>
    <xf numFmtId="3" fontId="75" fillId="0" borderId="220" xfId="0" applyNumberFormat="1" applyFont="1" applyFill="1" applyBorder="1" applyAlignment="1" applyProtection="1">
      <alignment horizontal="center" vertical="center" wrapText="1"/>
      <protection hidden="1"/>
    </xf>
    <xf numFmtId="3" fontId="75" fillId="0" borderId="101" xfId="0" applyNumberFormat="1" applyFont="1" applyFill="1" applyBorder="1" applyAlignment="1" applyProtection="1">
      <alignment horizontal="center" vertical="center" wrapText="1"/>
      <protection hidden="1"/>
    </xf>
    <xf numFmtId="3" fontId="75" fillId="0" borderId="281" xfId="0" applyNumberFormat="1" applyFont="1" applyFill="1" applyBorder="1" applyAlignment="1" applyProtection="1">
      <alignment horizontal="center" vertical="center" wrapText="1"/>
      <protection hidden="1"/>
    </xf>
    <xf numFmtId="3" fontId="75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60" fillId="0" borderId="30" xfId="0" applyFont="1" applyFill="1" applyBorder="1" applyAlignment="1" applyProtection="1">
      <alignment horizontal="left" vertical="center" wrapText="1"/>
      <protection hidden="1"/>
    </xf>
    <xf numFmtId="0" fontId="45" fillId="0" borderId="36" xfId="0" applyFont="1" applyFill="1" applyBorder="1" applyAlignment="1" applyProtection="1">
      <alignment horizontal="center" vertical="center" wrapText="1"/>
      <protection hidden="1"/>
    </xf>
    <xf numFmtId="0" fontId="45" fillId="0" borderId="35" xfId="0" applyFont="1" applyFill="1" applyBorder="1" applyAlignment="1" applyProtection="1">
      <alignment horizontal="center" vertical="center" wrapText="1"/>
      <protection hidden="1"/>
    </xf>
    <xf numFmtId="0" fontId="58" fillId="0" borderId="7" xfId="0" applyFont="1" applyFill="1" applyBorder="1" applyAlignment="1" applyProtection="1">
      <alignment horizontal="center" vertical="center" wrapText="1"/>
      <protection hidden="1"/>
    </xf>
    <xf numFmtId="0" fontId="58" fillId="0" borderId="30" xfId="0" applyFont="1" applyFill="1" applyBorder="1" applyAlignment="1" applyProtection="1">
      <alignment horizontal="center" vertical="center" wrapText="1"/>
      <protection hidden="1"/>
    </xf>
    <xf numFmtId="0" fontId="58" fillId="0" borderId="17" xfId="0" applyFont="1" applyFill="1" applyBorder="1" applyAlignment="1" applyProtection="1">
      <alignment horizontal="center" vertical="center"/>
      <protection hidden="1"/>
    </xf>
    <xf numFmtId="0" fontId="60" fillId="0" borderId="64" xfId="0" applyFont="1" applyFill="1" applyBorder="1" applyAlignment="1">
      <alignment horizontal="center" vertical="center"/>
    </xf>
    <xf numFmtId="0" fontId="60" fillId="0" borderId="66" xfId="0" applyFont="1" applyFill="1" applyBorder="1" applyAlignment="1">
      <alignment horizontal="center" vertical="center"/>
    </xf>
    <xf numFmtId="0" fontId="56" fillId="0" borderId="111" xfId="0" applyFont="1" applyFill="1" applyBorder="1" applyAlignment="1" applyProtection="1">
      <alignment horizontal="center" vertical="center" wrapText="1"/>
      <protection hidden="1"/>
    </xf>
    <xf numFmtId="0" fontId="56" fillId="0" borderId="274" xfId="0" applyFont="1" applyFill="1" applyBorder="1" applyAlignment="1" applyProtection="1">
      <alignment horizontal="center" vertical="center" wrapText="1"/>
      <protection hidden="1"/>
    </xf>
    <xf numFmtId="3" fontId="38" fillId="0" borderId="87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1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94" fillId="0" borderId="0" xfId="0" applyFont="1" applyFill="1" applyBorder="1" applyAlignment="1" applyProtection="1">
      <alignment horizontal="center" vertical="top" wrapText="1"/>
      <protection hidden="1"/>
    </xf>
    <xf numFmtId="0" fontId="94" fillId="0" borderId="44" xfId="0" applyFont="1" applyFill="1" applyBorder="1" applyAlignment="1" applyProtection="1">
      <alignment horizontal="center" vertical="top" wrapText="1"/>
      <protection hidden="1"/>
    </xf>
    <xf numFmtId="0" fontId="75" fillId="0" borderId="0" xfId="0" applyFont="1" applyFill="1" applyBorder="1" applyAlignment="1" applyProtection="1">
      <alignment horizontal="center" vertical="top" wrapText="1"/>
      <protection hidden="1"/>
    </xf>
    <xf numFmtId="0" fontId="58" fillId="0" borderId="31" xfId="0" applyFont="1" applyFill="1" applyBorder="1" applyAlignment="1" applyProtection="1">
      <alignment horizontal="center" vertical="center" wrapText="1"/>
      <protection hidden="1"/>
    </xf>
    <xf numFmtId="0" fontId="58" fillId="0" borderId="12" xfId="0" applyFont="1" applyFill="1" applyBorder="1" applyAlignment="1" applyProtection="1">
      <alignment horizontal="center" vertical="center" wrapText="1"/>
      <protection hidden="1"/>
    </xf>
    <xf numFmtId="0" fontId="58" fillId="0" borderId="83" xfId="0" applyFont="1" applyFill="1" applyBorder="1" applyAlignment="1" applyProtection="1">
      <alignment horizontal="center" vertical="center" wrapText="1"/>
      <protection hidden="1"/>
    </xf>
    <xf numFmtId="0" fontId="58" fillId="0" borderId="84" xfId="0" applyFont="1" applyFill="1" applyBorder="1" applyAlignment="1" applyProtection="1">
      <alignment horizontal="center" vertical="center" wrapText="1"/>
      <protection hidden="1"/>
    </xf>
    <xf numFmtId="0" fontId="58" fillId="0" borderId="2" xfId="0" applyFont="1" applyFill="1" applyBorder="1" applyAlignment="1" applyProtection="1">
      <alignment horizontal="center" vertical="center" wrapText="1"/>
      <protection hidden="1"/>
    </xf>
    <xf numFmtId="0" fontId="58" fillId="0" borderId="23" xfId="0" applyFont="1" applyFill="1" applyBorder="1" applyAlignment="1" applyProtection="1">
      <alignment horizontal="center" vertical="center" wrapText="1"/>
      <protection hidden="1"/>
    </xf>
    <xf numFmtId="0" fontId="58" fillId="0" borderId="3" xfId="0" applyFont="1" applyFill="1" applyBorder="1" applyAlignment="1" applyProtection="1">
      <alignment horizontal="center" vertical="center" wrapText="1"/>
      <protection hidden="1"/>
    </xf>
    <xf numFmtId="0" fontId="58" fillId="0" borderId="10" xfId="0" applyFont="1" applyFill="1" applyBorder="1" applyAlignment="1" applyProtection="1">
      <alignment horizontal="center" vertical="center" wrapText="1"/>
      <protection hidden="1"/>
    </xf>
    <xf numFmtId="0" fontId="58" fillId="0" borderId="37" xfId="0" applyFont="1" applyFill="1" applyBorder="1" applyAlignment="1" applyProtection="1">
      <alignment horizontal="center" vertical="center" wrapText="1"/>
      <protection hidden="1"/>
    </xf>
    <xf numFmtId="0" fontId="58" fillId="0" borderId="11" xfId="0" applyFont="1" applyFill="1" applyBorder="1" applyAlignment="1" applyProtection="1">
      <alignment horizontal="center" vertical="center" wrapText="1"/>
      <protection hidden="1"/>
    </xf>
    <xf numFmtId="0" fontId="58" fillId="0" borderId="32" xfId="0" applyFont="1" applyFill="1" applyBorder="1" applyAlignment="1" applyProtection="1">
      <alignment horizontal="center" vertical="center" wrapText="1"/>
      <protection hidden="1"/>
    </xf>
    <xf numFmtId="0" fontId="58" fillId="0" borderId="14" xfId="0" applyFont="1" applyFill="1" applyBorder="1" applyAlignment="1" applyProtection="1">
      <alignment horizontal="center" vertical="center" wrapText="1"/>
      <protection hidden="1"/>
    </xf>
    <xf numFmtId="3" fontId="38" fillId="0" borderId="69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65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39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81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44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149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82" xfId="0" applyNumberFormat="1" applyFont="1" applyFill="1" applyBorder="1" applyAlignment="1" applyProtection="1">
      <alignment horizontal="center" vertical="center" shrinkToFit="1"/>
      <protection hidden="1"/>
    </xf>
    <xf numFmtId="0" fontId="56" fillId="0" borderId="0" xfId="0" applyFont="1" applyFill="1" applyBorder="1" applyAlignment="1" applyProtection="1">
      <alignment horizontal="center" vertical="center" wrapText="1"/>
      <protection hidden="1"/>
    </xf>
    <xf numFmtId="0" fontId="75" fillId="0" borderId="0" xfId="0" applyFont="1" applyFill="1" applyBorder="1" applyAlignment="1" applyProtection="1">
      <alignment horizontal="center" vertical="center" wrapText="1"/>
      <protection hidden="1"/>
    </xf>
    <xf numFmtId="0" fontId="58" fillId="0" borderId="167" xfId="0" applyFont="1" applyFill="1" applyBorder="1" applyAlignment="1" applyProtection="1">
      <alignment horizontal="center" vertical="center" wrapText="1"/>
      <protection hidden="1"/>
    </xf>
    <xf numFmtId="3" fontId="38" fillId="0" borderId="0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154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30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72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79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76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80" xfId="0" applyNumberFormat="1" applyFont="1" applyFill="1" applyBorder="1" applyAlignment="1" applyProtection="1">
      <alignment horizontal="center" vertical="center" shrinkToFit="1"/>
      <protection hidden="1"/>
    </xf>
    <xf numFmtId="0" fontId="75" fillId="0" borderId="0" xfId="0" applyFont="1" applyAlignment="1" applyProtection="1">
      <alignment horizontal="center" vertical="center" wrapText="1"/>
      <protection hidden="1"/>
    </xf>
    <xf numFmtId="0" fontId="75" fillId="0" borderId="0" xfId="0" applyFont="1" applyAlignment="1" applyProtection="1">
      <alignment horizontal="left" vertical="center" wrapText="1" indent="1"/>
      <protection hidden="1"/>
    </xf>
    <xf numFmtId="0" fontId="58" fillId="0" borderId="36" xfId="0" applyFont="1" applyFill="1" applyBorder="1" applyAlignment="1" applyProtection="1">
      <alignment horizontal="center" vertical="center" wrapText="1"/>
      <protection hidden="1"/>
    </xf>
    <xf numFmtId="0" fontId="58" fillId="0" borderId="35" xfId="0" applyFont="1" applyFill="1" applyBorder="1" applyAlignment="1" applyProtection="1">
      <alignment horizontal="center" vertical="center" wrapText="1"/>
      <protection hidden="1"/>
    </xf>
    <xf numFmtId="0" fontId="56" fillId="0" borderId="18" xfId="0" applyFont="1" applyFill="1" applyBorder="1" applyAlignment="1" applyProtection="1">
      <alignment horizontal="right" vertical="center" wrapText="1"/>
      <protection hidden="1"/>
    </xf>
    <xf numFmtId="0" fontId="56" fillId="0" borderId="144" xfId="0" applyFont="1" applyFill="1" applyBorder="1" applyAlignment="1" applyProtection="1">
      <alignment horizontal="right" vertical="center" wrapText="1"/>
      <protection hidden="1"/>
    </xf>
    <xf numFmtId="0" fontId="58" fillId="0" borderId="17" xfId="0" applyFont="1" applyFill="1" applyBorder="1" applyAlignment="1" applyProtection="1">
      <alignment horizontal="center" vertical="center" wrapText="1"/>
      <protection hidden="1"/>
    </xf>
    <xf numFmtId="0" fontId="58" fillId="0" borderId="18" xfId="0" applyFont="1" applyFill="1" applyBorder="1" applyAlignment="1" applyProtection="1">
      <alignment horizontal="center" vertical="center" wrapText="1"/>
      <protection hidden="1"/>
    </xf>
    <xf numFmtId="0" fontId="58" fillId="0" borderId="188" xfId="0" applyFont="1" applyFill="1" applyBorder="1" applyAlignment="1" applyProtection="1">
      <alignment horizontal="center" vertical="center" wrapText="1"/>
      <protection hidden="1"/>
    </xf>
    <xf numFmtId="0" fontId="58" fillId="0" borderId="189" xfId="0" applyFont="1" applyFill="1" applyBorder="1" applyAlignment="1" applyProtection="1">
      <alignment horizontal="center" vertical="center" wrapText="1"/>
      <protection hidden="1"/>
    </xf>
    <xf numFmtId="0" fontId="76" fillId="0" borderId="26" xfId="0" applyFont="1" applyFill="1" applyBorder="1" applyAlignment="1" applyProtection="1">
      <alignment horizontal="left" vertical="center" wrapText="1"/>
      <protection hidden="1"/>
    </xf>
    <xf numFmtId="0" fontId="89" fillId="0" borderId="0" xfId="0" applyFont="1" applyFill="1" applyBorder="1" applyAlignment="1" applyProtection="1">
      <alignment horizontal="center" vertical="center" wrapText="1"/>
      <protection hidden="1"/>
    </xf>
    <xf numFmtId="0" fontId="56" fillId="0" borderId="0" xfId="0" applyFont="1" applyBorder="1" applyAlignment="1" applyProtection="1">
      <alignment horizontal="center" vertical="center" wrapText="1"/>
      <protection hidden="1"/>
    </xf>
    <xf numFmtId="0" fontId="86" fillId="0" borderId="0" xfId="0" applyFont="1" applyBorder="1" applyAlignment="1" applyProtection="1">
      <alignment horizontal="center" vertical="center" wrapText="1"/>
      <protection hidden="1"/>
    </xf>
    <xf numFmtId="0" fontId="56" fillId="0" borderId="44" xfId="0" applyFont="1" applyBorder="1" applyAlignment="1" applyProtection="1">
      <alignment horizontal="center" vertical="center" wrapText="1"/>
      <protection hidden="1"/>
    </xf>
    <xf numFmtId="0" fontId="56" fillId="0" borderId="212" xfId="0" applyFont="1" applyBorder="1" applyAlignment="1" applyProtection="1">
      <alignment horizontal="center" vertical="center" wrapText="1"/>
      <protection hidden="1"/>
    </xf>
    <xf numFmtId="0" fontId="56" fillId="0" borderId="19" xfId="0" applyFont="1" applyBorder="1" applyAlignment="1" applyProtection="1">
      <alignment horizontal="center" vertical="center" wrapText="1"/>
      <protection hidden="1"/>
    </xf>
    <xf numFmtId="0" fontId="56" fillId="0" borderId="244" xfId="0" applyFont="1" applyBorder="1" applyAlignment="1" applyProtection="1">
      <alignment horizontal="center" vertical="center" wrapText="1"/>
      <protection hidden="1"/>
    </xf>
    <xf numFmtId="0" fontId="56" fillId="0" borderId="31" xfId="0" applyFont="1" applyBorder="1" applyAlignment="1" applyProtection="1">
      <alignment horizontal="center" vertical="center" wrapText="1"/>
      <protection hidden="1"/>
    </xf>
    <xf numFmtId="0" fontId="56" fillId="0" borderId="12" xfId="0" applyFont="1" applyBorder="1" applyAlignment="1" applyProtection="1">
      <alignment horizontal="center" vertical="center" wrapText="1"/>
      <protection hidden="1"/>
    </xf>
    <xf numFmtId="0" fontId="56" fillId="0" borderId="247" xfId="0" applyFont="1" applyBorder="1" applyAlignment="1" applyProtection="1">
      <alignment horizontal="center" vertical="center" wrapText="1"/>
      <protection hidden="1"/>
    </xf>
    <xf numFmtId="0" fontId="56" fillId="0" borderId="245" xfId="0" applyFont="1" applyBorder="1" applyAlignment="1" applyProtection="1">
      <alignment horizontal="center" vertical="center" wrapText="1"/>
      <protection hidden="1"/>
    </xf>
    <xf numFmtId="0" fontId="56" fillId="0" borderId="248" xfId="0" applyFont="1" applyBorder="1" applyAlignment="1" applyProtection="1">
      <alignment horizontal="center" vertical="center" wrapText="1"/>
      <protection hidden="1"/>
    </xf>
    <xf numFmtId="0" fontId="56" fillId="0" borderId="249" xfId="0" applyFont="1" applyBorder="1" applyAlignment="1" applyProtection="1">
      <alignment horizontal="center" vertical="center" wrapText="1"/>
      <protection hidden="1"/>
    </xf>
    <xf numFmtId="0" fontId="56" fillId="0" borderId="165" xfId="0" applyFont="1" applyBorder="1" applyAlignment="1" applyProtection="1">
      <alignment horizontal="center" vertical="center" wrapText="1"/>
      <protection hidden="1"/>
    </xf>
    <xf numFmtId="0" fontId="56" fillId="0" borderId="164" xfId="0" applyFont="1" applyBorder="1" applyAlignment="1" applyProtection="1">
      <alignment horizontal="center" vertical="center" wrapText="1"/>
      <protection hidden="1"/>
    </xf>
    <xf numFmtId="0" fontId="56" fillId="0" borderId="27" xfId="0" applyFont="1" applyFill="1" applyBorder="1" applyAlignment="1" applyProtection="1">
      <alignment horizontal="center" vertical="center"/>
      <protection hidden="1"/>
    </xf>
    <xf numFmtId="0" fontId="56" fillId="0" borderId="26" xfId="0" applyFont="1" applyFill="1" applyBorder="1" applyAlignment="1" applyProtection="1">
      <alignment horizontal="center" vertical="center"/>
      <protection hidden="1"/>
    </xf>
    <xf numFmtId="0" fontId="56" fillId="0" borderId="242" xfId="0" applyFont="1" applyFill="1" applyBorder="1" applyAlignment="1" applyProtection="1">
      <alignment horizontal="center" vertical="center"/>
      <protection hidden="1"/>
    </xf>
    <xf numFmtId="0" fontId="77" fillId="0" borderId="2" xfId="0" applyFont="1" applyBorder="1" applyAlignment="1" applyProtection="1">
      <alignment horizontal="center" vertical="center" wrapText="1"/>
      <protection hidden="1"/>
    </xf>
    <xf numFmtId="0" fontId="77" fillId="0" borderId="23" xfId="0" applyFont="1" applyBorder="1" applyAlignment="1" applyProtection="1">
      <alignment horizontal="center" vertical="center" wrapText="1"/>
      <protection hidden="1"/>
    </xf>
    <xf numFmtId="0" fontId="56" fillId="0" borderId="243" xfId="0" applyFont="1" applyFill="1" applyBorder="1" applyAlignment="1" applyProtection="1">
      <alignment horizontal="center" vertical="center" wrapText="1"/>
      <protection hidden="1"/>
    </xf>
    <xf numFmtId="0" fontId="56" fillId="0" borderId="7" xfId="0" applyFont="1" applyFill="1" applyBorder="1" applyAlignment="1" applyProtection="1">
      <alignment horizontal="center" vertical="center"/>
      <protection hidden="1"/>
    </xf>
    <xf numFmtId="0" fontId="56" fillId="0" borderId="246" xfId="0" applyFont="1" applyFill="1" applyBorder="1" applyAlignment="1" applyProtection="1">
      <alignment horizontal="center" vertical="center"/>
      <protection hidden="1"/>
    </xf>
    <xf numFmtId="0" fontId="56" fillId="0" borderId="22" xfId="0" applyFont="1" applyFill="1" applyBorder="1" applyAlignment="1" applyProtection="1">
      <alignment horizontal="center" vertical="center"/>
      <protection hidden="1"/>
    </xf>
    <xf numFmtId="0" fontId="56" fillId="0" borderId="99" xfId="0" applyFont="1" applyBorder="1" applyAlignment="1" applyProtection="1">
      <alignment horizontal="center" vertical="center" wrapText="1"/>
      <protection hidden="1"/>
    </xf>
    <xf numFmtId="0" fontId="56" fillId="0" borderId="11" xfId="0" applyFont="1" applyBorder="1" applyAlignment="1" applyProtection="1">
      <alignment horizontal="center" vertical="center" wrapText="1"/>
      <protection hidden="1"/>
    </xf>
    <xf numFmtId="0" fontId="30" fillId="2" borderId="38" xfId="0" applyFont="1" applyFill="1" applyBorder="1" applyAlignment="1" applyProtection="1">
      <alignment horizontal="left" vertical="top" wrapText="1"/>
      <protection locked="0" hidden="1"/>
    </xf>
    <xf numFmtId="0" fontId="30" fillId="2" borderId="39" xfId="0" applyFont="1" applyFill="1" applyBorder="1" applyAlignment="1" applyProtection="1">
      <alignment horizontal="left" vertical="top" wrapText="1"/>
      <protection locked="0" hidden="1"/>
    </xf>
    <xf numFmtId="0" fontId="30" fillId="2" borderId="40" xfId="0" applyFont="1" applyFill="1" applyBorder="1" applyAlignment="1" applyProtection="1">
      <alignment horizontal="left" vertical="top" wrapText="1"/>
      <protection locked="0" hidden="1"/>
    </xf>
    <xf numFmtId="0" fontId="30" fillId="2" borderId="41" xfId="0" applyFont="1" applyFill="1" applyBorder="1" applyAlignment="1" applyProtection="1">
      <alignment horizontal="left" vertical="top" wrapText="1"/>
      <protection locked="0" hidden="1"/>
    </xf>
    <xf numFmtId="0" fontId="30" fillId="2" borderId="0" xfId="0" applyFont="1" applyFill="1" applyBorder="1" applyAlignment="1" applyProtection="1">
      <alignment horizontal="left" vertical="top" wrapText="1"/>
      <protection locked="0" hidden="1"/>
    </xf>
    <xf numFmtId="0" fontId="30" fillId="2" borderId="42" xfId="0" applyFont="1" applyFill="1" applyBorder="1" applyAlignment="1" applyProtection="1">
      <alignment horizontal="left" vertical="top" wrapText="1"/>
      <protection locked="0" hidden="1"/>
    </xf>
    <xf numFmtId="0" fontId="30" fillId="2" borderId="43" xfId="0" applyFont="1" applyFill="1" applyBorder="1" applyAlignment="1" applyProtection="1">
      <alignment horizontal="left" vertical="top" wrapText="1"/>
      <protection locked="0" hidden="1"/>
    </xf>
    <xf numFmtId="0" fontId="30" fillId="2" borderId="44" xfId="0" applyFont="1" applyFill="1" applyBorder="1" applyAlignment="1" applyProtection="1">
      <alignment horizontal="left" vertical="top" wrapText="1"/>
      <protection locked="0" hidden="1"/>
    </xf>
    <xf numFmtId="0" fontId="30" fillId="2" borderId="45" xfId="0" applyFont="1" applyFill="1" applyBorder="1" applyAlignment="1" applyProtection="1">
      <alignment horizontal="left" vertical="top" wrapText="1"/>
      <protection locked="0" hidden="1"/>
    </xf>
    <xf numFmtId="0" fontId="29" fillId="0" borderId="132" xfId="0" applyFont="1" applyFill="1" applyBorder="1" applyAlignment="1" applyProtection="1">
      <alignment horizontal="center" vertical="center" wrapText="1"/>
      <protection hidden="1"/>
    </xf>
    <xf numFmtId="0" fontId="29" fillId="0" borderId="134" xfId="0" applyFont="1" applyFill="1" applyBorder="1" applyAlignment="1" applyProtection="1">
      <alignment horizontal="center" vertical="center" wrapText="1"/>
      <protection hidden="1"/>
    </xf>
    <xf numFmtId="0" fontId="29" fillId="0" borderId="5" xfId="0" applyFont="1" applyFill="1" applyBorder="1" applyAlignment="1" applyProtection="1">
      <alignment horizontal="center" vertical="center" wrapText="1"/>
      <protection hidden="1"/>
    </xf>
    <xf numFmtId="0" fontId="78" fillId="0" borderId="44" xfId="0" applyFont="1" applyFill="1" applyBorder="1" applyAlignment="1" applyProtection="1">
      <alignment horizontal="center" vertical="center" wrapText="1"/>
      <protection hidden="1"/>
    </xf>
    <xf numFmtId="0" fontId="30" fillId="2" borderId="38" xfId="0" applyFont="1" applyFill="1" applyBorder="1" applyAlignment="1" applyProtection="1">
      <alignment horizontal="left" vertical="top" wrapText="1"/>
      <protection locked="0"/>
    </xf>
    <xf numFmtId="0" fontId="30" fillId="2" borderId="39" xfId="0" applyFont="1" applyFill="1" applyBorder="1" applyAlignment="1" applyProtection="1">
      <alignment horizontal="left" vertical="top" wrapText="1"/>
      <protection locked="0"/>
    </xf>
    <xf numFmtId="0" fontId="30" fillId="2" borderId="40" xfId="0" applyFont="1" applyFill="1" applyBorder="1" applyAlignment="1" applyProtection="1">
      <alignment horizontal="left" vertical="top" wrapText="1"/>
      <protection locked="0"/>
    </xf>
    <xf numFmtId="0" fontId="30" fillId="2" borderId="41" xfId="0" applyFont="1" applyFill="1" applyBorder="1" applyAlignment="1" applyProtection="1">
      <alignment horizontal="left" vertical="top" wrapText="1"/>
      <protection locked="0"/>
    </xf>
    <xf numFmtId="0" fontId="30" fillId="2" borderId="0" xfId="0" applyFont="1" applyFill="1" applyBorder="1" applyAlignment="1" applyProtection="1">
      <alignment horizontal="left" vertical="top" wrapText="1"/>
      <protection locked="0"/>
    </xf>
    <xf numFmtId="0" fontId="30" fillId="2" borderId="42" xfId="0" applyFont="1" applyFill="1" applyBorder="1" applyAlignment="1" applyProtection="1">
      <alignment horizontal="left" vertical="top" wrapText="1"/>
      <protection locked="0"/>
    </xf>
    <xf numFmtId="0" fontId="30" fillId="2" borderId="43" xfId="0" applyFont="1" applyFill="1" applyBorder="1" applyAlignment="1" applyProtection="1">
      <alignment horizontal="left" vertical="top" wrapText="1"/>
      <protection locked="0"/>
    </xf>
    <xf numFmtId="0" fontId="30" fillId="2" borderId="44" xfId="0" applyFont="1" applyFill="1" applyBorder="1" applyAlignment="1" applyProtection="1">
      <alignment horizontal="left" vertical="top" wrapText="1"/>
      <protection locked="0"/>
    </xf>
    <xf numFmtId="0" fontId="30" fillId="2" borderId="45" xfId="0" applyFont="1" applyFill="1" applyBorder="1" applyAlignment="1" applyProtection="1">
      <alignment horizontal="left" vertical="top" wrapText="1"/>
      <protection locked="0"/>
    </xf>
    <xf numFmtId="0" fontId="29" fillId="0" borderId="7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44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 applyProtection="1">
      <alignment horizontal="center" vertical="center" wrapText="1"/>
      <protection hidden="1"/>
    </xf>
    <xf numFmtId="0" fontId="74" fillId="0" borderId="0" xfId="0" applyFont="1" applyBorder="1" applyAlignment="1" applyProtection="1">
      <alignment horizontal="center" vertical="center" wrapText="1"/>
      <protection hidden="1"/>
    </xf>
    <xf numFmtId="0" fontId="65" fillId="0" borderId="0" xfId="0" applyFont="1" applyBorder="1" applyAlignment="1" applyProtection="1">
      <alignment horizontal="left" vertical="center" wrapText="1"/>
      <protection hidden="1"/>
    </xf>
    <xf numFmtId="0" fontId="67" fillId="0" borderId="190" xfId="0" applyFont="1" applyBorder="1" applyAlignment="1" applyProtection="1">
      <alignment horizontal="center" vertical="center"/>
      <protection hidden="1"/>
    </xf>
    <xf numFmtId="0" fontId="67" fillId="0" borderId="30" xfId="0" applyFont="1" applyBorder="1" applyAlignment="1" applyProtection="1">
      <alignment horizontal="center" vertical="center"/>
      <protection hidden="1"/>
    </xf>
    <xf numFmtId="3" fontId="38" fillId="0" borderId="168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67" xfId="0" applyNumberFormat="1" applyFont="1" applyFill="1" applyBorder="1" applyAlignment="1" applyProtection="1">
      <alignment horizontal="center" vertical="center" shrinkToFit="1"/>
      <protection hidden="1"/>
    </xf>
    <xf numFmtId="0" fontId="40" fillId="2" borderId="95" xfId="0" applyFont="1" applyFill="1" applyBorder="1" applyAlignment="1" applyProtection="1">
      <alignment horizontal="center" vertical="center"/>
      <protection locked="0"/>
    </xf>
    <xf numFmtId="0" fontId="40" fillId="2" borderId="97" xfId="0" applyFont="1" applyFill="1" applyBorder="1" applyAlignment="1" applyProtection="1">
      <alignment horizontal="center" vertical="center"/>
      <protection locked="0"/>
    </xf>
    <xf numFmtId="0" fontId="40" fillId="2" borderId="111" xfId="0" applyFont="1" applyFill="1" applyBorder="1" applyAlignment="1" applyProtection="1">
      <alignment horizontal="center" vertical="center"/>
      <protection locked="0"/>
    </xf>
    <xf numFmtId="0" fontId="40" fillId="2" borderId="96" xfId="0" applyFont="1" applyFill="1" applyBorder="1" applyAlignment="1" applyProtection="1">
      <alignment horizontal="center" vertical="center"/>
      <protection locked="0"/>
    </xf>
    <xf numFmtId="0" fontId="76" fillId="0" borderId="170" xfId="0" applyFont="1" applyFill="1" applyBorder="1" applyAlignment="1" applyProtection="1">
      <alignment horizontal="left" vertical="center" wrapText="1"/>
      <protection hidden="1"/>
    </xf>
    <xf numFmtId="0" fontId="76" fillId="0" borderId="266" xfId="0" applyFont="1" applyFill="1" applyBorder="1" applyAlignment="1" applyProtection="1">
      <alignment horizontal="left" vertical="center" wrapText="1"/>
      <protection hidden="1"/>
    </xf>
    <xf numFmtId="0" fontId="45" fillId="0" borderId="131" xfId="0" applyFont="1" applyBorder="1" applyAlignment="1" applyProtection="1">
      <alignment horizontal="center" vertical="center" wrapText="1"/>
      <protection hidden="1"/>
    </xf>
    <xf numFmtId="0" fontId="45" fillId="0" borderId="93" xfId="0" applyFont="1" applyBorder="1" applyAlignment="1" applyProtection="1">
      <alignment horizontal="center" vertical="center" wrapText="1"/>
      <protection hidden="1"/>
    </xf>
    <xf numFmtId="0" fontId="29" fillId="0" borderId="7" xfId="0" applyFont="1" applyFill="1" applyBorder="1" applyAlignment="1" applyProtection="1">
      <alignment horizontal="center" vertical="center" wrapText="1"/>
      <protection hidden="1"/>
    </xf>
    <xf numFmtId="0" fontId="29" fillId="0" borderId="30" xfId="0" applyFont="1" applyFill="1" applyBorder="1" applyAlignment="1" applyProtection="1">
      <alignment horizontal="center" vertical="center" wrapText="1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29" fillId="0" borderId="13" xfId="0" applyFont="1" applyFill="1" applyBorder="1" applyAlignment="1" applyProtection="1">
      <alignment horizontal="center" vertical="center" wrapText="1"/>
      <protection hidden="1"/>
    </xf>
    <xf numFmtId="0" fontId="45" fillId="0" borderId="131" xfId="0" applyFont="1" applyFill="1" applyBorder="1" applyAlignment="1" applyProtection="1">
      <alignment horizontal="center" vertical="center" wrapText="1"/>
      <protection hidden="1"/>
    </xf>
    <xf numFmtId="0" fontId="45" fillId="0" borderId="93" xfId="0" applyFont="1" applyFill="1" applyBorder="1" applyAlignment="1" applyProtection="1">
      <alignment horizontal="center" vertical="center" wrapText="1"/>
      <protection hidden="1"/>
    </xf>
    <xf numFmtId="0" fontId="45" fillId="0" borderId="7" xfId="0" applyFont="1" applyFill="1" applyBorder="1" applyAlignment="1" applyProtection="1">
      <alignment horizontal="center" vertical="center" wrapText="1"/>
      <protection hidden="1"/>
    </xf>
    <xf numFmtId="0" fontId="45" fillId="0" borderId="30" xfId="0" applyFont="1" applyFill="1" applyBorder="1" applyAlignment="1" applyProtection="1">
      <alignment horizontal="center" vertical="center" wrapText="1"/>
      <protection hidden="1"/>
    </xf>
    <xf numFmtId="0" fontId="75" fillId="0" borderId="0" xfId="0" applyFont="1" applyFill="1" applyAlignment="1" applyProtection="1">
      <alignment horizontal="center" vertical="center" wrapText="1"/>
      <protection hidden="1"/>
    </xf>
    <xf numFmtId="0" fontId="75" fillId="0" borderId="44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Alignment="1">
      <alignment horizontal="left" vertical="center" wrapText="1" indent="2"/>
    </xf>
    <xf numFmtId="0" fontId="50" fillId="0" borderId="204" xfId="0" applyFont="1" applyBorder="1" applyAlignment="1" applyProtection="1">
      <alignment horizontal="center" vertical="center" wrapText="1"/>
      <protection hidden="1"/>
    </xf>
    <xf numFmtId="0" fontId="50" fillId="0" borderId="207" xfId="0" applyFont="1" applyBorder="1" applyAlignment="1" applyProtection="1">
      <alignment horizontal="center" vertical="center" wrapText="1"/>
      <protection hidden="1"/>
    </xf>
    <xf numFmtId="0" fontId="50" fillId="0" borderId="208" xfId="0" applyFont="1" applyBorder="1" applyAlignment="1" applyProtection="1">
      <alignment horizontal="center" vertical="center" wrapText="1"/>
      <protection hidden="1"/>
    </xf>
    <xf numFmtId="0" fontId="50" fillId="0" borderId="116" xfId="0" applyFont="1" applyBorder="1" applyAlignment="1" applyProtection="1">
      <alignment horizontal="center" vertical="center" wrapText="1"/>
      <protection hidden="1"/>
    </xf>
    <xf numFmtId="0" fontId="50" fillId="0" borderId="41" xfId="0" applyFont="1" applyBorder="1" applyAlignment="1" applyProtection="1">
      <alignment horizontal="center" vertical="center" wrapText="1"/>
      <protection hidden="1"/>
    </xf>
    <xf numFmtId="0" fontId="50" fillId="0" borderId="113" xfId="0" applyFont="1" applyBorder="1" applyAlignment="1" applyProtection="1">
      <alignment horizontal="center" vertical="center" wrapText="1"/>
      <protection hidden="1"/>
    </xf>
    <xf numFmtId="0" fontId="30" fillId="0" borderId="65" xfId="0" applyFont="1" applyBorder="1" applyAlignment="1" applyProtection="1">
      <alignment horizontal="left" vertical="center" indent="2"/>
      <protection hidden="1"/>
    </xf>
    <xf numFmtId="0" fontId="30" fillId="0" borderId="133" xfId="0" applyFont="1" applyBorder="1" applyAlignment="1" applyProtection="1">
      <alignment horizontal="left" vertical="center" indent="2"/>
      <protection hidden="1"/>
    </xf>
    <xf numFmtId="0" fontId="30" fillId="0" borderId="76" xfId="0" applyFont="1" applyBorder="1" applyAlignment="1" applyProtection="1">
      <alignment horizontal="left" vertical="center" indent="2"/>
      <protection hidden="1"/>
    </xf>
    <xf numFmtId="0" fontId="30" fillId="0" borderId="70" xfId="0" applyFont="1" applyBorder="1" applyAlignment="1" applyProtection="1">
      <alignment horizontal="left" vertical="center" indent="2"/>
      <protection hidden="1"/>
    </xf>
    <xf numFmtId="0" fontId="29" fillId="0" borderId="7" xfId="0" applyFont="1" applyBorder="1" applyAlignment="1" applyProtection="1">
      <alignment horizontal="center" vertical="center"/>
      <protection hidden="1"/>
    </xf>
    <xf numFmtId="0" fontId="29" fillId="0" borderId="2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9" fillId="0" borderId="23" xfId="0" applyFont="1" applyBorder="1" applyAlignment="1" applyProtection="1">
      <alignment horizontal="center" vertical="center"/>
      <protection hidden="1"/>
    </xf>
    <xf numFmtId="0" fontId="29" fillId="0" borderId="30" xfId="0" applyFont="1" applyBorder="1" applyAlignment="1" applyProtection="1">
      <alignment horizontal="center" vertical="center"/>
      <protection hidden="1"/>
    </xf>
    <xf numFmtId="0" fontId="29" fillId="0" borderId="3" xfId="0" applyFont="1" applyBorder="1" applyAlignment="1" applyProtection="1">
      <alignment horizontal="center" vertical="center"/>
      <protection hidden="1"/>
    </xf>
    <xf numFmtId="0" fontId="58" fillId="0" borderId="10" xfId="0" applyFont="1" applyBorder="1" applyAlignment="1" applyProtection="1">
      <alignment horizontal="center" vertical="center" wrapText="1"/>
      <protection hidden="1"/>
    </xf>
    <xf numFmtId="0" fontId="58" fillId="0" borderId="37" xfId="0" applyFont="1" applyBorder="1" applyAlignment="1" applyProtection="1">
      <alignment horizontal="center" vertical="center" wrapText="1"/>
      <protection hidden="1"/>
    </xf>
    <xf numFmtId="0" fontId="58" fillId="0" borderId="11" xfId="0" applyFont="1" applyBorder="1" applyAlignment="1" applyProtection="1">
      <alignment horizontal="center" vertical="center" wrapText="1"/>
      <protection hidden="1"/>
    </xf>
    <xf numFmtId="0" fontId="58" fillId="0" borderId="32" xfId="0" applyFont="1" applyBorder="1" applyAlignment="1" applyProtection="1">
      <alignment horizontal="center" vertical="center" wrapText="1"/>
      <protection hidden="1"/>
    </xf>
    <xf numFmtId="0" fontId="58" fillId="0" borderId="36" xfId="0" applyFont="1" applyBorder="1" applyAlignment="1" applyProtection="1">
      <alignment horizontal="center" vertical="center" wrapText="1"/>
      <protection hidden="1"/>
    </xf>
    <xf numFmtId="0" fontId="58" fillId="0" borderId="7" xfId="0" applyFont="1" applyBorder="1" applyAlignment="1" applyProtection="1">
      <alignment horizontal="center" vertical="center" wrapText="1"/>
      <protection hidden="1"/>
    </xf>
    <xf numFmtId="0" fontId="58" fillId="0" borderId="31" xfId="0" applyFont="1" applyBorder="1" applyAlignment="1" applyProtection="1">
      <alignment horizontal="center" vertical="center" wrapText="1"/>
      <protection hidden="1"/>
    </xf>
    <xf numFmtId="0" fontId="58" fillId="0" borderId="12" xfId="0" applyFont="1" applyBorder="1" applyAlignment="1" applyProtection="1">
      <alignment horizontal="center" vertical="center" wrapText="1"/>
      <protection hidden="1"/>
    </xf>
    <xf numFmtId="0" fontId="50" fillId="0" borderId="203" xfId="0" applyFont="1" applyBorder="1" applyAlignment="1" applyProtection="1">
      <alignment horizontal="center" vertical="center" wrapText="1"/>
      <protection hidden="1"/>
    </xf>
    <xf numFmtId="0" fontId="50" fillId="0" borderId="205" xfId="0" applyFont="1" applyBorder="1" applyAlignment="1" applyProtection="1">
      <alignment horizontal="center" vertical="center" wrapText="1"/>
      <protection hidden="1"/>
    </xf>
    <xf numFmtId="0" fontId="50" fillId="0" borderId="169" xfId="0" applyFont="1" applyBorder="1" applyAlignment="1" applyProtection="1">
      <alignment horizontal="center" vertical="center" wrapText="1"/>
      <protection hidden="1"/>
    </xf>
    <xf numFmtId="0" fontId="50" fillId="0" borderId="115" xfId="0" applyFont="1" applyBorder="1" applyAlignment="1" applyProtection="1">
      <alignment horizontal="center" vertical="center" wrapText="1"/>
      <protection hidden="1"/>
    </xf>
    <xf numFmtId="0" fontId="50" fillId="0" borderId="206" xfId="0" applyFont="1" applyBorder="1" applyAlignment="1" applyProtection="1">
      <alignment horizontal="center" vertical="center" wrapText="1"/>
      <protection hidden="1"/>
    </xf>
    <xf numFmtId="0" fontId="50" fillId="0" borderId="117" xfId="0" applyFont="1" applyBorder="1" applyAlignment="1" applyProtection="1">
      <alignment horizontal="center" vertical="center" wrapText="1"/>
      <protection hidden="1"/>
    </xf>
    <xf numFmtId="0" fontId="73" fillId="0" borderId="7" xfId="0" applyFont="1" applyBorder="1" applyAlignment="1">
      <alignment horizontal="left" vertical="top" wrapText="1"/>
    </xf>
    <xf numFmtId="0" fontId="73" fillId="0" borderId="0" xfId="0" applyFont="1" applyAlignment="1">
      <alignment horizontal="left" vertical="top" wrapText="1"/>
    </xf>
    <xf numFmtId="0" fontId="30" fillId="2" borderId="64" xfId="0" applyFont="1" applyFill="1" applyBorder="1" applyAlignment="1" applyProtection="1">
      <alignment horizontal="left" vertical="top" shrinkToFit="1"/>
      <protection locked="0"/>
    </xf>
    <xf numFmtId="0" fontId="30" fillId="2" borderId="65" xfId="0" applyFont="1" applyFill="1" applyBorder="1" applyAlignment="1" applyProtection="1">
      <alignment horizontal="left" vertical="top" shrinkToFit="1"/>
      <protection locked="0"/>
    </xf>
    <xf numFmtId="0" fontId="30" fillId="2" borderId="66" xfId="0" applyFont="1" applyFill="1" applyBorder="1" applyAlignment="1" applyProtection="1">
      <alignment horizontal="left" vertical="top" shrinkToFit="1"/>
      <protection locked="0"/>
    </xf>
    <xf numFmtId="0" fontId="60" fillId="0" borderId="9" xfId="0" applyFont="1" applyFill="1" applyBorder="1" applyAlignment="1" applyProtection="1">
      <alignment horizontal="left" vertical="center" wrapText="1"/>
      <protection hidden="1"/>
    </xf>
    <xf numFmtId="0" fontId="58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58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112" xfId="0" applyFont="1" applyBorder="1" applyAlignment="1" applyProtection="1">
      <alignment horizontal="center" vertical="center" wrapText="1"/>
      <protection hidden="1"/>
    </xf>
    <xf numFmtId="0" fontId="55" fillId="0" borderId="0" xfId="0" applyFont="1" applyFill="1" applyBorder="1" applyAlignment="1" applyProtection="1">
      <alignment horizontal="left" vertical="top" wrapText="1"/>
      <protection hidden="1"/>
    </xf>
    <xf numFmtId="0" fontId="40" fillId="2" borderId="38" xfId="0" applyFont="1" applyFill="1" applyBorder="1" applyAlignment="1" applyProtection="1">
      <alignment horizontal="left" vertical="top" wrapText="1"/>
      <protection locked="0"/>
    </xf>
    <xf numFmtId="0" fontId="40" fillId="2" borderId="39" xfId="0" applyFont="1" applyFill="1" applyBorder="1" applyAlignment="1" applyProtection="1">
      <alignment horizontal="left" vertical="top" wrapText="1"/>
      <protection locked="0"/>
    </xf>
    <xf numFmtId="0" fontId="40" fillId="2" borderId="40" xfId="0" applyFont="1" applyFill="1" applyBorder="1" applyAlignment="1" applyProtection="1">
      <alignment horizontal="left" vertical="top" wrapText="1"/>
      <protection locked="0"/>
    </xf>
    <xf numFmtId="0" fontId="40" fillId="2" borderId="41" xfId="0" applyFont="1" applyFill="1" applyBorder="1" applyAlignment="1" applyProtection="1">
      <alignment horizontal="left" vertical="top" wrapText="1"/>
      <protection locked="0"/>
    </xf>
    <xf numFmtId="0" fontId="40" fillId="2" borderId="0" xfId="0" applyFont="1" applyFill="1" applyBorder="1" applyAlignment="1" applyProtection="1">
      <alignment horizontal="left" vertical="top" wrapText="1"/>
      <protection locked="0"/>
    </xf>
    <xf numFmtId="0" fontId="40" fillId="2" borderId="42" xfId="0" applyFont="1" applyFill="1" applyBorder="1" applyAlignment="1" applyProtection="1">
      <alignment horizontal="left" vertical="top" wrapText="1"/>
      <protection locked="0"/>
    </xf>
    <xf numFmtId="0" fontId="40" fillId="2" borderId="43" xfId="0" applyFont="1" applyFill="1" applyBorder="1" applyAlignment="1" applyProtection="1">
      <alignment horizontal="left" vertical="top" wrapText="1"/>
      <protection locked="0"/>
    </xf>
    <xf numFmtId="0" fontId="40" fillId="2" borderId="44" xfId="0" applyFont="1" applyFill="1" applyBorder="1" applyAlignment="1" applyProtection="1">
      <alignment horizontal="left" vertical="top" wrapText="1"/>
      <protection locked="0"/>
    </xf>
    <xf numFmtId="0" fontId="40" fillId="2" borderId="45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center" wrapText="1"/>
      <protection hidden="1"/>
    </xf>
    <xf numFmtId="0" fontId="58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8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58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58" fillId="0" borderId="213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212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214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135" xfId="0" applyFont="1" applyBorder="1" applyAlignment="1" applyProtection="1">
      <alignment horizontal="center" vertical="center" wrapText="1"/>
      <protection hidden="1"/>
    </xf>
    <xf numFmtId="0" fontId="50" fillId="0" borderId="215" xfId="0" applyFont="1" applyBorder="1" applyAlignment="1" applyProtection="1">
      <alignment horizontal="center" vertical="center" wrapText="1"/>
      <protection hidden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2" builtinId="20" customBuiltin="1"/>
    <cellStyle name="Hipervínculo" xfId="1" builtinId="8"/>
    <cellStyle name="Incorrecto" xfId="10" builtinId="27" customBuiltin="1"/>
    <cellStyle name="Neutral" xfId="11" builtinId="28" customBuiltin="1"/>
    <cellStyle name="Normal" xfId="0" builtinId="0"/>
    <cellStyle name="Notas" xfId="17" builtinId="10" customBuiltin="1"/>
    <cellStyle name="Salida" xfId="13" builtinId="21" customBuiltin="1"/>
    <cellStyle name="Texto de advertencia" xfId="2" builtinId="11" customBuiltin="1"/>
    <cellStyle name="Texto explicativo" xfId="3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ítulo 4" xfId="43"/>
    <cellStyle name="Total" xfId="18" builtinId="25" customBuiltin="1"/>
  </cellStyles>
  <dxfs count="280"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ill>
        <patternFill>
          <bgColor theme="5" tint="0.3999450666829432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ill>
        <patternFill>
          <bgColor theme="5" tint="0.3999450666829432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ill>
        <patternFill>
          <bgColor rgb="FFFFFFCC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/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rgb="FFFFFFCC"/>
        </patternFill>
      </fill>
      <border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color theme="0"/>
      </font>
    </dxf>
    <dxf>
      <fill>
        <patternFill>
          <bgColor theme="5" tint="0.39994506668294322"/>
        </patternFill>
      </fill>
      <border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  <border>
        <left style="dashed">
          <color auto="1"/>
        </left>
        <vertical/>
        <horizontal/>
      </border>
    </dxf>
    <dxf>
      <font>
        <color theme="0"/>
      </font>
      <border>
        <right style="dashed">
          <color auto="1"/>
        </right>
        <vertical/>
        <horizontal/>
      </border>
    </dxf>
    <dxf>
      <font>
        <color rgb="FFFFFFCC"/>
      </font>
    </dxf>
    <dxf>
      <font>
        <color theme="0"/>
      </font>
    </dxf>
    <dxf>
      <fill>
        <patternFill>
          <bgColor theme="5" tint="0.59996337778862885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border>
        <left style="dashed">
          <color auto="1"/>
        </left>
        <vertical/>
        <horizontal/>
      </border>
    </dxf>
    <dxf>
      <font>
        <color theme="0"/>
      </font>
      <border>
        <right style="dashed">
          <color auto="1"/>
        </right>
        <vertical/>
        <horizontal/>
      </border>
    </dxf>
    <dxf>
      <font>
        <color auto="1"/>
      </font>
      <fill>
        <patternFill>
          <bgColor rgb="FFFFFFCC"/>
        </patternFill>
      </fill>
      <border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color rgb="FFFFFFCC"/>
      </font>
    </dxf>
  </dxfs>
  <tableStyles count="0" defaultTableStyle="TableStyleMedium9" defaultPivotStyle="PivotStyleLight16"/>
  <colors>
    <mruColors>
      <color rgb="FFFFFFCC"/>
      <color rgb="FF3366FF"/>
      <color rgb="FF0060A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E489"/>
  <sheetViews>
    <sheetView workbookViewId="0">
      <selection sqref="A1:E1048576"/>
    </sheetView>
  </sheetViews>
  <sheetFormatPr baseColWidth="10" defaultRowHeight="12"/>
  <cols>
    <col min="1" max="1" width="7.7109375" style="757" customWidth="1"/>
    <col min="2" max="2" width="38.7109375" style="757" customWidth="1"/>
    <col min="3" max="3" width="7.5703125" style="757" customWidth="1"/>
    <col min="4" max="4" width="50" style="757" bestFit="1" customWidth="1"/>
    <col min="5" max="5" width="11.42578125" style="757"/>
    <col min="6" max="16384" width="11.42578125" style="6"/>
  </cols>
  <sheetData>
    <row r="1" spans="1:5">
      <c r="A1" s="755" t="s">
        <v>1243</v>
      </c>
      <c r="B1" s="755" t="s">
        <v>5695</v>
      </c>
      <c r="C1" s="755"/>
      <c r="D1" s="755" t="s">
        <v>5695</v>
      </c>
      <c r="E1" s="755" t="s">
        <v>1243</v>
      </c>
    </row>
    <row r="2" spans="1:5">
      <c r="A2" s="756" t="s">
        <v>1244</v>
      </c>
      <c r="B2" s="756" t="s">
        <v>4960</v>
      </c>
      <c r="D2" s="756" t="s">
        <v>4960</v>
      </c>
      <c r="E2" s="756" t="s">
        <v>1244</v>
      </c>
    </row>
    <row r="3" spans="1:5">
      <c r="A3" s="756" t="s">
        <v>1365</v>
      </c>
      <c r="B3" s="756" t="s">
        <v>5083</v>
      </c>
      <c r="D3" s="756" t="s">
        <v>4961</v>
      </c>
      <c r="E3" s="756" t="s">
        <v>1245</v>
      </c>
    </row>
    <row r="4" spans="1:5">
      <c r="A4" s="756" t="s">
        <v>1477</v>
      </c>
      <c r="B4" s="756" t="s">
        <v>5199</v>
      </c>
      <c r="D4" s="756" t="s">
        <v>4962</v>
      </c>
      <c r="E4" s="756" t="s">
        <v>1246</v>
      </c>
    </row>
    <row r="5" spans="1:5">
      <c r="A5" s="756" t="s">
        <v>1528</v>
      </c>
      <c r="B5" s="756" t="s">
        <v>5250</v>
      </c>
      <c r="D5" s="756" t="s">
        <v>4963</v>
      </c>
      <c r="E5" s="756" t="s">
        <v>1247</v>
      </c>
    </row>
    <row r="6" spans="1:5">
      <c r="A6" s="756" t="s">
        <v>1575</v>
      </c>
      <c r="B6" s="756" t="s">
        <v>5297</v>
      </c>
      <c r="D6" s="756" t="s">
        <v>4964</v>
      </c>
      <c r="E6" s="756" t="s">
        <v>1248</v>
      </c>
    </row>
    <row r="7" spans="1:5">
      <c r="A7" s="756" t="s">
        <v>1634</v>
      </c>
      <c r="B7" s="756" t="s">
        <v>5359</v>
      </c>
      <c r="D7" s="756" t="s">
        <v>4965</v>
      </c>
      <c r="E7" s="756" t="s">
        <v>1249</v>
      </c>
    </row>
    <row r="8" spans="1:5">
      <c r="A8" s="756" t="s">
        <v>1691</v>
      </c>
      <c r="B8" s="756" t="s">
        <v>5419</v>
      </c>
      <c r="D8" s="756" t="s">
        <v>4966</v>
      </c>
      <c r="E8" s="756" t="s">
        <v>1250</v>
      </c>
    </row>
    <row r="9" spans="1:5">
      <c r="A9" s="756" t="s">
        <v>1255</v>
      </c>
      <c r="B9" s="756" t="s">
        <v>4971</v>
      </c>
      <c r="D9" s="756" t="s">
        <v>4967</v>
      </c>
      <c r="E9" s="756" t="s">
        <v>1251</v>
      </c>
    </row>
    <row r="10" spans="1:5">
      <c r="A10" s="756" t="s">
        <v>1379</v>
      </c>
      <c r="B10" s="756" t="s">
        <v>5097</v>
      </c>
      <c r="D10" s="756" t="s">
        <v>4968</v>
      </c>
      <c r="E10" s="756" t="s">
        <v>1252</v>
      </c>
    </row>
    <row r="11" spans="1:5">
      <c r="A11" s="756" t="s">
        <v>1488</v>
      </c>
      <c r="B11" s="756" t="s">
        <v>5210</v>
      </c>
      <c r="D11" s="756" t="s">
        <v>4969</v>
      </c>
      <c r="E11" s="756" t="s">
        <v>1253</v>
      </c>
    </row>
    <row r="12" spans="1:5">
      <c r="A12" s="756" t="s">
        <v>1533</v>
      </c>
      <c r="B12" s="756" t="s">
        <v>5255</v>
      </c>
      <c r="D12" s="756" t="s">
        <v>4970</v>
      </c>
      <c r="E12" s="756" t="s">
        <v>1254</v>
      </c>
    </row>
    <row r="13" spans="1:5">
      <c r="A13" s="756" t="s">
        <v>1580</v>
      </c>
      <c r="B13" s="756" t="s">
        <v>5302</v>
      </c>
      <c r="D13" s="756" t="s">
        <v>4971</v>
      </c>
      <c r="E13" s="756" t="s">
        <v>1255</v>
      </c>
    </row>
    <row r="14" spans="1:5">
      <c r="A14" s="756" t="s">
        <v>1649</v>
      </c>
      <c r="B14" s="756" t="s">
        <v>5375</v>
      </c>
      <c r="D14" s="756" t="s">
        <v>4972</v>
      </c>
      <c r="E14" s="756" t="s">
        <v>1256</v>
      </c>
    </row>
    <row r="15" spans="1:5">
      <c r="A15" s="756" t="s">
        <v>1695</v>
      </c>
      <c r="B15" s="756" t="s">
        <v>5423</v>
      </c>
      <c r="D15" s="756" t="s">
        <v>4973</v>
      </c>
      <c r="E15" s="756" t="s">
        <v>1257</v>
      </c>
    </row>
    <row r="16" spans="1:5">
      <c r="A16" s="756" t="s">
        <v>1258</v>
      </c>
      <c r="B16" s="756" t="s">
        <v>4974</v>
      </c>
      <c r="D16" s="756" t="s">
        <v>4974</v>
      </c>
      <c r="E16" s="756" t="s">
        <v>1258</v>
      </c>
    </row>
    <row r="17" spans="1:5">
      <c r="A17" s="756" t="s">
        <v>1392</v>
      </c>
      <c r="B17" s="756" t="s">
        <v>5111</v>
      </c>
      <c r="D17" s="756" t="s">
        <v>4975</v>
      </c>
      <c r="E17" s="756" t="s">
        <v>1259</v>
      </c>
    </row>
    <row r="18" spans="1:5">
      <c r="A18" s="756" t="s">
        <v>1493</v>
      </c>
      <c r="B18" s="756" t="s">
        <v>5215</v>
      </c>
      <c r="D18" s="756" t="s">
        <v>4976</v>
      </c>
      <c r="E18" s="756" t="s">
        <v>1260</v>
      </c>
    </row>
    <row r="19" spans="1:5">
      <c r="A19" s="756" t="s">
        <v>1539</v>
      </c>
      <c r="B19" s="756" t="s">
        <v>5261</v>
      </c>
      <c r="D19" s="756" t="s">
        <v>4977</v>
      </c>
      <c r="E19" s="756" t="s">
        <v>1261</v>
      </c>
    </row>
    <row r="20" spans="1:5">
      <c r="A20" s="756" t="s">
        <v>1587</v>
      </c>
      <c r="B20" s="756" t="s">
        <v>5309</v>
      </c>
      <c r="D20" s="756" t="s">
        <v>4978</v>
      </c>
      <c r="E20" s="756" t="s">
        <v>1262</v>
      </c>
    </row>
    <row r="21" spans="1:5">
      <c r="A21" s="756" t="s">
        <v>1654</v>
      </c>
      <c r="B21" s="756" t="s">
        <v>5381</v>
      </c>
      <c r="D21" s="756" t="s">
        <v>4979</v>
      </c>
      <c r="E21" s="756" t="s">
        <v>1263</v>
      </c>
    </row>
    <row r="22" spans="1:5">
      <c r="A22" s="756" t="s">
        <v>1702</v>
      </c>
      <c r="B22" s="756" t="s">
        <v>5430</v>
      </c>
      <c r="D22" s="756" t="s">
        <v>4980</v>
      </c>
      <c r="E22" s="756" t="s">
        <v>1264</v>
      </c>
    </row>
    <row r="23" spans="1:5">
      <c r="A23" s="756" t="s">
        <v>1271</v>
      </c>
      <c r="B23" s="756" t="s">
        <v>4987</v>
      </c>
      <c r="D23" s="756" t="s">
        <v>4981</v>
      </c>
      <c r="E23" s="756" t="s">
        <v>1265</v>
      </c>
    </row>
    <row r="24" spans="1:5">
      <c r="A24" s="756" t="s">
        <v>1399</v>
      </c>
      <c r="B24" s="756" t="s">
        <v>5118</v>
      </c>
      <c r="D24" s="756" t="s">
        <v>4982</v>
      </c>
      <c r="E24" s="756" t="s">
        <v>1266</v>
      </c>
    </row>
    <row r="25" spans="1:5">
      <c r="A25" s="756" t="s">
        <v>1501</v>
      </c>
      <c r="B25" s="756" t="s">
        <v>5223</v>
      </c>
      <c r="D25" s="756" t="s">
        <v>4983</v>
      </c>
      <c r="E25" s="756" t="s">
        <v>1267</v>
      </c>
    </row>
    <row r="26" spans="1:5">
      <c r="A26" s="756" t="s">
        <v>1547</v>
      </c>
      <c r="B26" s="756" t="s">
        <v>5269</v>
      </c>
      <c r="D26" s="756" t="s">
        <v>4984</v>
      </c>
      <c r="E26" s="756" t="s">
        <v>1268</v>
      </c>
    </row>
    <row r="27" spans="1:5">
      <c r="A27" s="756" t="s">
        <v>1596</v>
      </c>
      <c r="B27" s="756" t="s">
        <v>5318</v>
      </c>
      <c r="D27" s="756" t="s">
        <v>4985</v>
      </c>
      <c r="E27" s="756" t="s">
        <v>1269</v>
      </c>
    </row>
    <row r="28" spans="1:5">
      <c r="A28" s="756" t="s">
        <v>1663</v>
      </c>
      <c r="B28" s="756" t="s">
        <v>5390</v>
      </c>
      <c r="D28" s="756" t="s">
        <v>4986</v>
      </c>
      <c r="E28" s="756" t="s">
        <v>1270</v>
      </c>
    </row>
    <row r="29" spans="1:5">
      <c r="A29" s="756" t="s">
        <v>1708</v>
      </c>
      <c r="B29" s="756" t="s">
        <v>5437</v>
      </c>
      <c r="D29" s="756" t="s">
        <v>4987</v>
      </c>
      <c r="E29" s="756" t="s">
        <v>1271</v>
      </c>
    </row>
    <row r="30" spans="1:5">
      <c r="A30" s="756" t="s">
        <v>1280</v>
      </c>
      <c r="B30" s="756" t="s">
        <v>4996</v>
      </c>
      <c r="D30" s="756" t="s">
        <v>4988</v>
      </c>
      <c r="E30" s="756" t="s">
        <v>1272</v>
      </c>
    </row>
    <row r="31" spans="1:5">
      <c r="A31" s="756" t="s">
        <v>1403</v>
      </c>
      <c r="B31" s="756" t="s">
        <v>5122</v>
      </c>
      <c r="D31" s="756" t="s">
        <v>4989</v>
      </c>
      <c r="E31" s="756" t="s">
        <v>1273</v>
      </c>
    </row>
    <row r="32" spans="1:5">
      <c r="A32" s="756" t="s">
        <v>1504</v>
      </c>
      <c r="B32" s="756" t="s">
        <v>5226</v>
      </c>
      <c r="D32" s="756" t="s">
        <v>4990</v>
      </c>
      <c r="E32" s="756" t="s">
        <v>1274</v>
      </c>
    </row>
    <row r="33" spans="1:5">
      <c r="A33" s="756" t="s">
        <v>1553</v>
      </c>
      <c r="B33" s="756" t="s">
        <v>5275</v>
      </c>
      <c r="D33" s="756" t="s">
        <v>4991</v>
      </c>
      <c r="E33" s="756" t="s">
        <v>1275</v>
      </c>
    </row>
    <row r="34" spans="1:5">
      <c r="A34" s="756" t="s">
        <v>1600</v>
      </c>
      <c r="B34" s="756" t="s">
        <v>5322</v>
      </c>
      <c r="D34" s="756" t="s">
        <v>4992</v>
      </c>
      <c r="E34" s="756" t="s">
        <v>1276</v>
      </c>
    </row>
    <row r="35" spans="1:5">
      <c r="A35" s="756" t="s">
        <v>1666</v>
      </c>
      <c r="B35" s="756" t="s">
        <v>5393</v>
      </c>
      <c r="D35" s="756" t="s">
        <v>4993</v>
      </c>
      <c r="E35" s="756" t="s">
        <v>1277</v>
      </c>
    </row>
    <row r="36" spans="1:5">
      <c r="A36" s="756" t="s">
        <v>1712</v>
      </c>
      <c r="B36" s="756" t="s">
        <v>5441</v>
      </c>
      <c r="D36" s="756" t="s">
        <v>4994</v>
      </c>
      <c r="E36" s="756" t="s">
        <v>1278</v>
      </c>
    </row>
    <row r="37" spans="1:5">
      <c r="A37" s="756" t="s">
        <v>1283</v>
      </c>
      <c r="B37" s="756" t="s">
        <v>4999</v>
      </c>
      <c r="D37" s="756" t="s">
        <v>4995</v>
      </c>
      <c r="E37" s="756" t="s">
        <v>1279</v>
      </c>
    </row>
    <row r="38" spans="1:5">
      <c r="A38" s="756" t="s">
        <v>1411</v>
      </c>
      <c r="B38" s="756" t="s">
        <v>5130</v>
      </c>
      <c r="D38" s="756" t="s">
        <v>4996</v>
      </c>
      <c r="E38" s="756" t="s">
        <v>1280</v>
      </c>
    </row>
    <row r="39" spans="1:5">
      <c r="A39" s="756" t="s">
        <v>1516</v>
      </c>
      <c r="B39" s="756" t="s">
        <v>5238</v>
      </c>
      <c r="D39" s="756" t="s">
        <v>4997</v>
      </c>
      <c r="E39" s="756" t="s">
        <v>1281</v>
      </c>
    </row>
    <row r="40" spans="1:5">
      <c r="A40" s="756" t="s">
        <v>1558</v>
      </c>
      <c r="B40" s="756" t="s">
        <v>5280</v>
      </c>
      <c r="D40" s="756" t="s">
        <v>4998</v>
      </c>
      <c r="E40" s="756" t="s">
        <v>1282</v>
      </c>
    </row>
    <row r="41" spans="1:5">
      <c r="A41" s="756" t="s">
        <v>1604</v>
      </c>
      <c r="B41" s="756" t="s">
        <v>5326</v>
      </c>
      <c r="D41" s="756" t="s">
        <v>4999</v>
      </c>
      <c r="E41" s="756" t="s">
        <v>1283</v>
      </c>
    </row>
    <row r="42" spans="1:5">
      <c r="A42" s="756" t="s">
        <v>1672</v>
      </c>
      <c r="B42" s="756" t="s">
        <v>5399</v>
      </c>
      <c r="D42" s="756" t="s">
        <v>5000</v>
      </c>
      <c r="E42" s="756" t="s">
        <v>1284</v>
      </c>
    </row>
    <row r="43" spans="1:5">
      <c r="A43" s="756" t="s">
        <v>1715</v>
      </c>
      <c r="B43" s="756" t="s">
        <v>5444</v>
      </c>
      <c r="D43" s="756" t="s">
        <v>5001</v>
      </c>
      <c r="E43" s="756" t="s">
        <v>1285</v>
      </c>
    </row>
    <row r="44" spans="1:5">
      <c r="A44" s="756" t="s">
        <v>1290</v>
      </c>
      <c r="B44" s="756" t="s">
        <v>5006</v>
      </c>
      <c r="D44" s="756" t="s">
        <v>5002</v>
      </c>
      <c r="E44" s="756" t="s">
        <v>1286</v>
      </c>
    </row>
    <row r="45" spans="1:5">
      <c r="A45" s="756" t="s">
        <v>1419</v>
      </c>
      <c r="B45" s="756" t="s">
        <v>5138</v>
      </c>
      <c r="D45" s="756" t="s">
        <v>5003</v>
      </c>
      <c r="E45" s="756" t="s">
        <v>1287</v>
      </c>
    </row>
    <row r="46" spans="1:5">
      <c r="A46" s="756" t="s">
        <v>1519</v>
      </c>
      <c r="B46" s="756" t="s">
        <v>5241</v>
      </c>
      <c r="D46" s="756" t="s">
        <v>5004</v>
      </c>
      <c r="E46" s="756" t="s">
        <v>1288</v>
      </c>
    </row>
    <row r="47" spans="1:5">
      <c r="A47" s="756" t="s">
        <v>1562</v>
      </c>
      <c r="B47" s="756" t="s">
        <v>5284</v>
      </c>
      <c r="D47" s="756" t="s">
        <v>5005</v>
      </c>
      <c r="E47" s="756" t="s">
        <v>1289</v>
      </c>
    </row>
    <row r="48" spans="1:5">
      <c r="A48" s="756" t="s">
        <v>1609</v>
      </c>
      <c r="B48" s="756" t="s">
        <v>5331</v>
      </c>
      <c r="D48" s="756" t="s">
        <v>5006</v>
      </c>
      <c r="E48" s="756" t="s">
        <v>1290</v>
      </c>
    </row>
    <row r="49" spans="1:5">
      <c r="A49" s="756" t="s">
        <v>1675</v>
      </c>
      <c r="B49" s="756" t="s">
        <v>5402</v>
      </c>
      <c r="D49" s="756" t="s">
        <v>5007</v>
      </c>
      <c r="E49" s="756" t="s">
        <v>1291</v>
      </c>
    </row>
    <row r="50" spans="1:5">
      <c r="A50" s="756" t="s">
        <v>1296</v>
      </c>
      <c r="B50" s="756" t="s">
        <v>5013</v>
      </c>
      <c r="D50" s="756" t="s">
        <v>5008</v>
      </c>
      <c r="E50" s="756" t="s">
        <v>1292</v>
      </c>
    </row>
    <row r="51" spans="1:5">
      <c r="A51" s="756" t="s">
        <v>1426</v>
      </c>
      <c r="B51" s="756" t="s">
        <v>5145</v>
      </c>
      <c r="D51" s="756" t="s">
        <v>5009</v>
      </c>
      <c r="E51" s="756" t="s">
        <v>1293</v>
      </c>
    </row>
    <row r="52" spans="1:5">
      <c r="A52" s="756" t="s">
        <v>1524</v>
      </c>
      <c r="B52" s="756" t="s">
        <v>5246</v>
      </c>
      <c r="D52" s="756" t="s">
        <v>5010</v>
      </c>
      <c r="E52" s="756" t="s">
        <v>1294</v>
      </c>
    </row>
    <row r="53" spans="1:5">
      <c r="A53" s="756" t="s">
        <v>1565</v>
      </c>
      <c r="B53" s="756" t="s">
        <v>5287</v>
      </c>
      <c r="D53" s="756" t="s">
        <v>5011</v>
      </c>
      <c r="E53" s="756" t="s">
        <v>1295</v>
      </c>
    </row>
    <row r="54" spans="1:5">
      <c r="A54" s="756" t="s">
        <v>1613</v>
      </c>
      <c r="B54" s="756" t="s">
        <v>5335</v>
      </c>
      <c r="D54" s="756" t="s">
        <v>5012</v>
      </c>
      <c r="E54" s="756" t="s">
        <v>3780</v>
      </c>
    </row>
    <row r="55" spans="1:5">
      <c r="A55" s="756" t="s">
        <v>1679</v>
      </c>
      <c r="B55" s="756" t="s">
        <v>5406</v>
      </c>
      <c r="D55" s="756" t="s">
        <v>5013</v>
      </c>
      <c r="E55" s="756" t="s">
        <v>1296</v>
      </c>
    </row>
    <row r="56" spans="1:5">
      <c r="A56" s="756" t="s">
        <v>1303</v>
      </c>
      <c r="B56" s="756" t="s">
        <v>5020</v>
      </c>
      <c r="D56" s="756" t="s">
        <v>5014</v>
      </c>
      <c r="E56" s="756" t="s">
        <v>1297</v>
      </c>
    </row>
    <row r="57" spans="1:5">
      <c r="A57" s="756" t="s">
        <v>1431</v>
      </c>
      <c r="B57" s="756" t="s">
        <v>5150</v>
      </c>
      <c r="D57" s="756" t="s">
        <v>5015</v>
      </c>
      <c r="E57" s="756" t="s">
        <v>1298</v>
      </c>
    </row>
    <row r="58" spans="1:5">
      <c r="A58" s="756" t="s">
        <v>1568</v>
      </c>
      <c r="B58" s="756" t="s">
        <v>5290</v>
      </c>
      <c r="D58" s="756" t="s">
        <v>5016</v>
      </c>
      <c r="E58" s="756" t="s">
        <v>1299</v>
      </c>
    </row>
    <row r="59" spans="1:5">
      <c r="A59" s="756" t="s">
        <v>1620</v>
      </c>
      <c r="B59" s="756" t="s">
        <v>5344</v>
      </c>
      <c r="D59" s="756" t="s">
        <v>5017</v>
      </c>
      <c r="E59" s="756" t="s">
        <v>1300</v>
      </c>
    </row>
    <row r="60" spans="1:5">
      <c r="A60" s="756" t="s">
        <v>1684</v>
      </c>
      <c r="B60" s="756" t="s">
        <v>5412</v>
      </c>
      <c r="D60" s="756" t="s">
        <v>5018</v>
      </c>
      <c r="E60" s="756" t="s">
        <v>1301</v>
      </c>
    </row>
    <row r="61" spans="1:5">
      <c r="A61" s="756" t="s">
        <v>1309</v>
      </c>
      <c r="B61" s="756" t="s">
        <v>5026</v>
      </c>
      <c r="D61" s="756" t="s">
        <v>5019</v>
      </c>
      <c r="E61" s="756" t="s">
        <v>1302</v>
      </c>
    </row>
    <row r="62" spans="1:5">
      <c r="A62" s="756" t="s">
        <v>1436</v>
      </c>
      <c r="B62" s="756" t="s">
        <v>5155</v>
      </c>
      <c r="D62" s="756" t="s">
        <v>5020</v>
      </c>
      <c r="E62" s="756" t="s">
        <v>1303</v>
      </c>
    </row>
    <row r="63" spans="1:5">
      <c r="A63" s="756" t="s">
        <v>1570</v>
      </c>
      <c r="B63" s="756" t="s">
        <v>5292</v>
      </c>
      <c r="D63" s="756" t="s">
        <v>5021</v>
      </c>
      <c r="E63" s="756" t="s">
        <v>1304</v>
      </c>
    </row>
    <row r="64" spans="1:5">
      <c r="A64" s="756" t="s">
        <v>1626</v>
      </c>
      <c r="B64" s="756" t="s">
        <v>5350</v>
      </c>
      <c r="D64" s="756" t="s">
        <v>5022</v>
      </c>
      <c r="E64" s="756" t="s">
        <v>1305</v>
      </c>
    </row>
    <row r="65" spans="1:5">
      <c r="A65" s="756" t="s">
        <v>1685</v>
      </c>
      <c r="B65" s="756" t="s">
        <v>5413</v>
      </c>
      <c r="D65" s="756" t="s">
        <v>5023</v>
      </c>
      <c r="E65" s="756" t="s">
        <v>1306</v>
      </c>
    </row>
    <row r="66" spans="1:5">
      <c r="A66" s="756" t="s">
        <v>1314</v>
      </c>
      <c r="B66" s="756" t="s">
        <v>5031</v>
      </c>
      <c r="D66" s="756" t="s">
        <v>5024</v>
      </c>
      <c r="E66" s="756" t="s">
        <v>1307</v>
      </c>
    </row>
    <row r="67" spans="1:5">
      <c r="A67" s="756" t="s">
        <v>1449</v>
      </c>
      <c r="B67" s="756" t="s">
        <v>5168</v>
      </c>
      <c r="D67" s="756" t="s">
        <v>5025</v>
      </c>
      <c r="E67" s="756" t="s">
        <v>1308</v>
      </c>
    </row>
    <row r="68" spans="1:5">
      <c r="A68" s="756" t="s">
        <v>1630</v>
      </c>
      <c r="B68" s="756" t="s">
        <v>5354</v>
      </c>
      <c r="D68" s="756" t="s">
        <v>5026</v>
      </c>
      <c r="E68" s="756" t="s">
        <v>1309</v>
      </c>
    </row>
    <row r="69" spans="1:5">
      <c r="A69" s="756" t="s">
        <v>1689</v>
      </c>
      <c r="B69" s="756" t="s">
        <v>5417</v>
      </c>
      <c r="D69" s="756" t="s">
        <v>5027</v>
      </c>
      <c r="E69" s="756" t="s">
        <v>1310</v>
      </c>
    </row>
    <row r="70" spans="1:5">
      <c r="A70" s="756" t="s">
        <v>1319</v>
      </c>
      <c r="B70" s="756" t="s">
        <v>5036</v>
      </c>
      <c r="D70" s="756" t="s">
        <v>5028</v>
      </c>
      <c r="E70" s="756" t="s">
        <v>1311</v>
      </c>
    </row>
    <row r="71" spans="1:5">
      <c r="A71" s="756" t="s">
        <v>1456</v>
      </c>
      <c r="B71" s="756" t="s">
        <v>5175</v>
      </c>
      <c r="D71" s="756" t="s">
        <v>5029</v>
      </c>
      <c r="E71" s="756" t="s">
        <v>1312</v>
      </c>
    </row>
    <row r="72" spans="1:5">
      <c r="A72" s="756" t="s">
        <v>1245</v>
      </c>
      <c r="B72" s="756" t="s">
        <v>4961</v>
      </c>
      <c r="D72" s="756" t="s">
        <v>5030</v>
      </c>
      <c r="E72" s="756" t="s">
        <v>1313</v>
      </c>
    </row>
    <row r="73" spans="1:5">
      <c r="A73" s="756" t="s">
        <v>1366</v>
      </c>
      <c r="B73" s="756" t="s">
        <v>5084</v>
      </c>
      <c r="D73" s="756" t="s">
        <v>5031</v>
      </c>
      <c r="E73" s="756" t="s">
        <v>1314</v>
      </c>
    </row>
    <row r="74" spans="1:5">
      <c r="A74" s="756" t="s">
        <v>1478</v>
      </c>
      <c r="B74" s="756" t="s">
        <v>5200</v>
      </c>
      <c r="D74" s="756" t="s">
        <v>5032</v>
      </c>
      <c r="E74" s="756" t="s">
        <v>1315</v>
      </c>
    </row>
    <row r="75" spans="1:5">
      <c r="A75" s="756" t="s">
        <v>1529</v>
      </c>
      <c r="B75" s="756" t="s">
        <v>5251</v>
      </c>
      <c r="D75" s="756" t="s">
        <v>5033</v>
      </c>
      <c r="E75" s="756" t="s">
        <v>1316</v>
      </c>
    </row>
    <row r="76" spans="1:5">
      <c r="A76" s="756" t="s">
        <v>1576</v>
      </c>
      <c r="B76" s="756" t="s">
        <v>5298</v>
      </c>
      <c r="D76" s="756" t="s">
        <v>5034</v>
      </c>
      <c r="E76" s="756" t="s">
        <v>1317</v>
      </c>
    </row>
    <row r="77" spans="1:5">
      <c r="A77" s="756" t="s">
        <v>1635</v>
      </c>
      <c r="B77" s="756" t="s">
        <v>5360</v>
      </c>
      <c r="D77" s="756" t="s">
        <v>5035</v>
      </c>
      <c r="E77" s="756" t="s">
        <v>1318</v>
      </c>
    </row>
    <row r="78" spans="1:5">
      <c r="A78" s="756" t="s">
        <v>1692</v>
      </c>
      <c r="B78" s="756" t="s">
        <v>5420</v>
      </c>
      <c r="D78" s="756" t="s">
        <v>5036</v>
      </c>
      <c r="E78" s="756" t="s">
        <v>1319</v>
      </c>
    </row>
    <row r="79" spans="1:5">
      <c r="A79" s="756" t="s">
        <v>1256</v>
      </c>
      <c r="B79" s="756" t="s">
        <v>4972</v>
      </c>
      <c r="D79" s="756" t="s">
        <v>5037</v>
      </c>
      <c r="E79" s="756" t="s">
        <v>1320</v>
      </c>
    </row>
    <row r="80" spans="1:5">
      <c r="A80" s="756" t="s">
        <v>1380</v>
      </c>
      <c r="B80" s="756" t="s">
        <v>5098</v>
      </c>
      <c r="D80" s="756" t="s">
        <v>5038</v>
      </c>
      <c r="E80" s="756" t="s">
        <v>1321</v>
      </c>
    </row>
    <row r="81" spans="1:5">
      <c r="A81" s="756" t="s">
        <v>1489</v>
      </c>
      <c r="B81" s="756" t="s">
        <v>5211</v>
      </c>
      <c r="D81" s="756" t="s">
        <v>5039</v>
      </c>
      <c r="E81" s="756" t="s">
        <v>1322</v>
      </c>
    </row>
    <row r="82" spans="1:5">
      <c r="A82" s="756" t="s">
        <v>1534</v>
      </c>
      <c r="B82" s="756" t="s">
        <v>5256</v>
      </c>
      <c r="D82" s="756" t="s">
        <v>5040</v>
      </c>
      <c r="E82" s="756" t="s">
        <v>1323</v>
      </c>
    </row>
    <row r="83" spans="1:5">
      <c r="A83" s="756" t="s">
        <v>1581</v>
      </c>
      <c r="B83" s="756" t="s">
        <v>5303</v>
      </c>
      <c r="D83" s="756" t="s">
        <v>5041</v>
      </c>
      <c r="E83" s="756" t="s">
        <v>1324</v>
      </c>
    </row>
    <row r="84" spans="1:5">
      <c r="A84" s="756" t="s">
        <v>1650</v>
      </c>
      <c r="B84" s="756" t="s">
        <v>5376</v>
      </c>
      <c r="D84" s="756" t="s">
        <v>5042</v>
      </c>
      <c r="E84" s="756" t="s">
        <v>1325</v>
      </c>
    </row>
    <row r="85" spans="1:5">
      <c r="A85" s="756" t="s">
        <v>1696</v>
      </c>
      <c r="B85" s="756" t="s">
        <v>5424</v>
      </c>
      <c r="D85" s="756" t="s">
        <v>5043</v>
      </c>
      <c r="E85" s="756" t="s">
        <v>1326</v>
      </c>
    </row>
    <row r="86" spans="1:5">
      <c r="A86" s="756" t="s">
        <v>1259</v>
      </c>
      <c r="B86" s="756" t="s">
        <v>4975</v>
      </c>
      <c r="D86" s="756" t="s">
        <v>5044</v>
      </c>
      <c r="E86" s="756" t="s">
        <v>1327</v>
      </c>
    </row>
    <row r="87" spans="1:5">
      <c r="A87" s="756" t="s">
        <v>1393</v>
      </c>
      <c r="B87" s="756" t="s">
        <v>5112</v>
      </c>
      <c r="D87" s="756" t="s">
        <v>5045</v>
      </c>
      <c r="E87" s="756" t="s">
        <v>1328</v>
      </c>
    </row>
    <row r="88" spans="1:5">
      <c r="A88" s="756" t="s">
        <v>1494</v>
      </c>
      <c r="B88" s="756" t="s">
        <v>5216</v>
      </c>
      <c r="D88" s="756" t="s">
        <v>5046</v>
      </c>
      <c r="E88" s="756" t="s">
        <v>1329</v>
      </c>
    </row>
    <row r="89" spans="1:5">
      <c r="A89" s="756" t="s">
        <v>1540</v>
      </c>
      <c r="B89" s="756" t="s">
        <v>5262</v>
      </c>
      <c r="D89" s="756" t="s">
        <v>5047</v>
      </c>
      <c r="E89" s="756" t="s">
        <v>1330</v>
      </c>
    </row>
    <row r="90" spans="1:5">
      <c r="A90" s="756" t="s">
        <v>1588</v>
      </c>
      <c r="B90" s="756" t="s">
        <v>5310</v>
      </c>
      <c r="D90" s="756" t="s">
        <v>5048</v>
      </c>
      <c r="E90" s="756" t="s">
        <v>1331</v>
      </c>
    </row>
    <row r="91" spans="1:5">
      <c r="A91" s="756" t="s">
        <v>1655</v>
      </c>
      <c r="B91" s="756" t="s">
        <v>5382</v>
      </c>
      <c r="D91" s="756" t="s">
        <v>5049</v>
      </c>
      <c r="E91" s="756" t="s">
        <v>1332</v>
      </c>
    </row>
    <row r="92" spans="1:5">
      <c r="A92" s="756" t="s">
        <v>1703</v>
      </c>
      <c r="B92" s="756" t="s">
        <v>5431</v>
      </c>
      <c r="D92" s="756" t="s">
        <v>5050</v>
      </c>
      <c r="E92" s="756" t="s">
        <v>1333</v>
      </c>
    </row>
    <row r="93" spans="1:5">
      <c r="A93" s="756" t="s">
        <v>1272</v>
      </c>
      <c r="B93" s="756" t="s">
        <v>4988</v>
      </c>
      <c r="D93" s="756" t="s">
        <v>5051</v>
      </c>
      <c r="E93" s="756" t="s">
        <v>1334</v>
      </c>
    </row>
    <row r="94" spans="1:5">
      <c r="A94" s="756" t="s">
        <v>1400</v>
      </c>
      <c r="B94" s="756" t="s">
        <v>5119</v>
      </c>
      <c r="D94" s="756" t="s">
        <v>5052</v>
      </c>
      <c r="E94" s="756" t="s">
        <v>1335</v>
      </c>
    </row>
    <row r="95" spans="1:5">
      <c r="A95" s="756" t="s">
        <v>1502</v>
      </c>
      <c r="B95" s="756" t="s">
        <v>5224</v>
      </c>
      <c r="D95" s="756" t="s">
        <v>5053</v>
      </c>
      <c r="E95" s="756" t="s">
        <v>1336</v>
      </c>
    </row>
    <row r="96" spans="1:5">
      <c r="A96" s="756" t="s">
        <v>1548</v>
      </c>
      <c r="B96" s="756" t="s">
        <v>5270</v>
      </c>
      <c r="D96" s="756" t="s">
        <v>5054</v>
      </c>
      <c r="E96" s="756" t="s">
        <v>1337</v>
      </c>
    </row>
    <row r="97" spans="1:5">
      <c r="A97" s="756" t="s">
        <v>1597</v>
      </c>
      <c r="B97" s="756" t="s">
        <v>5319</v>
      </c>
      <c r="D97" s="756" t="s">
        <v>5055</v>
      </c>
      <c r="E97" s="756" t="s">
        <v>1338</v>
      </c>
    </row>
    <row r="98" spans="1:5">
      <c r="A98" s="756" t="s">
        <v>1664</v>
      </c>
      <c r="B98" s="756" t="s">
        <v>5391</v>
      </c>
      <c r="D98" s="756" t="s">
        <v>5056</v>
      </c>
      <c r="E98" s="756" t="s">
        <v>1339</v>
      </c>
    </row>
    <row r="99" spans="1:5">
      <c r="A99" s="756" t="s">
        <v>1709</v>
      </c>
      <c r="B99" s="756" t="s">
        <v>5438</v>
      </c>
      <c r="D99" s="756" t="s">
        <v>5057</v>
      </c>
      <c r="E99" s="756" t="s">
        <v>1340</v>
      </c>
    </row>
    <row r="100" spans="1:5">
      <c r="A100" s="756" t="s">
        <v>1281</v>
      </c>
      <c r="B100" s="756" t="s">
        <v>4997</v>
      </c>
      <c r="D100" s="756" t="s">
        <v>5058</v>
      </c>
      <c r="E100" s="756" t="s">
        <v>1341</v>
      </c>
    </row>
    <row r="101" spans="1:5">
      <c r="A101" s="756" t="s">
        <v>1404</v>
      </c>
      <c r="B101" s="756" t="s">
        <v>5123</v>
      </c>
      <c r="D101" s="756" t="s">
        <v>5059</v>
      </c>
      <c r="E101" s="756" t="s">
        <v>1342</v>
      </c>
    </row>
    <row r="102" spans="1:5">
      <c r="A102" s="756" t="s">
        <v>1505</v>
      </c>
      <c r="B102" s="756" t="s">
        <v>5227</v>
      </c>
      <c r="D102" s="756" t="s">
        <v>5060</v>
      </c>
      <c r="E102" s="756" t="s">
        <v>1343</v>
      </c>
    </row>
    <row r="103" spans="1:5">
      <c r="A103" s="756" t="s">
        <v>1554</v>
      </c>
      <c r="B103" s="756" t="s">
        <v>5276</v>
      </c>
      <c r="D103" s="756" t="s">
        <v>5061</v>
      </c>
      <c r="E103" s="756" t="s">
        <v>1344</v>
      </c>
    </row>
    <row r="104" spans="1:5">
      <c r="A104" s="756" t="s">
        <v>1601</v>
      </c>
      <c r="B104" s="756" t="s">
        <v>5323</v>
      </c>
      <c r="D104" s="756" t="s">
        <v>5062</v>
      </c>
      <c r="E104" s="756" t="s">
        <v>1345</v>
      </c>
    </row>
    <row r="105" spans="1:5">
      <c r="A105" s="756" t="s">
        <v>1667</v>
      </c>
      <c r="B105" s="756" t="s">
        <v>5394</v>
      </c>
      <c r="D105" s="756" t="s">
        <v>5063</v>
      </c>
      <c r="E105" s="756" t="s">
        <v>1346</v>
      </c>
    </row>
    <row r="106" spans="1:5">
      <c r="A106" s="756" t="s">
        <v>1713</v>
      </c>
      <c r="B106" s="756" t="s">
        <v>5442</v>
      </c>
      <c r="D106" s="756" t="s">
        <v>5064</v>
      </c>
      <c r="E106" s="756" t="s">
        <v>1347</v>
      </c>
    </row>
    <row r="107" spans="1:5">
      <c r="A107" s="756" t="s">
        <v>1284</v>
      </c>
      <c r="B107" s="756" t="s">
        <v>5000</v>
      </c>
      <c r="D107" s="756" t="s">
        <v>5065</v>
      </c>
      <c r="E107" s="756" t="s">
        <v>1348</v>
      </c>
    </row>
    <row r="108" spans="1:5">
      <c r="A108" s="756" t="s">
        <v>1412</v>
      </c>
      <c r="B108" s="756" t="s">
        <v>5131</v>
      </c>
      <c r="D108" s="756" t="s">
        <v>5066</v>
      </c>
      <c r="E108" s="756" t="s">
        <v>1349</v>
      </c>
    </row>
    <row r="109" spans="1:5">
      <c r="A109" s="756" t="s">
        <v>1517</v>
      </c>
      <c r="B109" s="756" t="s">
        <v>5239</v>
      </c>
      <c r="D109" s="756" t="s">
        <v>5067</v>
      </c>
      <c r="E109" s="756" t="s">
        <v>1350</v>
      </c>
    </row>
    <row r="110" spans="1:5">
      <c r="A110" s="756" t="s">
        <v>1559</v>
      </c>
      <c r="B110" s="756" t="s">
        <v>5281</v>
      </c>
      <c r="D110" s="756" t="s">
        <v>5068</v>
      </c>
      <c r="E110" s="756" t="s">
        <v>1351</v>
      </c>
    </row>
    <row r="111" spans="1:5">
      <c r="A111" s="756" t="s">
        <v>1605</v>
      </c>
      <c r="B111" s="756" t="s">
        <v>5327</v>
      </c>
      <c r="D111" s="756" t="s">
        <v>5069</v>
      </c>
      <c r="E111" s="756" t="s">
        <v>1352</v>
      </c>
    </row>
    <row r="112" spans="1:5">
      <c r="A112" s="756" t="s">
        <v>1673</v>
      </c>
      <c r="B112" s="756" t="s">
        <v>5400</v>
      </c>
      <c r="D112" s="756" t="s">
        <v>5070</v>
      </c>
      <c r="E112" s="756" t="s">
        <v>1353</v>
      </c>
    </row>
    <row r="113" spans="1:5">
      <c r="A113" s="756" t="s">
        <v>1716</v>
      </c>
      <c r="B113" s="756" t="s">
        <v>5445</v>
      </c>
      <c r="D113" s="756" t="s">
        <v>5071</v>
      </c>
      <c r="E113" s="756" t="s">
        <v>1354</v>
      </c>
    </row>
    <row r="114" spans="1:5">
      <c r="A114" s="756" t="s">
        <v>1291</v>
      </c>
      <c r="B114" s="756" t="s">
        <v>5007</v>
      </c>
      <c r="D114" s="756" t="s">
        <v>5072</v>
      </c>
      <c r="E114" s="756" t="s">
        <v>1355</v>
      </c>
    </row>
    <row r="115" spans="1:5">
      <c r="A115" s="756" t="s">
        <v>1420</v>
      </c>
      <c r="B115" s="756" t="s">
        <v>5139</v>
      </c>
      <c r="D115" s="756" t="s">
        <v>5073</v>
      </c>
      <c r="E115" s="756" t="s">
        <v>1356</v>
      </c>
    </row>
    <row r="116" spans="1:5">
      <c r="A116" s="756" t="s">
        <v>1520</v>
      </c>
      <c r="B116" s="756" t="s">
        <v>5242</v>
      </c>
      <c r="D116" s="756" t="s">
        <v>5074</v>
      </c>
      <c r="E116" s="756" t="s">
        <v>1357</v>
      </c>
    </row>
    <row r="117" spans="1:5">
      <c r="A117" s="756" t="s">
        <v>1563</v>
      </c>
      <c r="B117" s="756" t="s">
        <v>5285</v>
      </c>
      <c r="D117" s="756" t="s">
        <v>5075</v>
      </c>
      <c r="E117" s="756" t="s">
        <v>1358</v>
      </c>
    </row>
    <row r="118" spans="1:5">
      <c r="A118" s="756" t="s">
        <v>1610</v>
      </c>
      <c r="B118" s="756" t="s">
        <v>5332</v>
      </c>
      <c r="D118" s="756" t="s">
        <v>5076</v>
      </c>
      <c r="E118" s="756" t="s">
        <v>3781</v>
      </c>
    </row>
    <row r="119" spans="1:5">
      <c r="A119" s="756" t="s">
        <v>1676</v>
      </c>
      <c r="B119" s="756" t="s">
        <v>5403</v>
      </c>
      <c r="D119" s="756" t="s">
        <v>5077</v>
      </c>
      <c r="E119" s="756" t="s">
        <v>1359</v>
      </c>
    </row>
    <row r="120" spans="1:5">
      <c r="A120" s="756" t="s">
        <v>1297</v>
      </c>
      <c r="B120" s="756" t="s">
        <v>5014</v>
      </c>
      <c r="D120" s="756" t="s">
        <v>5078</v>
      </c>
      <c r="E120" s="756" t="s">
        <v>1360</v>
      </c>
    </row>
    <row r="121" spans="1:5">
      <c r="A121" s="756" t="s">
        <v>1427</v>
      </c>
      <c r="B121" s="756" t="s">
        <v>5146</v>
      </c>
      <c r="D121" s="756" t="s">
        <v>5079</v>
      </c>
      <c r="E121" s="756" t="s">
        <v>1361</v>
      </c>
    </row>
    <row r="122" spans="1:5">
      <c r="A122" s="756" t="s">
        <v>1525</v>
      </c>
      <c r="B122" s="756" t="s">
        <v>5247</v>
      </c>
      <c r="D122" s="756" t="s">
        <v>5080</v>
      </c>
      <c r="E122" s="756" t="s">
        <v>1362</v>
      </c>
    </row>
    <row r="123" spans="1:5">
      <c r="A123" s="756" t="s">
        <v>1566</v>
      </c>
      <c r="B123" s="756" t="s">
        <v>5288</v>
      </c>
      <c r="D123" s="756" t="s">
        <v>5081</v>
      </c>
      <c r="E123" s="756" t="s">
        <v>1363</v>
      </c>
    </row>
    <row r="124" spans="1:5">
      <c r="A124" s="756" t="s">
        <v>1614</v>
      </c>
      <c r="B124" s="756" t="s">
        <v>5336</v>
      </c>
      <c r="D124" s="756" t="s">
        <v>5082</v>
      </c>
      <c r="E124" s="756" t="s">
        <v>1364</v>
      </c>
    </row>
    <row r="125" spans="1:5">
      <c r="A125" s="756" t="s">
        <v>1680</v>
      </c>
      <c r="B125" s="756" t="s">
        <v>5407</v>
      </c>
      <c r="D125" s="756" t="s">
        <v>5083</v>
      </c>
      <c r="E125" s="756" t="s">
        <v>1365</v>
      </c>
    </row>
    <row r="126" spans="1:5">
      <c r="A126" s="756" t="s">
        <v>1304</v>
      </c>
      <c r="B126" s="756" t="s">
        <v>5021</v>
      </c>
      <c r="D126" s="756" t="s">
        <v>5084</v>
      </c>
      <c r="E126" s="756" t="s">
        <v>1366</v>
      </c>
    </row>
    <row r="127" spans="1:5">
      <c r="A127" s="756" t="s">
        <v>1432</v>
      </c>
      <c r="B127" s="756" t="s">
        <v>5151</v>
      </c>
      <c r="D127" s="756" t="s">
        <v>5085</v>
      </c>
      <c r="E127" s="756" t="s">
        <v>1367</v>
      </c>
    </row>
    <row r="128" spans="1:5">
      <c r="A128" s="756" t="s">
        <v>1569</v>
      </c>
      <c r="B128" s="756" t="s">
        <v>5291</v>
      </c>
      <c r="D128" s="756" t="s">
        <v>5086</v>
      </c>
      <c r="E128" s="756" t="s">
        <v>1368</v>
      </c>
    </row>
    <row r="129" spans="1:5">
      <c r="A129" s="756" t="s">
        <v>1621</v>
      </c>
      <c r="B129" s="756" t="s">
        <v>5345</v>
      </c>
      <c r="D129" s="756" t="s">
        <v>5087</v>
      </c>
      <c r="E129" s="756" t="s">
        <v>1369</v>
      </c>
    </row>
    <row r="130" spans="1:5">
      <c r="A130" s="756" t="s">
        <v>1310</v>
      </c>
      <c r="B130" s="756" t="s">
        <v>5027</v>
      </c>
      <c r="D130" s="756" t="s">
        <v>5088</v>
      </c>
      <c r="E130" s="756" t="s">
        <v>1370</v>
      </c>
    </row>
    <row r="131" spans="1:5">
      <c r="A131" s="756" t="s">
        <v>1437</v>
      </c>
      <c r="B131" s="756" t="s">
        <v>5156</v>
      </c>
      <c r="D131" s="756" t="s">
        <v>5089</v>
      </c>
      <c r="E131" s="756" t="s">
        <v>1371</v>
      </c>
    </row>
    <row r="132" spans="1:5">
      <c r="A132" s="756" t="s">
        <v>1571</v>
      </c>
      <c r="B132" s="756" t="s">
        <v>5293</v>
      </c>
      <c r="D132" s="756" t="s">
        <v>5090</v>
      </c>
      <c r="E132" s="756" t="s">
        <v>1372</v>
      </c>
    </row>
    <row r="133" spans="1:5">
      <c r="A133" s="756" t="s">
        <v>1627</v>
      </c>
      <c r="B133" s="756" t="s">
        <v>5351</v>
      </c>
      <c r="D133" s="756" t="s">
        <v>5091</v>
      </c>
      <c r="E133" s="756" t="s">
        <v>1373</v>
      </c>
    </row>
    <row r="134" spans="1:5">
      <c r="A134" s="756" t="s">
        <v>1686</v>
      </c>
      <c r="B134" s="756" t="s">
        <v>5414</v>
      </c>
      <c r="D134" s="756" t="s">
        <v>5092</v>
      </c>
      <c r="E134" s="756" t="s">
        <v>1374</v>
      </c>
    </row>
    <row r="135" spans="1:5">
      <c r="A135" s="756" t="s">
        <v>1315</v>
      </c>
      <c r="B135" s="756" t="s">
        <v>5032</v>
      </c>
      <c r="D135" s="756" t="s">
        <v>5093</v>
      </c>
      <c r="E135" s="756" t="s">
        <v>1375</v>
      </c>
    </row>
    <row r="136" spans="1:5">
      <c r="A136" s="756" t="s">
        <v>1450</v>
      </c>
      <c r="B136" s="756" t="s">
        <v>5169</v>
      </c>
      <c r="D136" s="756" t="s">
        <v>5094</v>
      </c>
      <c r="E136" s="756" t="s">
        <v>1376</v>
      </c>
    </row>
    <row r="137" spans="1:5">
      <c r="A137" s="756" t="s">
        <v>1631</v>
      </c>
      <c r="B137" s="756" t="s">
        <v>5355</v>
      </c>
      <c r="D137" s="756" t="s">
        <v>5095</v>
      </c>
      <c r="E137" s="756" t="s">
        <v>1377</v>
      </c>
    </row>
    <row r="138" spans="1:5">
      <c r="A138" s="756" t="s">
        <v>1690</v>
      </c>
      <c r="B138" s="756" t="s">
        <v>5418</v>
      </c>
      <c r="D138" s="756" t="s">
        <v>5096</v>
      </c>
      <c r="E138" s="756" t="s">
        <v>1378</v>
      </c>
    </row>
    <row r="139" spans="1:5">
      <c r="A139" s="756" t="s">
        <v>1320</v>
      </c>
      <c r="B139" s="756" t="s">
        <v>5037</v>
      </c>
      <c r="D139" s="756" t="s">
        <v>5097</v>
      </c>
      <c r="E139" s="756" t="s">
        <v>1379</v>
      </c>
    </row>
    <row r="140" spans="1:5">
      <c r="A140" s="756" t="s">
        <v>1457</v>
      </c>
      <c r="B140" s="756" t="s">
        <v>5176</v>
      </c>
      <c r="D140" s="756" t="s">
        <v>5098</v>
      </c>
      <c r="E140" s="756" t="s">
        <v>1380</v>
      </c>
    </row>
    <row r="141" spans="1:5">
      <c r="A141" s="756" t="s">
        <v>1246</v>
      </c>
      <c r="B141" s="756" t="s">
        <v>4962</v>
      </c>
      <c r="D141" s="756" t="s">
        <v>5099</v>
      </c>
      <c r="E141" s="756" t="s">
        <v>1381</v>
      </c>
    </row>
    <row r="142" spans="1:5">
      <c r="A142" s="756" t="s">
        <v>1367</v>
      </c>
      <c r="B142" s="756" t="s">
        <v>5085</v>
      </c>
      <c r="D142" s="756" t="s">
        <v>5100</v>
      </c>
      <c r="E142" s="756" t="s">
        <v>1382</v>
      </c>
    </row>
    <row r="143" spans="1:5">
      <c r="A143" s="756" t="s">
        <v>1479</v>
      </c>
      <c r="B143" s="756" t="s">
        <v>5201</v>
      </c>
      <c r="D143" s="756" t="s">
        <v>5101</v>
      </c>
      <c r="E143" s="756" t="s">
        <v>1383</v>
      </c>
    </row>
    <row r="144" spans="1:5">
      <c r="A144" s="756" t="s">
        <v>1530</v>
      </c>
      <c r="B144" s="756" t="s">
        <v>5252</v>
      </c>
      <c r="D144" s="756" t="s">
        <v>5102</v>
      </c>
      <c r="E144" s="756" t="s">
        <v>1384</v>
      </c>
    </row>
    <row r="145" spans="1:5">
      <c r="A145" s="756" t="s">
        <v>1577</v>
      </c>
      <c r="B145" s="756" t="s">
        <v>5299</v>
      </c>
      <c r="D145" s="756" t="s">
        <v>5103</v>
      </c>
      <c r="E145" s="756" t="s">
        <v>1385</v>
      </c>
    </row>
    <row r="146" spans="1:5">
      <c r="A146" s="756" t="s">
        <v>1636</v>
      </c>
      <c r="B146" s="756" t="s">
        <v>5361</v>
      </c>
      <c r="D146" s="756" t="s">
        <v>5104</v>
      </c>
      <c r="E146" s="756" t="s">
        <v>1386</v>
      </c>
    </row>
    <row r="147" spans="1:5">
      <c r="A147" s="756" t="s">
        <v>1693</v>
      </c>
      <c r="B147" s="756" t="s">
        <v>5421</v>
      </c>
      <c r="D147" s="756" t="s">
        <v>5105</v>
      </c>
      <c r="E147" s="756" t="s">
        <v>1387</v>
      </c>
    </row>
    <row r="148" spans="1:5">
      <c r="A148" s="756" t="s">
        <v>1257</v>
      </c>
      <c r="B148" s="756" t="s">
        <v>4973</v>
      </c>
      <c r="D148" s="756" t="s">
        <v>5106</v>
      </c>
      <c r="E148" s="756" t="s">
        <v>1388</v>
      </c>
    </row>
    <row r="149" spans="1:5">
      <c r="A149" s="756" t="s">
        <v>1381</v>
      </c>
      <c r="B149" s="756" t="s">
        <v>5099</v>
      </c>
      <c r="D149" s="756" t="s">
        <v>5107</v>
      </c>
      <c r="E149" s="756" t="s">
        <v>1389</v>
      </c>
    </row>
    <row r="150" spans="1:5">
      <c r="A150" s="756" t="s">
        <v>1490</v>
      </c>
      <c r="B150" s="756" t="s">
        <v>5212</v>
      </c>
      <c r="D150" s="756" t="s">
        <v>5108</v>
      </c>
      <c r="E150" s="756" t="s">
        <v>1390</v>
      </c>
    </row>
    <row r="151" spans="1:5">
      <c r="A151" s="756" t="s">
        <v>1535</v>
      </c>
      <c r="B151" s="756" t="s">
        <v>5257</v>
      </c>
      <c r="D151" s="756" t="s">
        <v>5109</v>
      </c>
      <c r="E151" s="756" t="s">
        <v>1391</v>
      </c>
    </row>
    <row r="152" spans="1:5">
      <c r="A152" s="756" t="s">
        <v>1582</v>
      </c>
      <c r="B152" s="756" t="s">
        <v>5304</v>
      </c>
      <c r="D152" s="756" t="s">
        <v>5110</v>
      </c>
      <c r="E152" s="756" t="s">
        <v>3782</v>
      </c>
    </row>
    <row r="153" spans="1:5">
      <c r="A153" s="756" t="s">
        <v>1651</v>
      </c>
      <c r="B153" s="756" t="s">
        <v>5377</v>
      </c>
      <c r="D153" s="756" t="s">
        <v>5111</v>
      </c>
      <c r="E153" s="756" t="s">
        <v>1392</v>
      </c>
    </row>
    <row r="154" spans="1:5">
      <c r="A154" s="756" t="s">
        <v>1697</v>
      </c>
      <c r="B154" s="756" t="s">
        <v>5425</v>
      </c>
      <c r="D154" s="756" t="s">
        <v>5112</v>
      </c>
      <c r="E154" s="756" t="s">
        <v>1393</v>
      </c>
    </row>
    <row r="155" spans="1:5">
      <c r="A155" s="756" t="s">
        <v>1260</v>
      </c>
      <c r="B155" s="756" t="s">
        <v>4976</v>
      </c>
      <c r="D155" s="756" t="s">
        <v>5113</v>
      </c>
      <c r="E155" s="756" t="s">
        <v>1394</v>
      </c>
    </row>
    <row r="156" spans="1:5">
      <c r="A156" s="756" t="s">
        <v>1394</v>
      </c>
      <c r="B156" s="756" t="s">
        <v>5113</v>
      </c>
      <c r="D156" s="756" t="s">
        <v>5114</v>
      </c>
      <c r="E156" s="756" t="s">
        <v>1395</v>
      </c>
    </row>
    <row r="157" spans="1:5">
      <c r="A157" s="756" t="s">
        <v>1495</v>
      </c>
      <c r="B157" s="756" t="s">
        <v>5217</v>
      </c>
      <c r="D157" s="756" t="s">
        <v>5115</v>
      </c>
      <c r="E157" s="756" t="s">
        <v>1396</v>
      </c>
    </row>
    <row r="158" spans="1:5">
      <c r="A158" s="756" t="s">
        <v>1541</v>
      </c>
      <c r="B158" s="756" t="s">
        <v>5263</v>
      </c>
      <c r="D158" s="756" t="s">
        <v>5116</v>
      </c>
      <c r="E158" s="756" t="s">
        <v>1397</v>
      </c>
    </row>
    <row r="159" spans="1:5">
      <c r="A159" s="756" t="s">
        <v>1589</v>
      </c>
      <c r="B159" s="756" t="s">
        <v>5311</v>
      </c>
      <c r="D159" s="756" t="s">
        <v>5117</v>
      </c>
      <c r="E159" s="756" t="s">
        <v>1398</v>
      </c>
    </row>
    <row r="160" spans="1:5">
      <c r="A160" s="756" t="s">
        <v>1656</v>
      </c>
      <c r="B160" s="756" t="s">
        <v>5383</v>
      </c>
      <c r="D160" s="756" t="s">
        <v>5118</v>
      </c>
      <c r="E160" s="756" t="s">
        <v>1399</v>
      </c>
    </row>
    <row r="161" spans="1:5">
      <c r="A161" s="756" t="s">
        <v>1704</v>
      </c>
      <c r="B161" s="756" t="s">
        <v>5432</v>
      </c>
      <c r="D161" s="756" t="s">
        <v>5119</v>
      </c>
      <c r="E161" s="756" t="s">
        <v>1400</v>
      </c>
    </row>
    <row r="162" spans="1:5">
      <c r="A162" s="756" t="s">
        <v>1273</v>
      </c>
      <c r="B162" s="756" t="s">
        <v>4989</v>
      </c>
      <c r="D162" s="756" t="s">
        <v>5120</v>
      </c>
      <c r="E162" s="756" t="s">
        <v>1401</v>
      </c>
    </row>
    <row r="163" spans="1:5">
      <c r="A163" s="756" t="s">
        <v>1401</v>
      </c>
      <c r="B163" s="756" t="s">
        <v>5120</v>
      </c>
      <c r="D163" s="756" t="s">
        <v>5121</v>
      </c>
      <c r="E163" s="756" t="s">
        <v>1402</v>
      </c>
    </row>
    <row r="164" spans="1:5">
      <c r="A164" s="756" t="s">
        <v>1503</v>
      </c>
      <c r="B164" s="756" t="s">
        <v>5225</v>
      </c>
      <c r="D164" s="756" t="s">
        <v>5122</v>
      </c>
      <c r="E164" s="756" t="s">
        <v>1403</v>
      </c>
    </row>
    <row r="165" spans="1:5">
      <c r="A165" s="756" t="s">
        <v>1549</v>
      </c>
      <c r="B165" s="756" t="s">
        <v>5271</v>
      </c>
      <c r="D165" s="756" t="s">
        <v>5123</v>
      </c>
      <c r="E165" s="756" t="s">
        <v>1404</v>
      </c>
    </row>
    <row r="166" spans="1:5">
      <c r="A166" s="756" t="s">
        <v>1598</v>
      </c>
      <c r="B166" s="756" t="s">
        <v>5320</v>
      </c>
      <c r="D166" s="756" t="s">
        <v>5124</v>
      </c>
      <c r="E166" s="756" t="s">
        <v>1405</v>
      </c>
    </row>
    <row r="167" spans="1:5">
      <c r="A167" s="756" t="s">
        <v>1665</v>
      </c>
      <c r="B167" s="756" t="s">
        <v>5392</v>
      </c>
      <c r="D167" s="756" t="s">
        <v>5125</v>
      </c>
      <c r="E167" s="756" t="s">
        <v>1406</v>
      </c>
    </row>
    <row r="168" spans="1:5">
      <c r="A168" s="756" t="s">
        <v>1710</v>
      </c>
      <c r="B168" s="756" t="s">
        <v>5439</v>
      </c>
      <c r="D168" s="756" t="s">
        <v>5126</v>
      </c>
      <c r="E168" s="756" t="s">
        <v>1407</v>
      </c>
    </row>
    <row r="169" spans="1:5">
      <c r="A169" s="756" t="s">
        <v>1282</v>
      </c>
      <c r="B169" s="756" t="s">
        <v>4998</v>
      </c>
      <c r="D169" s="756" t="s">
        <v>5127</v>
      </c>
      <c r="E169" s="756" t="s">
        <v>1408</v>
      </c>
    </row>
    <row r="170" spans="1:5">
      <c r="A170" s="756" t="s">
        <v>1405</v>
      </c>
      <c r="B170" s="756" t="s">
        <v>5124</v>
      </c>
      <c r="D170" s="756" t="s">
        <v>5128</v>
      </c>
      <c r="E170" s="756" t="s">
        <v>1409</v>
      </c>
    </row>
    <row r="171" spans="1:5">
      <c r="A171" s="756" t="s">
        <v>1506</v>
      </c>
      <c r="B171" s="756" t="s">
        <v>5228</v>
      </c>
      <c r="D171" s="756" t="s">
        <v>5129</v>
      </c>
      <c r="E171" s="756" t="s">
        <v>1410</v>
      </c>
    </row>
    <row r="172" spans="1:5">
      <c r="A172" s="756" t="s">
        <v>1555</v>
      </c>
      <c r="B172" s="756" t="s">
        <v>5277</v>
      </c>
      <c r="D172" s="756" t="s">
        <v>5130</v>
      </c>
      <c r="E172" s="756" t="s">
        <v>1411</v>
      </c>
    </row>
    <row r="173" spans="1:5">
      <c r="A173" s="756" t="s">
        <v>1602</v>
      </c>
      <c r="B173" s="756" t="s">
        <v>5324</v>
      </c>
      <c r="D173" s="756" t="s">
        <v>5131</v>
      </c>
      <c r="E173" s="756" t="s">
        <v>1412</v>
      </c>
    </row>
    <row r="174" spans="1:5">
      <c r="A174" s="756" t="s">
        <v>1668</v>
      </c>
      <c r="B174" s="756" t="s">
        <v>5395</v>
      </c>
      <c r="D174" s="756" t="s">
        <v>5132</v>
      </c>
      <c r="E174" s="756" t="s">
        <v>1413</v>
      </c>
    </row>
    <row r="175" spans="1:5">
      <c r="A175" s="756" t="s">
        <v>1714</v>
      </c>
      <c r="B175" s="756" t="s">
        <v>5443</v>
      </c>
      <c r="D175" s="756" t="s">
        <v>5133</v>
      </c>
      <c r="E175" s="756" t="s">
        <v>1414</v>
      </c>
    </row>
    <row r="176" spans="1:5">
      <c r="A176" s="756" t="s">
        <v>1285</v>
      </c>
      <c r="B176" s="756" t="s">
        <v>5001</v>
      </c>
      <c r="D176" s="756" t="s">
        <v>5134</v>
      </c>
      <c r="E176" s="756" t="s">
        <v>1415</v>
      </c>
    </row>
    <row r="177" spans="1:5">
      <c r="A177" s="756" t="s">
        <v>1413</v>
      </c>
      <c r="B177" s="756" t="s">
        <v>5132</v>
      </c>
      <c r="D177" s="756" t="s">
        <v>5135</v>
      </c>
      <c r="E177" s="756" t="s">
        <v>1416</v>
      </c>
    </row>
    <row r="178" spans="1:5">
      <c r="A178" s="756" t="s">
        <v>1518</v>
      </c>
      <c r="B178" s="756" t="s">
        <v>5240</v>
      </c>
      <c r="D178" s="756" t="s">
        <v>5136</v>
      </c>
      <c r="E178" s="756" t="s">
        <v>1417</v>
      </c>
    </row>
    <row r="179" spans="1:5">
      <c r="A179" s="756" t="s">
        <v>1560</v>
      </c>
      <c r="B179" s="756" t="s">
        <v>5282</v>
      </c>
      <c r="D179" s="756" t="s">
        <v>5137</v>
      </c>
      <c r="E179" s="756" t="s">
        <v>1418</v>
      </c>
    </row>
    <row r="180" spans="1:5">
      <c r="A180" s="756" t="s">
        <v>1606</v>
      </c>
      <c r="B180" s="756" t="s">
        <v>5328</v>
      </c>
      <c r="D180" s="756" t="s">
        <v>5138</v>
      </c>
      <c r="E180" s="756" t="s">
        <v>1419</v>
      </c>
    </row>
    <row r="181" spans="1:5">
      <c r="A181" s="756" t="s">
        <v>1674</v>
      </c>
      <c r="B181" s="756" t="s">
        <v>5401</v>
      </c>
      <c r="D181" s="756" t="s">
        <v>5139</v>
      </c>
      <c r="E181" s="756" t="s">
        <v>1420</v>
      </c>
    </row>
    <row r="182" spans="1:5">
      <c r="A182" s="756" t="s">
        <v>1717</v>
      </c>
      <c r="B182" s="756" t="s">
        <v>5446</v>
      </c>
      <c r="D182" s="756" t="s">
        <v>5140</v>
      </c>
      <c r="E182" s="756" t="s">
        <v>1421</v>
      </c>
    </row>
    <row r="183" spans="1:5">
      <c r="A183" s="756" t="s">
        <v>1292</v>
      </c>
      <c r="B183" s="756" t="s">
        <v>5008</v>
      </c>
      <c r="D183" s="756" t="s">
        <v>5141</v>
      </c>
      <c r="E183" s="756" t="s">
        <v>1422</v>
      </c>
    </row>
    <row r="184" spans="1:5">
      <c r="A184" s="756" t="s">
        <v>1421</v>
      </c>
      <c r="B184" s="756" t="s">
        <v>5140</v>
      </c>
      <c r="D184" s="756" t="s">
        <v>5142</v>
      </c>
      <c r="E184" s="756" t="s">
        <v>1423</v>
      </c>
    </row>
    <row r="185" spans="1:5">
      <c r="A185" s="756" t="s">
        <v>1521</v>
      </c>
      <c r="B185" s="756" t="s">
        <v>5243</v>
      </c>
      <c r="D185" s="756" t="s">
        <v>5143</v>
      </c>
      <c r="E185" s="756" t="s">
        <v>1424</v>
      </c>
    </row>
    <row r="186" spans="1:5">
      <c r="A186" s="756" t="s">
        <v>1564</v>
      </c>
      <c r="B186" s="756" t="s">
        <v>5286</v>
      </c>
      <c r="D186" s="756" t="s">
        <v>5144</v>
      </c>
      <c r="E186" s="756" t="s">
        <v>1425</v>
      </c>
    </row>
    <row r="187" spans="1:5">
      <c r="A187" s="756" t="s">
        <v>1611</v>
      </c>
      <c r="B187" s="756" t="s">
        <v>5333</v>
      </c>
      <c r="D187" s="756" t="s">
        <v>5145</v>
      </c>
      <c r="E187" s="756" t="s">
        <v>1426</v>
      </c>
    </row>
    <row r="188" spans="1:5">
      <c r="A188" s="756" t="s">
        <v>1677</v>
      </c>
      <c r="B188" s="756" t="s">
        <v>5404</v>
      </c>
      <c r="D188" s="756" t="s">
        <v>5146</v>
      </c>
      <c r="E188" s="756" t="s">
        <v>1427</v>
      </c>
    </row>
    <row r="189" spans="1:5">
      <c r="A189" s="756" t="s">
        <v>1298</v>
      </c>
      <c r="B189" s="756" t="s">
        <v>5015</v>
      </c>
      <c r="D189" s="756" t="s">
        <v>5147</v>
      </c>
      <c r="E189" s="756" t="s">
        <v>1428</v>
      </c>
    </row>
    <row r="190" spans="1:5">
      <c r="A190" s="756" t="s">
        <v>1428</v>
      </c>
      <c r="B190" s="756" t="s">
        <v>5147</v>
      </c>
      <c r="D190" s="756" t="s">
        <v>5148</v>
      </c>
      <c r="E190" s="756" t="s">
        <v>1429</v>
      </c>
    </row>
    <row r="191" spans="1:5">
      <c r="A191" s="756" t="s">
        <v>1526</v>
      </c>
      <c r="B191" s="756" t="s">
        <v>5248</v>
      </c>
      <c r="D191" s="756" t="s">
        <v>5149</v>
      </c>
      <c r="E191" s="756" t="s">
        <v>1430</v>
      </c>
    </row>
    <row r="192" spans="1:5">
      <c r="A192" s="756" t="s">
        <v>1567</v>
      </c>
      <c r="B192" s="756" t="s">
        <v>5289</v>
      </c>
      <c r="D192" s="756" t="s">
        <v>5150</v>
      </c>
      <c r="E192" s="756" t="s">
        <v>1431</v>
      </c>
    </row>
    <row r="193" spans="1:5">
      <c r="A193" s="756" t="s">
        <v>1615</v>
      </c>
      <c r="B193" s="756" t="s">
        <v>5337</v>
      </c>
      <c r="D193" s="756" t="s">
        <v>5151</v>
      </c>
      <c r="E193" s="756" t="s">
        <v>1432</v>
      </c>
    </row>
    <row r="194" spans="1:5">
      <c r="A194" s="756" t="s">
        <v>1681</v>
      </c>
      <c r="B194" s="756" t="s">
        <v>5408</v>
      </c>
      <c r="D194" s="756" t="s">
        <v>5152</v>
      </c>
      <c r="E194" s="756" t="s">
        <v>1433</v>
      </c>
    </row>
    <row r="195" spans="1:5">
      <c r="A195" s="756" t="s">
        <v>1305</v>
      </c>
      <c r="B195" s="756" t="s">
        <v>5022</v>
      </c>
      <c r="D195" s="756" t="s">
        <v>5153</v>
      </c>
      <c r="E195" s="756" t="s">
        <v>1434</v>
      </c>
    </row>
    <row r="196" spans="1:5">
      <c r="A196" s="756" t="s">
        <v>1433</v>
      </c>
      <c r="B196" s="756" t="s">
        <v>5152</v>
      </c>
      <c r="D196" s="756" t="s">
        <v>5154</v>
      </c>
      <c r="E196" s="756" t="s">
        <v>1435</v>
      </c>
    </row>
    <row r="197" spans="1:5">
      <c r="A197" s="756" t="s">
        <v>1622</v>
      </c>
      <c r="B197" s="756" t="s">
        <v>5346</v>
      </c>
      <c r="D197" s="756" t="s">
        <v>5155</v>
      </c>
      <c r="E197" s="756" t="s">
        <v>1436</v>
      </c>
    </row>
    <row r="198" spans="1:5">
      <c r="A198" s="756" t="s">
        <v>1311</v>
      </c>
      <c r="B198" s="756" t="s">
        <v>5028</v>
      </c>
      <c r="D198" s="756" t="s">
        <v>5156</v>
      </c>
      <c r="E198" s="756" t="s">
        <v>1437</v>
      </c>
    </row>
    <row r="199" spans="1:5">
      <c r="A199" s="756" t="s">
        <v>1438</v>
      </c>
      <c r="B199" s="756" t="s">
        <v>5157</v>
      </c>
      <c r="D199" s="756" t="s">
        <v>5157</v>
      </c>
      <c r="E199" s="756" t="s">
        <v>1438</v>
      </c>
    </row>
    <row r="200" spans="1:5">
      <c r="A200" s="756" t="s">
        <v>1572</v>
      </c>
      <c r="B200" s="756" t="s">
        <v>5294</v>
      </c>
      <c r="D200" s="756" t="s">
        <v>5158</v>
      </c>
      <c r="E200" s="756" t="s">
        <v>1439</v>
      </c>
    </row>
    <row r="201" spans="1:5">
      <c r="A201" s="756" t="s">
        <v>1628</v>
      </c>
      <c r="B201" s="756" t="s">
        <v>5352</v>
      </c>
      <c r="D201" s="756" t="s">
        <v>5159</v>
      </c>
      <c r="E201" s="756" t="s">
        <v>1440</v>
      </c>
    </row>
    <row r="202" spans="1:5">
      <c r="A202" s="756" t="s">
        <v>1687</v>
      </c>
      <c r="B202" s="756" t="s">
        <v>5415</v>
      </c>
      <c r="D202" s="756" t="s">
        <v>5160</v>
      </c>
      <c r="E202" s="756" t="s">
        <v>1441</v>
      </c>
    </row>
    <row r="203" spans="1:5">
      <c r="A203" s="756" t="s">
        <v>1316</v>
      </c>
      <c r="B203" s="756" t="s">
        <v>5033</v>
      </c>
      <c r="D203" s="756" t="s">
        <v>5161</v>
      </c>
      <c r="E203" s="756" t="s">
        <v>1442</v>
      </c>
    </row>
    <row r="204" spans="1:5">
      <c r="A204" s="756" t="s">
        <v>1451</v>
      </c>
      <c r="B204" s="756" t="s">
        <v>5170</v>
      </c>
      <c r="D204" s="756" t="s">
        <v>5162</v>
      </c>
      <c r="E204" s="756" t="s">
        <v>1443</v>
      </c>
    </row>
    <row r="205" spans="1:5">
      <c r="A205" s="756" t="s">
        <v>1632</v>
      </c>
      <c r="B205" s="756" t="s">
        <v>5356</v>
      </c>
      <c r="D205" s="756" t="s">
        <v>5163</v>
      </c>
      <c r="E205" s="756" t="s">
        <v>1444</v>
      </c>
    </row>
    <row r="206" spans="1:5">
      <c r="A206" s="756" t="s">
        <v>1321</v>
      </c>
      <c r="B206" s="756" t="s">
        <v>5038</v>
      </c>
      <c r="D206" s="756" t="s">
        <v>5164</v>
      </c>
      <c r="E206" s="756" t="s">
        <v>1445</v>
      </c>
    </row>
    <row r="207" spans="1:5">
      <c r="A207" s="756" t="s">
        <v>1458</v>
      </c>
      <c r="B207" s="756" t="s">
        <v>5177</v>
      </c>
      <c r="D207" s="756" t="s">
        <v>5165</v>
      </c>
      <c r="E207" s="756" t="s">
        <v>1446</v>
      </c>
    </row>
    <row r="208" spans="1:5">
      <c r="A208" s="756" t="s">
        <v>1247</v>
      </c>
      <c r="B208" s="756" t="s">
        <v>4963</v>
      </c>
      <c r="D208" s="756" t="s">
        <v>5166</v>
      </c>
      <c r="E208" s="756" t="s">
        <v>1447</v>
      </c>
    </row>
    <row r="209" spans="1:5">
      <c r="A209" s="756" t="s">
        <v>1368</v>
      </c>
      <c r="B209" s="756" t="s">
        <v>5086</v>
      </c>
      <c r="D209" s="756" t="s">
        <v>5167</v>
      </c>
      <c r="E209" s="756" t="s">
        <v>1448</v>
      </c>
    </row>
    <row r="210" spans="1:5">
      <c r="A210" s="756" t="s">
        <v>1480</v>
      </c>
      <c r="B210" s="756" t="s">
        <v>5202</v>
      </c>
      <c r="D210" s="756" t="s">
        <v>5168</v>
      </c>
      <c r="E210" s="756" t="s">
        <v>1449</v>
      </c>
    </row>
    <row r="211" spans="1:5">
      <c r="A211" s="756" t="s">
        <v>1531</v>
      </c>
      <c r="B211" s="756" t="s">
        <v>5253</v>
      </c>
      <c r="D211" s="756" t="s">
        <v>5169</v>
      </c>
      <c r="E211" s="756" t="s">
        <v>1450</v>
      </c>
    </row>
    <row r="212" spans="1:5">
      <c r="A212" s="756" t="s">
        <v>1578</v>
      </c>
      <c r="B212" s="756" t="s">
        <v>5300</v>
      </c>
      <c r="D212" s="756" t="s">
        <v>5170</v>
      </c>
      <c r="E212" s="756" t="s">
        <v>1451</v>
      </c>
    </row>
    <row r="213" spans="1:5">
      <c r="A213" s="756" t="s">
        <v>1637</v>
      </c>
      <c r="B213" s="756" t="s">
        <v>5362</v>
      </c>
      <c r="D213" s="756" t="s">
        <v>5171</v>
      </c>
      <c r="E213" s="756" t="s">
        <v>1452</v>
      </c>
    </row>
    <row r="214" spans="1:5">
      <c r="A214" s="756" t="s">
        <v>1694</v>
      </c>
      <c r="B214" s="756" t="s">
        <v>5422</v>
      </c>
      <c r="D214" s="756" t="s">
        <v>5172</v>
      </c>
      <c r="E214" s="756" t="s">
        <v>1453</v>
      </c>
    </row>
    <row r="215" spans="1:5">
      <c r="A215" s="756" t="s">
        <v>1382</v>
      </c>
      <c r="B215" s="756" t="s">
        <v>5100</v>
      </c>
      <c r="D215" s="756" t="s">
        <v>5173</v>
      </c>
      <c r="E215" s="756" t="s">
        <v>1454</v>
      </c>
    </row>
    <row r="216" spans="1:5">
      <c r="A216" s="756" t="s">
        <v>1491</v>
      </c>
      <c r="B216" s="756" t="s">
        <v>5213</v>
      </c>
      <c r="D216" s="756" t="s">
        <v>5174</v>
      </c>
      <c r="E216" s="756" t="s">
        <v>1455</v>
      </c>
    </row>
    <row r="217" spans="1:5">
      <c r="A217" s="756" t="s">
        <v>1536</v>
      </c>
      <c r="B217" s="756" t="s">
        <v>5258</v>
      </c>
      <c r="D217" s="756" t="s">
        <v>5175</v>
      </c>
      <c r="E217" s="756" t="s">
        <v>1456</v>
      </c>
    </row>
    <row r="218" spans="1:5">
      <c r="A218" s="756" t="s">
        <v>1583</v>
      </c>
      <c r="B218" s="756" t="s">
        <v>5305</v>
      </c>
      <c r="D218" s="756" t="s">
        <v>5176</v>
      </c>
      <c r="E218" s="756" t="s">
        <v>1457</v>
      </c>
    </row>
    <row r="219" spans="1:5">
      <c r="A219" s="756" t="s">
        <v>1652</v>
      </c>
      <c r="B219" s="756" t="s">
        <v>5378</v>
      </c>
      <c r="D219" s="756" t="s">
        <v>5177</v>
      </c>
      <c r="E219" s="756" t="s">
        <v>1458</v>
      </c>
    </row>
    <row r="220" spans="1:5">
      <c r="A220" s="756" t="s">
        <v>1698</v>
      </c>
      <c r="B220" s="756" t="s">
        <v>5426</v>
      </c>
      <c r="D220" s="756" t="s">
        <v>5178</v>
      </c>
      <c r="E220" s="756" t="s">
        <v>1459</v>
      </c>
    </row>
    <row r="221" spans="1:5">
      <c r="A221" s="756" t="s">
        <v>1261</v>
      </c>
      <c r="B221" s="756" t="s">
        <v>4977</v>
      </c>
      <c r="D221" s="756" t="s">
        <v>5179</v>
      </c>
      <c r="E221" s="756" t="s">
        <v>1460</v>
      </c>
    </row>
    <row r="222" spans="1:5">
      <c r="A222" s="756" t="s">
        <v>1395</v>
      </c>
      <c r="B222" s="756" t="s">
        <v>5114</v>
      </c>
      <c r="D222" s="756" t="s">
        <v>5180</v>
      </c>
      <c r="E222" s="756" t="s">
        <v>1461</v>
      </c>
    </row>
    <row r="223" spans="1:5">
      <c r="A223" s="756" t="s">
        <v>1496</v>
      </c>
      <c r="B223" s="756" t="s">
        <v>5218</v>
      </c>
      <c r="D223" s="756" t="s">
        <v>5181</v>
      </c>
      <c r="E223" s="756" t="s">
        <v>1462</v>
      </c>
    </row>
    <row r="224" spans="1:5">
      <c r="A224" s="756" t="s">
        <v>1542</v>
      </c>
      <c r="B224" s="756" t="s">
        <v>5264</v>
      </c>
      <c r="D224" s="756" t="s">
        <v>5182</v>
      </c>
      <c r="E224" s="756" t="s">
        <v>1463</v>
      </c>
    </row>
    <row r="225" spans="1:5">
      <c r="A225" s="756" t="s">
        <v>1590</v>
      </c>
      <c r="B225" s="756" t="s">
        <v>5312</v>
      </c>
      <c r="D225" s="756" t="s">
        <v>5183</v>
      </c>
      <c r="E225" s="756" t="s">
        <v>1464</v>
      </c>
    </row>
    <row r="226" spans="1:5">
      <c r="A226" s="756" t="s">
        <v>1657</v>
      </c>
      <c r="B226" s="756" t="s">
        <v>5384</v>
      </c>
      <c r="D226" s="756" t="s">
        <v>5184</v>
      </c>
      <c r="E226" s="756" t="s">
        <v>1465</v>
      </c>
    </row>
    <row r="227" spans="1:5">
      <c r="A227" s="756" t="s">
        <v>1705</v>
      </c>
      <c r="B227" s="756" t="s">
        <v>5433</v>
      </c>
      <c r="D227" s="756" t="s">
        <v>5185</v>
      </c>
      <c r="E227" s="756" t="s">
        <v>1466</v>
      </c>
    </row>
    <row r="228" spans="1:5">
      <c r="A228" s="756" t="s">
        <v>1274</v>
      </c>
      <c r="B228" s="756" t="s">
        <v>4990</v>
      </c>
      <c r="D228" s="756" t="s">
        <v>5186</v>
      </c>
      <c r="E228" s="756" t="s">
        <v>1467</v>
      </c>
    </row>
    <row r="229" spans="1:5">
      <c r="A229" s="756" t="s">
        <v>1402</v>
      </c>
      <c r="B229" s="756" t="s">
        <v>5121</v>
      </c>
      <c r="D229" s="756" t="s">
        <v>5187</v>
      </c>
      <c r="E229" s="756" t="s">
        <v>1468</v>
      </c>
    </row>
    <row r="230" spans="1:5">
      <c r="A230" s="756" t="s">
        <v>1550</v>
      </c>
      <c r="B230" s="756" t="s">
        <v>5272</v>
      </c>
      <c r="D230" s="756" t="s">
        <v>5188</v>
      </c>
      <c r="E230" s="756" t="s">
        <v>1469</v>
      </c>
    </row>
    <row r="231" spans="1:5">
      <c r="A231" s="756" t="s">
        <v>1599</v>
      </c>
      <c r="B231" s="756" t="s">
        <v>5321</v>
      </c>
      <c r="D231" s="756" t="s">
        <v>5189</v>
      </c>
      <c r="E231" s="756" t="s">
        <v>1470</v>
      </c>
    </row>
    <row r="232" spans="1:5">
      <c r="A232" s="756" t="s">
        <v>1711</v>
      </c>
      <c r="B232" s="756" t="s">
        <v>5440</v>
      </c>
      <c r="D232" s="756" t="s">
        <v>5190</v>
      </c>
      <c r="E232" s="756" t="s">
        <v>1471</v>
      </c>
    </row>
    <row r="233" spans="1:5">
      <c r="A233" s="756" t="s">
        <v>1406</v>
      </c>
      <c r="B233" s="756" t="s">
        <v>5125</v>
      </c>
      <c r="D233" s="756" t="s">
        <v>5191</v>
      </c>
      <c r="E233" s="756" t="s">
        <v>1472</v>
      </c>
    </row>
    <row r="234" spans="1:5">
      <c r="A234" s="756" t="s">
        <v>1507</v>
      </c>
      <c r="B234" s="756" t="s">
        <v>5229</v>
      </c>
      <c r="D234" s="756" t="s">
        <v>5192</v>
      </c>
      <c r="E234" s="756" t="s">
        <v>1473</v>
      </c>
    </row>
    <row r="235" spans="1:5">
      <c r="A235" s="756" t="s">
        <v>1556</v>
      </c>
      <c r="B235" s="756" t="s">
        <v>5278</v>
      </c>
      <c r="D235" s="756" t="s">
        <v>5193</v>
      </c>
      <c r="E235" s="756" t="s">
        <v>1474</v>
      </c>
    </row>
    <row r="236" spans="1:5">
      <c r="A236" s="756" t="s">
        <v>1603</v>
      </c>
      <c r="B236" s="756" t="s">
        <v>5325</v>
      </c>
      <c r="D236" s="756" t="s">
        <v>5194</v>
      </c>
      <c r="E236" s="756" t="s">
        <v>1475</v>
      </c>
    </row>
    <row r="237" spans="1:5">
      <c r="A237" s="756" t="s">
        <v>1669</v>
      </c>
      <c r="B237" s="756" t="s">
        <v>5396</v>
      </c>
      <c r="D237" s="756" t="s">
        <v>5195</v>
      </c>
      <c r="E237" s="756" t="s">
        <v>1476</v>
      </c>
    </row>
    <row r="238" spans="1:5">
      <c r="A238" s="756" t="s">
        <v>1286</v>
      </c>
      <c r="B238" s="756" t="s">
        <v>5002</v>
      </c>
      <c r="D238" s="756" t="s">
        <v>5196</v>
      </c>
      <c r="E238" s="756" t="s">
        <v>4045</v>
      </c>
    </row>
    <row r="239" spans="1:5">
      <c r="A239" s="756" t="s">
        <v>1414</v>
      </c>
      <c r="B239" s="756" t="s">
        <v>5133</v>
      </c>
      <c r="D239" s="756" t="s">
        <v>5197</v>
      </c>
      <c r="E239" s="756" t="s">
        <v>4839</v>
      </c>
    </row>
    <row r="240" spans="1:5">
      <c r="A240" s="756" t="s">
        <v>1561</v>
      </c>
      <c r="B240" s="756" t="s">
        <v>5283</v>
      </c>
      <c r="D240" s="756" t="s">
        <v>5198</v>
      </c>
      <c r="E240" s="756" t="s">
        <v>4954</v>
      </c>
    </row>
    <row r="241" spans="1:5">
      <c r="A241" s="756" t="s">
        <v>1607</v>
      </c>
      <c r="B241" s="756" t="s">
        <v>5329</v>
      </c>
      <c r="D241" s="756" t="s">
        <v>5199</v>
      </c>
      <c r="E241" s="756" t="s">
        <v>1477</v>
      </c>
    </row>
    <row r="242" spans="1:5">
      <c r="A242" s="756" t="s">
        <v>1718</v>
      </c>
      <c r="B242" s="756" t="s">
        <v>5447</v>
      </c>
      <c r="D242" s="756" t="s">
        <v>5200</v>
      </c>
      <c r="E242" s="756" t="s">
        <v>1478</v>
      </c>
    </row>
    <row r="243" spans="1:5">
      <c r="A243" s="756" t="s">
        <v>1293</v>
      </c>
      <c r="B243" s="756" t="s">
        <v>5009</v>
      </c>
      <c r="D243" s="756" t="s">
        <v>5201</v>
      </c>
      <c r="E243" s="756" t="s">
        <v>1479</v>
      </c>
    </row>
    <row r="244" spans="1:5">
      <c r="A244" s="756" t="s">
        <v>1422</v>
      </c>
      <c r="B244" s="756" t="s">
        <v>5141</v>
      </c>
      <c r="D244" s="756" t="s">
        <v>5202</v>
      </c>
      <c r="E244" s="756" t="s">
        <v>1480</v>
      </c>
    </row>
    <row r="245" spans="1:5">
      <c r="A245" s="756" t="s">
        <v>1522</v>
      </c>
      <c r="B245" s="756" t="s">
        <v>5244</v>
      </c>
      <c r="D245" s="756" t="s">
        <v>5203</v>
      </c>
      <c r="E245" s="756" t="s">
        <v>1481</v>
      </c>
    </row>
    <row r="246" spans="1:5">
      <c r="A246" s="756" t="s">
        <v>1612</v>
      </c>
      <c r="B246" s="756" t="s">
        <v>5334</v>
      </c>
      <c r="D246" s="756" t="s">
        <v>5204</v>
      </c>
      <c r="E246" s="756" t="s">
        <v>1482</v>
      </c>
    </row>
    <row r="247" spans="1:5">
      <c r="A247" s="756" t="s">
        <v>1678</v>
      </c>
      <c r="B247" s="756" t="s">
        <v>5405</v>
      </c>
      <c r="D247" s="756" t="s">
        <v>5205</v>
      </c>
      <c r="E247" s="756" t="s">
        <v>1483</v>
      </c>
    </row>
    <row r="248" spans="1:5">
      <c r="A248" s="756" t="s">
        <v>1299</v>
      </c>
      <c r="B248" s="756" t="s">
        <v>5016</v>
      </c>
      <c r="D248" s="756" t="s">
        <v>5206</v>
      </c>
      <c r="E248" s="756" t="s">
        <v>1484</v>
      </c>
    </row>
    <row r="249" spans="1:5">
      <c r="A249" s="756" t="s">
        <v>1429</v>
      </c>
      <c r="B249" s="756" t="s">
        <v>5148</v>
      </c>
      <c r="D249" s="756" t="s">
        <v>5207</v>
      </c>
      <c r="E249" s="756" t="s">
        <v>1485</v>
      </c>
    </row>
    <row r="250" spans="1:5">
      <c r="A250" s="756" t="s">
        <v>1527</v>
      </c>
      <c r="B250" s="756" t="s">
        <v>5249</v>
      </c>
      <c r="D250" s="756" t="s">
        <v>5208</v>
      </c>
      <c r="E250" s="756" t="s">
        <v>1486</v>
      </c>
    </row>
    <row r="251" spans="1:5">
      <c r="A251" s="756" t="s">
        <v>1616</v>
      </c>
      <c r="B251" s="756" t="s">
        <v>5338</v>
      </c>
      <c r="D251" s="756" t="s">
        <v>5209</v>
      </c>
      <c r="E251" s="756" t="s">
        <v>1487</v>
      </c>
    </row>
    <row r="252" spans="1:5">
      <c r="A252" s="756" t="s">
        <v>1682</v>
      </c>
      <c r="B252" s="756" t="s">
        <v>5409</v>
      </c>
      <c r="D252" s="756" t="s">
        <v>5210</v>
      </c>
      <c r="E252" s="756" t="s">
        <v>1488</v>
      </c>
    </row>
    <row r="253" spans="1:5">
      <c r="A253" s="756" t="s">
        <v>1306</v>
      </c>
      <c r="B253" s="756" t="s">
        <v>5023</v>
      </c>
      <c r="D253" s="756" t="s">
        <v>5211</v>
      </c>
      <c r="E253" s="756" t="s">
        <v>1489</v>
      </c>
    </row>
    <row r="254" spans="1:5">
      <c r="A254" s="756" t="s">
        <v>1434</v>
      </c>
      <c r="B254" s="756" t="s">
        <v>5153</v>
      </c>
      <c r="D254" s="756" t="s">
        <v>5212</v>
      </c>
      <c r="E254" s="756" t="s">
        <v>1490</v>
      </c>
    </row>
    <row r="255" spans="1:5">
      <c r="A255" s="756" t="s">
        <v>1623</v>
      </c>
      <c r="B255" s="756" t="s">
        <v>5347</v>
      </c>
      <c r="D255" s="756" t="s">
        <v>5213</v>
      </c>
      <c r="E255" s="756" t="s">
        <v>1491</v>
      </c>
    </row>
    <row r="256" spans="1:5">
      <c r="A256" s="756" t="s">
        <v>1312</v>
      </c>
      <c r="B256" s="756" t="s">
        <v>5029</v>
      </c>
      <c r="D256" s="756" t="s">
        <v>5214</v>
      </c>
      <c r="E256" s="756" t="s">
        <v>1492</v>
      </c>
    </row>
    <row r="257" spans="1:5">
      <c r="A257" s="756" t="s">
        <v>1439</v>
      </c>
      <c r="B257" s="756" t="s">
        <v>5158</v>
      </c>
      <c r="D257" s="756" t="s">
        <v>5215</v>
      </c>
      <c r="E257" s="756" t="s">
        <v>1493</v>
      </c>
    </row>
    <row r="258" spans="1:5">
      <c r="A258" s="756" t="s">
        <v>1573</v>
      </c>
      <c r="B258" s="756" t="s">
        <v>5295</v>
      </c>
      <c r="D258" s="756" t="s">
        <v>5216</v>
      </c>
      <c r="E258" s="756" t="s">
        <v>1494</v>
      </c>
    </row>
    <row r="259" spans="1:5">
      <c r="A259" s="756" t="s">
        <v>1629</v>
      </c>
      <c r="B259" s="756" t="s">
        <v>5353</v>
      </c>
      <c r="D259" s="756" t="s">
        <v>5217</v>
      </c>
      <c r="E259" s="756" t="s">
        <v>1495</v>
      </c>
    </row>
    <row r="260" spans="1:5">
      <c r="A260" s="756" t="s">
        <v>1688</v>
      </c>
      <c r="B260" s="756" t="s">
        <v>5416</v>
      </c>
      <c r="D260" s="756" t="s">
        <v>5218</v>
      </c>
      <c r="E260" s="756" t="s">
        <v>1496</v>
      </c>
    </row>
    <row r="261" spans="1:5">
      <c r="A261" s="756" t="s">
        <v>1317</v>
      </c>
      <c r="B261" s="756" t="s">
        <v>5034</v>
      </c>
      <c r="D261" s="756" t="s">
        <v>5219</v>
      </c>
      <c r="E261" s="756" t="s">
        <v>1497</v>
      </c>
    </row>
    <row r="262" spans="1:5">
      <c r="A262" s="756" t="s">
        <v>1452</v>
      </c>
      <c r="B262" s="756" t="s">
        <v>5171</v>
      </c>
      <c r="D262" s="756" t="s">
        <v>5220</v>
      </c>
      <c r="E262" s="756" t="s">
        <v>1498</v>
      </c>
    </row>
    <row r="263" spans="1:5">
      <c r="A263" s="756" t="s">
        <v>1633</v>
      </c>
      <c r="B263" s="756" t="s">
        <v>5357</v>
      </c>
      <c r="D263" s="756" t="s">
        <v>5221</v>
      </c>
      <c r="E263" s="756" t="s">
        <v>1499</v>
      </c>
    </row>
    <row r="264" spans="1:5">
      <c r="A264" s="756" t="s">
        <v>1322</v>
      </c>
      <c r="B264" s="756" t="s">
        <v>5039</v>
      </c>
      <c r="D264" s="756" t="s">
        <v>5222</v>
      </c>
      <c r="E264" s="756" t="s">
        <v>1500</v>
      </c>
    </row>
    <row r="265" spans="1:5">
      <c r="A265" s="756" t="s">
        <v>1459</v>
      </c>
      <c r="B265" s="756" t="s">
        <v>5178</v>
      </c>
      <c r="D265" s="756" t="s">
        <v>5223</v>
      </c>
      <c r="E265" s="756" t="s">
        <v>1501</v>
      </c>
    </row>
    <row r="266" spans="1:5">
      <c r="A266" s="756" t="s">
        <v>1248</v>
      </c>
      <c r="B266" s="756" t="s">
        <v>4964</v>
      </c>
      <c r="D266" s="756" t="s">
        <v>5224</v>
      </c>
      <c r="E266" s="756" t="s">
        <v>1502</v>
      </c>
    </row>
    <row r="267" spans="1:5">
      <c r="A267" s="756" t="s">
        <v>1369</v>
      </c>
      <c r="B267" s="756" t="s">
        <v>5087</v>
      </c>
      <c r="D267" s="756" t="s">
        <v>5225</v>
      </c>
      <c r="E267" s="756" t="s">
        <v>1503</v>
      </c>
    </row>
    <row r="268" spans="1:5">
      <c r="A268" s="756" t="s">
        <v>1481</v>
      </c>
      <c r="B268" s="756" t="s">
        <v>5203</v>
      </c>
      <c r="D268" s="756" t="s">
        <v>5226</v>
      </c>
      <c r="E268" s="756" t="s">
        <v>1504</v>
      </c>
    </row>
    <row r="269" spans="1:5">
      <c r="A269" s="756" t="s">
        <v>1532</v>
      </c>
      <c r="B269" s="756" t="s">
        <v>5254</v>
      </c>
      <c r="D269" s="756" t="s">
        <v>5227</v>
      </c>
      <c r="E269" s="756" t="s">
        <v>1505</v>
      </c>
    </row>
    <row r="270" spans="1:5">
      <c r="A270" s="756" t="s">
        <v>1579</v>
      </c>
      <c r="B270" s="756" t="s">
        <v>5301</v>
      </c>
      <c r="D270" s="756" t="s">
        <v>5228</v>
      </c>
      <c r="E270" s="756" t="s">
        <v>1506</v>
      </c>
    </row>
    <row r="271" spans="1:5">
      <c r="A271" s="756" t="s">
        <v>1638</v>
      </c>
      <c r="B271" s="756" t="s">
        <v>5363</v>
      </c>
      <c r="D271" s="756" t="s">
        <v>5229</v>
      </c>
      <c r="E271" s="756" t="s">
        <v>1507</v>
      </c>
    </row>
    <row r="272" spans="1:5">
      <c r="A272" s="756" t="s">
        <v>1383</v>
      </c>
      <c r="B272" s="756" t="s">
        <v>5101</v>
      </c>
      <c r="D272" s="756" t="s">
        <v>5230</v>
      </c>
      <c r="E272" s="756" t="s">
        <v>1508</v>
      </c>
    </row>
    <row r="273" spans="1:5">
      <c r="A273" s="756" t="s">
        <v>1492</v>
      </c>
      <c r="B273" s="756" t="s">
        <v>5214</v>
      </c>
      <c r="D273" s="756" t="s">
        <v>5231</v>
      </c>
      <c r="E273" s="756" t="s">
        <v>1509</v>
      </c>
    </row>
    <row r="274" spans="1:5">
      <c r="A274" s="756" t="s">
        <v>1537</v>
      </c>
      <c r="B274" s="756" t="s">
        <v>5259</v>
      </c>
      <c r="D274" s="756" t="s">
        <v>5232</v>
      </c>
      <c r="E274" s="756" t="s">
        <v>1510</v>
      </c>
    </row>
    <row r="275" spans="1:5">
      <c r="A275" s="756" t="s">
        <v>1584</v>
      </c>
      <c r="B275" s="756" t="s">
        <v>5306</v>
      </c>
      <c r="D275" s="756" t="s">
        <v>5233</v>
      </c>
      <c r="E275" s="756" t="s">
        <v>1511</v>
      </c>
    </row>
    <row r="276" spans="1:5">
      <c r="A276" s="756" t="s">
        <v>1653</v>
      </c>
      <c r="B276" s="756" t="s">
        <v>5379</v>
      </c>
      <c r="D276" s="756" t="s">
        <v>5234</v>
      </c>
      <c r="E276" s="756" t="s">
        <v>1512</v>
      </c>
    </row>
    <row r="277" spans="1:5">
      <c r="A277" s="756" t="s">
        <v>1699</v>
      </c>
      <c r="B277" s="756" t="s">
        <v>5427</v>
      </c>
      <c r="D277" s="756" t="s">
        <v>5235</v>
      </c>
      <c r="E277" s="756" t="s">
        <v>1513</v>
      </c>
    </row>
    <row r="278" spans="1:5">
      <c r="A278" s="756" t="s">
        <v>1262</v>
      </c>
      <c r="B278" s="756" t="s">
        <v>4978</v>
      </c>
      <c r="D278" s="756" t="s">
        <v>5236</v>
      </c>
      <c r="E278" s="756" t="s">
        <v>1514</v>
      </c>
    </row>
    <row r="279" spans="1:5">
      <c r="A279" s="756" t="s">
        <v>1396</v>
      </c>
      <c r="B279" s="756" t="s">
        <v>5115</v>
      </c>
      <c r="D279" s="756" t="s">
        <v>5237</v>
      </c>
      <c r="E279" s="756" t="s">
        <v>1515</v>
      </c>
    </row>
    <row r="280" spans="1:5">
      <c r="A280" s="756" t="s">
        <v>1497</v>
      </c>
      <c r="B280" s="756" t="s">
        <v>5219</v>
      </c>
      <c r="D280" s="756" t="s">
        <v>5238</v>
      </c>
      <c r="E280" s="756" t="s">
        <v>1516</v>
      </c>
    </row>
    <row r="281" spans="1:5">
      <c r="A281" s="756" t="s">
        <v>1543</v>
      </c>
      <c r="B281" s="756" t="s">
        <v>5265</v>
      </c>
      <c r="D281" s="756" t="s">
        <v>5239</v>
      </c>
      <c r="E281" s="756" t="s">
        <v>1517</v>
      </c>
    </row>
    <row r="282" spans="1:5">
      <c r="A282" s="756" t="s">
        <v>1591</v>
      </c>
      <c r="B282" s="756" t="s">
        <v>5313</v>
      </c>
      <c r="D282" s="756" t="s">
        <v>5240</v>
      </c>
      <c r="E282" s="756" t="s">
        <v>1518</v>
      </c>
    </row>
    <row r="283" spans="1:5">
      <c r="A283" s="756" t="s">
        <v>1658</v>
      </c>
      <c r="B283" s="756" t="s">
        <v>5385</v>
      </c>
      <c r="D283" s="756" t="s">
        <v>5241</v>
      </c>
      <c r="E283" s="756" t="s">
        <v>1519</v>
      </c>
    </row>
    <row r="284" spans="1:5">
      <c r="A284" s="756" t="s">
        <v>1706</v>
      </c>
      <c r="B284" s="756" t="s">
        <v>5434</v>
      </c>
      <c r="D284" s="756" t="s">
        <v>5242</v>
      </c>
      <c r="E284" s="756" t="s">
        <v>1520</v>
      </c>
    </row>
    <row r="285" spans="1:5">
      <c r="A285" s="756" t="s">
        <v>1275</v>
      </c>
      <c r="B285" s="756" t="s">
        <v>4991</v>
      </c>
      <c r="D285" s="756" t="s">
        <v>5243</v>
      </c>
      <c r="E285" s="756" t="s">
        <v>1521</v>
      </c>
    </row>
    <row r="286" spans="1:5">
      <c r="A286" s="756" t="s">
        <v>1551</v>
      </c>
      <c r="B286" s="756" t="s">
        <v>5273</v>
      </c>
      <c r="D286" s="756" t="s">
        <v>5244</v>
      </c>
      <c r="E286" s="756" t="s">
        <v>1522</v>
      </c>
    </row>
    <row r="287" spans="1:5">
      <c r="A287" s="756" t="s">
        <v>1407</v>
      </c>
      <c r="B287" s="756" t="s">
        <v>5126</v>
      </c>
      <c r="D287" s="756" t="s">
        <v>5245</v>
      </c>
      <c r="E287" s="756" t="s">
        <v>1523</v>
      </c>
    </row>
    <row r="288" spans="1:5">
      <c r="A288" s="756" t="s">
        <v>1508</v>
      </c>
      <c r="B288" s="756" t="s">
        <v>5230</v>
      </c>
      <c r="D288" s="756" t="s">
        <v>5246</v>
      </c>
      <c r="E288" s="756" t="s">
        <v>1524</v>
      </c>
    </row>
    <row r="289" spans="1:5">
      <c r="A289" s="756" t="s">
        <v>1557</v>
      </c>
      <c r="B289" s="756" t="s">
        <v>5279</v>
      </c>
      <c r="D289" s="756" t="s">
        <v>5247</v>
      </c>
      <c r="E289" s="756" t="s">
        <v>1525</v>
      </c>
    </row>
    <row r="290" spans="1:5">
      <c r="A290" s="756" t="s">
        <v>1670</v>
      </c>
      <c r="B290" s="756" t="s">
        <v>5397</v>
      </c>
      <c r="D290" s="756" t="s">
        <v>5248</v>
      </c>
      <c r="E290" s="756" t="s">
        <v>1526</v>
      </c>
    </row>
    <row r="291" spans="1:5">
      <c r="A291" s="756" t="s">
        <v>1287</v>
      </c>
      <c r="B291" s="756" t="s">
        <v>5003</v>
      </c>
      <c r="D291" s="756" t="s">
        <v>5249</v>
      </c>
      <c r="E291" s="756" t="s">
        <v>1527</v>
      </c>
    </row>
    <row r="292" spans="1:5">
      <c r="A292" s="756" t="s">
        <v>1415</v>
      </c>
      <c r="B292" s="756" t="s">
        <v>5134</v>
      </c>
      <c r="D292" s="756" t="s">
        <v>5250</v>
      </c>
      <c r="E292" s="756" t="s">
        <v>1528</v>
      </c>
    </row>
    <row r="293" spans="1:5">
      <c r="A293" s="756" t="s">
        <v>1608</v>
      </c>
      <c r="B293" s="756" t="s">
        <v>5330</v>
      </c>
      <c r="D293" s="756" t="s">
        <v>5251</v>
      </c>
      <c r="E293" s="756" t="s">
        <v>1529</v>
      </c>
    </row>
    <row r="294" spans="1:5">
      <c r="A294" s="756" t="s">
        <v>1719</v>
      </c>
      <c r="B294" s="756" t="s">
        <v>5448</v>
      </c>
      <c r="D294" s="756" t="s">
        <v>5252</v>
      </c>
      <c r="E294" s="756" t="s">
        <v>1530</v>
      </c>
    </row>
    <row r="295" spans="1:5">
      <c r="A295" s="756" t="s">
        <v>1294</v>
      </c>
      <c r="B295" s="756" t="s">
        <v>5010</v>
      </c>
      <c r="D295" s="756" t="s">
        <v>5253</v>
      </c>
      <c r="E295" s="756" t="s">
        <v>1531</v>
      </c>
    </row>
    <row r="296" spans="1:5">
      <c r="A296" s="756" t="s">
        <v>1423</v>
      </c>
      <c r="B296" s="756" t="s">
        <v>5142</v>
      </c>
      <c r="D296" s="756" t="s">
        <v>5254</v>
      </c>
      <c r="E296" s="756" t="s">
        <v>1532</v>
      </c>
    </row>
    <row r="297" spans="1:5">
      <c r="A297" s="756" t="s">
        <v>1523</v>
      </c>
      <c r="B297" s="756" t="s">
        <v>5245</v>
      </c>
      <c r="D297" s="756" t="s">
        <v>5255</v>
      </c>
      <c r="E297" s="756" t="s">
        <v>1533</v>
      </c>
    </row>
    <row r="298" spans="1:5">
      <c r="A298" s="756" t="s">
        <v>1300</v>
      </c>
      <c r="B298" s="756" t="s">
        <v>5017</v>
      </c>
      <c r="D298" s="756" t="s">
        <v>5256</v>
      </c>
      <c r="E298" s="756" t="s">
        <v>1534</v>
      </c>
    </row>
    <row r="299" spans="1:5">
      <c r="A299" s="756" t="s">
        <v>1430</v>
      </c>
      <c r="B299" s="756" t="s">
        <v>5149</v>
      </c>
      <c r="D299" s="756" t="s">
        <v>5257</v>
      </c>
      <c r="E299" s="756" t="s">
        <v>1535</v>
      </c>
    </row>
    <row r="300" spans="1:5">
      <c r="A300" s="756" t="s">
        <v>1617</v>
      </c>
      <c r="B300" s="756" t="s">
        <v>5339</v>
      </c>
      <c r="D300" s="756" t="s">
        <v>5258</v>
      </c>
      <c r="E300" s="756" t="s">
        <v>1536</v>
      </c>
    </row>
    <row r="301" spans="1:5">
      <c r="A301" s="756" t="s">
        <v>1683</v>
      </c>
      <c r="B301" s="756" t="s">
        <v>5410</v>
      </c>
      <c r="D301" s="756" t="s">
        <v>5259</v>
      </c>
      <c r="E301" s="756" t="s">
        <v>1537</v>
      </c>
    </row>
    <row r="302" spans="1:5">
      <c r="A302" s="756" t="s">
        <v>1307</v>
      </c>
      <c r="B302" s="756" t="s">
        <v>5024</v>
      </c>
      <c r="D302" s="756" t="s">
        <v>5260</v>
      </c>
      <c r="E302" s="756" t="s">
        <v>1538</v>
      </c>
    </row>
    <row r="303" spans="1:5">
      <c r="A303" s="756" t="s">
        <v>1435</v>
      </c>
      <c r="B303" s="756" t="s">
        <v>5154</v>
      </c>
      <c r="D303" s="756" t="s">
        <v>5261</v>
      </c>
      <c r="E303" s="756" t="s">
        <v>1539</v>
      </c>
    </row>
    <row r="304" spans="1:5">
      <c r="A304" s="756" t="s">
        <v>1624</v>
      </c>
      <c r="B304" s="756" t="s">
        <v>5348</v>
      </c>
      <c r="D304" s="756" t="s">
        <v>5262</v>
      </c>
      <c r="E304" s="756" t="s">
        <v>1540</v>
      </c>
    </row>
    <row r="305" spans="1:5">
      <c r="A305" s="756" t="s">
        <v>1313</v>
      </c>
      <c r="B305" s="756" t="s">
        <v>5030</v>
      </c>
      <c r="D305" s="756" t="s">
        <v>5263</v>
      </c>
      <c r="E305" s="756" t="s">
        <v>1541</v>
      </c>
    </row>
    <row r="306" spans="1:5">
      <c r="A306" s="756" t="s">
        <v>1440</v>
      </c>
      <c r="B306" s="756" t="s">
        <v>5159</v>
      </c>
      <c r="D306" s="756" t="s">
        <v>5264</v>
      </c>
      <c r="E306" s="756" t="s">
        <v>1542</v>
      </c>
    </row>
    <row r="307" spans="1:5">
      <c r="A307" s="756" t="s">
        <v>1574</v>
      </c>
      <c r="B307" s="756" t="s">
        <v>5296</v>
      </c>
      <c r="D307" s="756" t="s">
        <v>5265</v>
      </c>
      <c r="E307" s="756" t="s">
        <v>1543</v>
      </c>
    </row>
    <row r="308" spans="1:5">
      <c r="A308" s="756" t="s">
        <v>1318</v>
      </c>
      <c r="B308" s="756" t="s">
        <v>5035</v>
      </c>
      <c r="D308" s="756" t="s">
        <v>5266</v>
      </c>
      <c r="E308" s="756" t="s">
        <v>1544</v>
      </c>
    </row>
    <row r="309" spans="1:5">
      <c r="A309" s="756" t="s">
        <v>1453</v>
      </c>
      <c r="B309" s="756" t="s">
        <v>5172</v>
      </c>
      <c r="D309" s="756" t="s">
        <v>5267</v>
      </c>
      <c r="E309" s="756" t="s">
        <v>1545</v>
      </c>
    </row>
    <row r="310" spans="1:5">
      <c r="A310" s="756" t="s">
        <v>4386</v>
      </c>
      <c r="B310" s="756" t="s">
        <v>5358</v>
      </c>
      <c r="D310" s="756" t="s">
        <v>5268</v>
      </c>
      <c r="E310" s="756" t="s">
        <v>1546</v>
      </c>
    </row>
    <row r="311" spans="1:5">
      <c r="A311" s="756" t="s">
        <v>1323</v>
      </c>
      <c r="B311" s="756" t="s">
        <v>5040</v>
      </c>
      <c r="D311" s="756" t="s">
        <v>5269</v>
      </c>
      <c r="E311" s="756" t="s">
        <v>1547</v>
      </c>
    </row>
    <row r="312" spans="1:5">
      <c r="A312" s="756" t="s">
        <v>1460</v>
      </c>
      <c r="B312" s="756" t="s">
        <v>5179</v>
      </c>
      <c r="D312" s="756" t="s">
        <v>5270</v>
      </c>
      <c r="E312" s="756" t="s">
        <v>1548</v>
      </c>
    </row>
    <row r="313" spans="1:5">
      <c r="A313" s="756" t="s">
        <v>1249</v>
      </c>
      <c r="B313" s="756" t="s">
        <v>4965</v>
      </c>
      <c r="D313" s="756" t="s">
        <v>5271</v>
      </c>
      <c r="E313" s="756" t="s">
        <v>1549</v>
      </c>
    </row>
    <row r="314" spans="1:5">
      <c r="A314" s="756" t="s">
        <v>1370</v>
      </c>
      <c r="B314" s="756" t="s">
        <v>5088</v>
      </c>
      <c r="D314" s="756" t="s">
        <v>5272</v>
      </c>
      <c r="E314" s="756" t="s">
        <v>1550</v>
      </c>
    </row>
    <row r="315" spans="1:5">
      <c r="A315" s="756" t="s">
        <v>1482</v>
      </c>
      <c r="B315" s="756" t="s">
        <v>5204</v>
      </c>
      <c r="D315" s="756" t="s">
        <v>5273</v>
      </c>
      <c r="E315" s="756" t="s">
        <v>1551</v>
      </c>
    </row>
    <row r="316" spans="1:5">
      <c r="A316" s="756" t="s">
        <v>1639</v>
      </c>
      <c r="B316" s="756" t="s">
        <v>5364</v>
      </c>
      <c r="D316" s="756" t="s">
        <v>5274</v>
      </c>
      <c r="E316" s="756" t="s">
        <v>1552</v>
      </c>
    </row>
    <row r="317" spans="1:5">
      <c r="A317" s="756" t="s">
        <v>1384</v>
      </c>
      <c r="B317" s="756" t="s">
        <v>5102</v>
      </c>
      <c r="D317" s="756" t="s">
        <v>5275</v>
      </c>
      <c r="E317" s="756" t="s">
        <v>1553</v>
      </c>
    </row>
    <row r="318" spans="1:5">
      <c r="A318" s="756" t="s">
        <v>1538</v>
      </c>
      <c r="B318" s="756" t="s">
        <v>5260</v>
      </c>
      <c r="D318" s="756" t="s">
        <v>5276</v>
      </c>
      <c r="E318" s="756" t="s">
        <v>1554</v>
      </c>
    </row>
    <row r="319" spans="1:5">
      <c r="A319" s="756" t="s">
        <v>1585</v>
      </c>
      <c r="B319" s="756" t="s">
        <v>5307</v>
      </c>
      <c r="D319" s="756" t="s">
        <v>5277</v>
      </c>
      <c r="E319" s="756" t="s">
        <v>1555</v>
      </c>
    </row>
    <row r="320" spans="1:5">
      <c r="A320" s="756" t="s">
        <v>3783</v>
      </c>
      <c r="B320" s="756" t="s">
        <v>5380</v>
      </c>
      <c r="D320" s="756" t="s">
        <v>5278</v>
      </c>
      <c r="E320" s="756" t="s">
        <v>1556</v>
      </c>
    </row>
    <row r="321" spans="1:5">
      <c r="A321" s="756" t="s">
        <v>1700</v>
      </c>
      <c r="B321" s="756" t="s">
        <v>5428</v>
      </c>
      <c r="D321" s="756" t="s">
        <v>5279</v>
      </c>
      <c r="E321" s="756" t="s">
        <v>1557</v>
      </c>
    </row>
    <row r="322" spans="1:5">
      <c r="A322" s="756" t="s">
        <v>1263</v>
      </c>
      <c r="B322" s="756" t="s">
        <v>4979</v>
      </c>
      <c r="D322" s="756" t="s">
        <v>5280</v>
      </c>
      <c r="E322" s="756" t="s">
        <v>1558</v>
      </c>
    </row>
    <row r="323" spans="1:5">
      <c r="A323" s="756" t="s">
        <v>1498</v>
      </c>
      <c r="B323" s="756" t="s">
        <v>5220</v>
      </c>
      <c r="D323" s="756" t="s">
        <v>5281</v>
      </c>
      <c r="E323" s="756" t="s">
        <v>1559</v>
      </c>
    </row>
    <row r="324" spans="1:5">
      <c r="A324" s="756" t="s">
        <v>1544</v>
      </c>
      <c r="B324" s="756" t="s">
        <v>5266</v>
      </c>
      <c r="D324" s="756" t="s">
        <v>5282</v>
      </c>
      <c r="E324" s="756" t="s">
        <v>1560</v>
      </c>
    </row>
    <row r="325" spans="1:5">
      <c r="A325" s="756" t="s">
        <v>1592</v>
      </c>
      <c r="B325" s="756" t="s">
        <v>5314</v>
      </c>
      <c r="D325" s="756" t="s">
        <v>5283</v>
      </c>
      <c r="E325" s="756" t="s">
        <v>1561</v>
      </c>
    </row>
    <row r="326" spans="1:5">
      <c r="A326" s="756" t="s">
        <v>1659</v>
      </c>
      <c r="B326" s="756" t="s">
        <v>5386</v>
      </c>
      <c r="D326" s="756" t="s">
        <v>5284</v>
      </c>
      <c r="E326" s="756" t="s">
        <v>1562</v>
      </c>
    </row>
    <row r="327" spans="1:5">
      <c r="A327" s="756" t="s">
        <v>1707</v>
      </c>
      <c r="B327" s="756" t="s">
        <v>5435</v>
      </c>
      <c r="D327" s="756" t="s">
        <v>5285</v>
      </c>
      <c r="E327" s="756" t="s">
        <v>1563</v>
      </c>
    </row>
    <row r="328" spans="1:5">
      <c r="A328" s="756" t="s">
        <v>1276</v>
      </c>
      <c r="B328" s="756" t="s">
        <v>4992</v>
      </c>
      <c r="D328" s="756" t="s">
        <v>5286</v>
      </c>
      <c r="E328" s="756" t="s">
        <v>1564</v>
      </c>
    </row>
    <row r="329" spans="1:5">
      <c r="A329" s="756" t="s">
        <v>1552</v>
      </c>
      <c r="B329" s="756" t="s">
        <v>5274</v>
      </c>
      <c r="D329" s="756" t="s">
        <v>5287</v>
      </c>
      <c r="E329" s="756" t="s">
        <v>1565</v>
      </c>
    </row>
    <row r="330" spans="1:5">
      <c r="A330" s="756" t="s">
        <v>1408</v>
      </c>
      <c r="B330" s="756" t="s">
        <v>5127</v>
      </c>
      <c r="D330" s="756" t="s">
        <v>5288</v>
      </c>
      <c r="E330" s="756" t="s">
        <v>1566</v>
      </c>
    </row>
    <row r="331" spans="1:5">
      <c r="A331" s="756" t="s">
        <v>1509</v>
      </c>
      <c r="B331" s="756" t="s">
        <v>5231</v>
      </c>
      <c r="D331" s="756" t="s">
        <v>5289</v>
      </c>
      <c r="E331" s="756" t="s">
        <v>1567</v>
      </c>
    </row>
    <row r="332" spans="1:5">
      <c r="A332" s="756" t="s">
        <v>1671</v>
      </c>
      <c r="B332" s="756" t="s">
        <v>5398</v>
      </c>
      <c r="D332" s="756" t="s">
        <v>5290</v>
      </c>
      <c r="E332" s="756" t="s">
        <v>1568</v>
      </c>
    </row>
    <row r="333" spans="1:5">
      <c r="A333" s="756" t="s">
        <v>1288</v>
      </c>
      <c r="B333" s="756" t="s">
        <v>5004</v>
      </c>
      <c r="D333" s="756" t="s">
        <v>5291</v>
      </c>
      <c r="E333" s="756" t="s">
        <v>1569</v>
      </c>
    </row>
    <row r="334" spans="1:5">
      <c r="A334" s="756" t="s">
        <v>1416</v>
      </c>
      <c r="B334" s="756" t="s">
        <v>5135</v>
      </c>
      <c r="D334" s="756" t="s">
        <v>5292</v>
      </c>
      <c r="E334" s="756" t="s">
        <v>1570</v>
      </c>
    </row>
    <row r="335" spans="1:5">
      <c r="A335" s="756" t="s">
        <v>1295</v>
      </c>
      <c r="B335" s="756" t="s">
        <v>5011</v>
      </c>
      <c r="D335" s="756" t="s">
        <v>5293</v>
      </c>
      <c r="E335" s="756" t="s">
        <v>1571</v>
      </c>
    </row>
    <row r="336" spans="1:5">
      <c r="A336" s="756" t="s">
        <v>1424</v>
      </c>
      <c r="B336" s="756" t="s">
        <v>5143</v>
      </c>
      <c r="D336" s="756" t="s">
        <v>5294</v>
      </c>
      <c r="E336" s="756" t="s">
        <v>1572</v>
      </c>
    </row>
    <row r="337" spans="1:5">
      <c r="A337" s="756" t="s">
        <v>1301</v>
      </c>
      <c r="B337" s="756" t="s">
        <v>5018</v>
      </c>
      <c r="D337" s="756" t="s">
        <v>5295</v>
      </c>
      <c r="E337" s="756" t="s">
        <v>1573</v>
      </c>
    </row>
    <row r="338" spans="1:5">
      <c r="A338" s="756" t="s">
        <v>1618</v>
      </c>
      <c r="B338" s="756" t="s">
        <v>5340</v>
      </c>
      <c r="D338" s="756" t="s">
        <v>5296</v>
      </c>
      <c r="E338" s="756" t="s">
        <v>1574</v>
      </c>
    </row>
    <row r="339" spans="1:5">
      <c r="A339" s="756" t="s">
        <v>3784</v>
      </c>
      <c r="B339" s="756" t="s">
        <v>5411</v>
      </c>
      <c r="D339" s="756" t="s">
        <v>5297</v>
      </c>
      <c r="E339" s="756" t="s">
        <v>1575</v>
      </c>
    </row>
    <row r="340" spans="1:5">
      <c r="A340" s="756" t="s">
        <v>1308</v>
      </c>
      <c r="B340" s="756" t="s">
        <v>5025</v>
      </c>
      <c r="D340" s="756" t="s">
        <v>5298</v>
      </c>
      <c r="E340" s="756" t="s">
        <v>1576</v>
      </c>
    </row>
    <row r="341" spans="1:5">
      <c r="A341" s="756" t="s">
        <v>1625</v>
      </c>
      <c r="B341" s="756" t="s">
        <v>5349</v>
      </c>
      <c r="D341" s="756" t="s">
        <v>5299</v>
      </c>
      <c r="E341" s="756" t="s">
        <v>1577</v>
      </c>
    </row>
    <row r="342" spans="1:5">
      <c r="A342" s="756" t="s">
        <v>1441</v>
      </c>
      <c r="B342" s="756" t="s">
        <v>5160</v>
      </c>
      <c r="D342" s="756" t="s">
        <v>5300</v>
      </c>
      <c r="E342" s="756" t="s">
        <v>1578</v>
      </c>
    </row>
    <row r="343" spans="1:5">
      <c r="A343" s="756" t="s">
        <v>1454</v>
      </c>
      <c r="B343" s="756" t="s">
        <v>5173</v>
      </c>
      <c r="D343" s="756" t="s">
        <v>5301</v>
      </c>
      <c r="E343" s="756" t="s">
        <v>1579</v>
      </c>
    </row>
    <row r="344" spans="1:5">
      <c r="A344" s="756" t="s">
        <v>1250</v>
      </c>
      <c r="B344" s="756" t="s">
        <v>4966</v>
      </c>
      <c r="D344" s="756" t="s">
        <v>5302</v>
      </c>
      <c r="E344" s="756" t="s">
        <v>1580</v>
      </c>
    </row>
    <row r="345" spans="1:5">
      <c r="A345" s="756" t="s">
        <v>1371</v>
      </c>
      <c r="B345" s="756" t="s">
        <v>5089</v>
      </c>
      <c r="D345" s="756" t="s">
        <v>5303</v>
      </c>
      <c r="E345" s="756" t="s">
        <v>1581</v>
      </c>
    </row>
    <row r="346" spans="1:5">
      <c r="A346" s="756" t="s">
        <v>1483</v>
      </c>
      <c r="B346" s="756" t="s">
        <v>5205</v>
      </c>
      <c r="D346" s="756" t="s">
        <v>5304</v>
      </c>
      <c r="E346" s="756" t="s">
        <v>1582</v>
      </c>
    </row>
    <row r="347" spans="1:5">
      <c r="A347" s="756" t="s">
        <v>1640</v>
      </c>
      <c r="B347" s="756" t="s">
        <v>5365</v>
      </c>
      <c r="D347" s="756" t="s">
        <v>5305</v>
      </c>
      <c r="E347" s="756" t="s">
        <v>1583</v>
      </c>
    </row>
    <row r="348" spans="1:5">
      <c r="A348" s="756" t="s">
        <v>1385</v>
      </c>
      <c r="B348" s="756" t="s">
        <v>5103</v>
      </c>
      <c r="D348" s="756" t="s">
        <v>5306</v>
      </c>
      <c r="E348" s="756" t="s">
        <v>1584</v>
      </c>
    </row>
    <row r="349" spans="1:5">
      <c r="A349" s="756" t="s">
        <v>1586</v>
      </c>
      <c r="B349" s="756" t="s">
        <v>5308</v>
      </c>
      <c r="D349" s="756" t="s">
        <v>5307</v>
      </c>
      <c r="E349" s="756" t="s">
        <v>1585</v>
      </c>
    </row>
    <row r="350" spans="1:5">
      <c r="A350" s="756" t="s">
        <v>1701</v>
      </c>
      <c r="B350" s="756" t="s">
        <v>5429</v>
      </c>
      <c r="D350" s="756" t="s">
        <v>5308</v>
      </c>
      <c r="E350" s="756" t="s">
        <v>1586</v>
      </c>
    </row>
    <row r="351" spans="1:5">
      <c r="A351" s="756" t="s">
        <v>1264</v>
      </c>
      <c r="B351" s="756" t="s">
        <v>4980</v>
      </c>
      <c r="D351" s="756" t="s">
        <v>5309</v>
      </c>
      <c r="E351" s="756" t="s">
        <v>1587</v>
      </c>
    </row>
    <row r="352" spans="1:5">
      <c r="A352" s="756" t="s">
        <v>1397</v>
      </c>
      <c r="B352" s="756" t="s">
        <v>5116</v>
      </c>
      <c r="D352" s="756" t="s">
        <v>5310</v>
      </c>
      <c r="E352" s="756" t="s">
        <v>1588</v>
      </c>
    </row>
    <row r="353" spans="1:5">
      <c r="A353" s="756" t="s">
        <v>1499</v>
      </c>
      <c r="B353" s="756" t="s">
        <v>5221</v>
      </c>
      <c r="D353" s="756" t="s">
        <v>5311</v>
      </c>
      <c r="E353" s="756" t="s">
        <v>1589</v>
      </c>
    </row>
    <row r="354" spans="1:5">
      <c r="A354" s="756" t="s">
        <v>1545</v>
      </c>
      <c r="B354" s="756" t="s">
        <v>5267</v>
      </c>
      <c r="D354" s="756" t="s">
        <v>5312</v>
      </c>
      <c r="E354" s="756" t="s">
        <v>1590</v>
      </c>
    </row>
    <row r="355" spans="1:5">
      <c r="A355" s="756" t="s">
        <v>1593</v>
      </c>
      <c r="B355" s="756" t="s">
        <v>5315</v>
      </c>
      <c r="D355" s="756" t="s">
        <v>5313</v>
      </c>
      <c r="E355" s="756" t="s">
        <v>1591</v>
      </c>
    </row>
    <row r="356" spans="1:5">
      <c r="A356" s="756" t="s">
        <v>1660</v>
      </c>
      <c r="B356" s="756" t="s">
        <v>5387</v>
      </c>
      <c r="D356" s="756" t="s">
        <v>5314</v>
      </c>
      <c r="E356" s="756" t="s">
        <v>1592</v>
      </c>
    </row>
    <row r="357" spans="1:5">
      <c r="A357" s="756" t="s">
        <v>4607</v>
      </c>
      <c r="B357" s="756" t="s">
        <v>5436</v>
      </c>
      <c r="D357" s="756" t="s">
        <v>5315</v>
      </c>
      <c r="E357" s="756" t="s">
        <v>1593</v>
      </c>
    </row>
    <row r="358" spans="1:5">
      <c r="A358" s="756" t="s">
        <v>1277</v>
      </c>
      <c r="B358" s="756" t="s">
        <v>4993</v>
      </c>
      <c r="D358" s="756" t="s">
        <v>5316</v>
      </c>
      <c r="E358" s="756" t="s">
        <v>1594</v>
      </c>
    </row>
    <row r="359" spans="1:5">
      <c r="A359" s="756" t="s">
        <v>1409</v>
      </c>
      <c r="B359" s="756" t="s">
        <v>5128</v>
      </c>
      <c r="D359" s="756" t="s">
        <v>5317</v>
      </c>
      <c r="E359" s="756" t="s">
        <v>1595</v>
      </c>
    </row>
    <row r="360" spans="1:5">
      <c r="A360" s="756" t="s">
        <v>1510</v>
      </c>
      <c r="B360" s="756" t="s">
        <v>5232</v>
      </c>
      <c r="D360" s="756" t="s">
        <v>5318</v>
      </c>
      <c r="E360" s="756" t="s">
        <v>1596</v>
      </c>
    </row>
    <row r="361" spans="1:5">
      <c r="A361" s="756" t="s">
        <v>1289</v>
      </c>
      <c r="B361" s="756" t="s">
        <v>5005</v>
      </c>
      <c r="D361" s="756" t="s">
        <v>5319</v>
      </c>
      <c r="E361" s="756" t="s">
        <v>1597</v>
      </c>
    </row>
    <row r="362" spans="1:5">
      <c r="A362" s="756" t="s">
        <v>1417</v>
      </c>
      <c r="B362" s="756" t="s">
        <v>5136</v>
      </c>
      <c r="D362" s="756" t="s">
        <v>5320</v>
      </c>
      <c r="E362" s="756" t="s">
        <v>1598</v>
      </c>
    </row>
    <row r="363" spans="1:5">
      <c r="A363" s="756" t="s">
        <v>3780</v>
      </c>
      <c r="B363" s="756" t="s">
        <v>5012</v>
      </c>
      <c r="D363" s="756" t="s">
        <v>5321</v>
      </c>
      <c r="E363" s="756" t="s">
        <v>1599</v>
      </c>
    </row>
    <row r="364" spans="1:5">
      <c r="A364" s="756" t="s">
        <v>1425</v>
      </c>
      <c r="B364" s="756" t="s">
        <v>5144</v>
      </c>
      <c r="D364" s="756" t="s">
        <v>5322</v>
      </c>
      <c r="E364" s="756" t="s">
        <v>1600</v>
      </c>
    </row>
    <row r="365" spans="1:5">
      <c r="A365" s="756" t="s">
        <v>1302</v>
      </c>
      <c r="B365" s="756" t="s">
        <v>5019</v>
      </c>
      <c r="D365" s="756" t="s">
        <v>5323</v>
      </c>
      <c r="E365" s="756" t="s">
        <v>1601</v>
      </c>
    </row>
    <row r="366" spans="1:5">
      <c r="A366" s="756" t="s">
        <v>1619</v>
      </c>
      <c r="B366" s="756" t="s">
        <v>5341</v>
      </c>
      <c r="D366" s="756" t="s">
        <v>5324</v>
      </c>
      <c r="E366" s="756" t="s">
        <v>1602</v>
      </c>
    </row>
    <row r="367" spans="1:5">
      <c r="A367" s="756" t="s">
        <v>1442</v>
      </c>
      <c r="B367" s="756" t="s">
        <v>5161</v>
      </c>
      <c r="D367" s="756" t="s">
        <v>5325</v>
      </c>
      <c r="E367" s="756" t="s">
        <v>1603</v>
      </c>
    </row>
    <row r="368" spans="1:5">
      <c r="A368" s="756" t="s">
        <v>1455</v>
      </c>
      <c r="B368" s="756" t="s">
        <v>5174</v>
      </c>
      <c r="D368" s="756" t="s">
        <v>5326</v>
      </c>
      <c r="E368" s="756" t="s">
        <v>1604</v>
      </c>
    </row>
    <row r="369" spans="1:5">
      <c r="A369" s="756" t="s">
        <v>1251</v>
      </c>
      <c r="B369" s="756" t="s">
        <v>4967</v>
      </c>
      <c r="D369" s="756" t="s">
        <v>5327</v>
      </c>
      <c r="E369" s="756" t="s">
        <v>1605</v>
      </c>
    </row>
    <row r="370" spans="1:5">
      <c r="A370" s="756" t="s">
        <v>1372</v>
      </c>
      <c r="B370" s="756" t="s">
        <v>5090</v>
      </c>
      <c r="D370" s="756" t="s">
        <v>5328</v>
      </c>
      <c r="E370" s="756" t="s">
        <v>1606</v>
      </c>
    </row>
    <row r="371" spans="1:5">
      <c r="A371" s="756" t="s">
        <v>1484</v>
      </c>
      <c r="B371" s="756" t="s">
        <v>5206</v>
      </c>
      <c r="D371" s="756" t="s">
        <v>5329</v>
      </c>
      <c r="E371" s="756" t="s">
        <v>1607</v>
      </c>
    </row>
    <row r="372" spans="1:5">
      <c r="A372" s="756" t="s">
        <v>1641</v>
      </c>
      <c r="B372" s="756" t="s">
        <v>5366</v>
      </c>
      <c r="D372" s="756" t="s">
        <v>5330</v>
      </c>
      <c r="E372" s="756" t="s">
        <v>1608</v>
      </c>
    </row>
    <row r="373" spans="1:5">
      <c r="A373" s="756" t="s">
        <v>1386</v>
      </c>
      <c r="B373" s="756" t="s">
        <v>5104</v>
      </c>
      <c r="D373" s="756" t="s">
        <v>5331</v>
      </c>
      <c r="E373" s="756" t="s">
        <v>1609</v>
      </c>
    </row>
    <row r="374" spans="1:5">
      <c r="A374" s="756" t="s">
        <v>1265</v>
      </c>
      <c r="B374" s="756" t="s">
        <v>4981</v>
      </c>
      <c r="D374" s="756" t="s">
        <v>5332</v>
      </c>
      <c r="E374" s="756" t="s">
        <v>1610</v>
      </c>
    </row>
    <row r="375" spans="1:5">
      <c r="A375" s="756" t="s">
        <v>1398</v>
      </c>
      <c r="B375" s="756" t="s">
        <v>5117</v>
      </c>
      <c r="D375" s="756" t="s">
        <v>5333</v>
      </c>
      <c r="E375" s="756" t="s">
        <v>1611</v>
      </c>
    </row>
    <row r="376" spans="1:5">
      <c r="A376" s="756" t="s">
        <v>1500</v>
      </c>
      <c r="B376" s="756" t="s">
        <v>5222</v>
      </c>
      <c r="D376" s="756" t="s">
        <v>5334</v>
      </c>
      <c r="E376" s="756" t="s">
        <v>1612</v>
      </c>
    </row>
    <row r="377" spans="1:5">
      <c r="A377" s="756" t="s">
        <v>1546</v>
      </c>
      <c r="B377" s="756" t="s">
        <v>5268</v>
      </c>
      <c r="D377" s="756" t="s">
        <v>5335</v>
      </c>
      <c r="E377" s="756" t="s">
        <v>1613</v>
      </c>
    </row>
    <row r="378" spans="1:5">
      <c r="A378" s="756" t="s">
        <v>1594</v>
      </c>
      <c r="B378" s="756" t="s">
        <v>5316</v>
      </c>
      <c r="D378" s="756" t="s">
        <v>5336</v>
      </c>
      <c r="E378" s="756" t="s">
        <v>1614</v>
      </c>
    </row>
    <row r="379" spans="1:5">
      <c r="A379" s="756" t="s">
        <v>1661</v>
      </c>
      <c r="B379" s="756" t="s">
        <v>5388</v>
      </c>
      <c r="D379" s="756" t="s">
        <v>5337</v>
      </c>
      <c r="E379" s="756" t="s">
        <v>1615</v>
      </c>
    </row>
    <row r="380" spans="1:5">
      <c r="A380" s="756" t="s">
        <v>1278</v>
      </c>
      <c r="B380" s="756" t="s">
        <v>4994</v>
      </c>
      <c r="D380" s="756" t="s">
        <v>5338</v>
      </c>
      <c r="E380" s="756" t="s">
        <v>1616</v>
      </c>
    </row>
    <row r="381" spans="1:5">
      <c r="A381" s="756" t="s">
        <v>1410</v>
      </c>
      <c r="B381" s="756" t="s">
        <v>5129</v>
      </c>
      <c r="D381" s="756" t="s">
        <v>5339</v>
      </c>
      <c r="E381" s="756" t="s">
        <v>1617</v>
      </c>
    </row>
    <row r="382" spans="1:5">
      <c r="A382" s="756" t="s">
        <v>1511</v>
      </c>
      <c r="B382" s="756" t="s">
        <v>5233</v>
      </c>
      <c r="D382" s="756" t="s">
        <v>5340</v>
      </c>
      <c r="E382" s="756" t="s">
        <v>1618</v>
      </c>
    </row>
    <row r="383" spans="1:5">
      <c r="A383" s="756" t="s">
        <v>1418</v>
      </c>
      <c r="B383" s="756" t="s">
        <v>5137</v>
      </c>
      <c r="D383" s="756" t="s">
        <v>5341</v>
      </c>
      <c r="E383" s="756" t="s">
        <v>1619</v>
      </c>
    </row>
    <row r="384" spans="1:5">
      <c r="A384" s="758" t="s">
        <v>5343</v>
      </c>
      <c r="B384" s="758" t="s">
        <v>5342</v>
      </c>
      <c r="D384" s="758" t="s">
        <v>5342</v>
      </c>
      <c r="E384" s="758" t="s">
        <v>5343</v>
      </c>
    </row>
    <row r="385" spans="1:5">
      <c r="A385" s="756" t="s">
        <v>1443</v>
      </c>
      <c r="B385" s="756" t="s">
        <v>5162</v>
      </c>
      <c r="D385" s="756" t="s">
        <v>5344</v>
      </c>
      <c r="E385" s="756" t="s">
        <v>1620</v>
      </c>
    </row>
    <row r="386" spans="1:5">
      <c r="A386" s="756" t="s">
        <v>1252</v>
      </c>
      <c r="B386" s="756" t="s">
        <v>4968</v>
      </c>
      <c r="D386" s="756" t="s">
        <v>5345</v>
      </c>
      <c r="E386" s="756" t="s">
        <v>1621</v>
      </c>
    </row>
    <row r="387" spans="1:5">
      <c r="A387" s="756" t="s">
        <v>1373</v>
      </c>
      <c r="B387" s="756" t="s">
        <v>5091</v>
      </c>
      <c r="D387" s="756" t="s">
        <v>5346</v>
      </c>
      <c r="E387" s="756" t="s">
        <v>1622</v>
      </c>
    </row>
    <row r="388" spans="1:5">
      <c r="A388" s="756" t="s">
        <v>1485</v>
      </c>
      <c r="B388" s="756" t="s">
        <v>5207</v>
      </c>
      <c r="D388" s="756" t="s">
        <v>5347</v>
      </c>
      <c r="E388" s="756" t="s">
        <v>1623</v>
      </c>
    </row>
    <row r="389" spans="1:5">
      <c r="A389" s="756" t="s">
        <v>1642</v>
      </c>
      <c r="B389" s="756" t="s">
        <v>5367</v>
      </c>
      <c r="D389" s="756" t="s">
        <v>5348</v>
      </c>
      <c r="E389" s="756" t="s">
        <v>1624</v>
      </c>
    </row>
    <row r="390" spans="1:5">
      <c r="A390" s="756" t="s">
        <v>1387</v>
      </c>
      <c r="B390" s="756" t="s">
        <v>5105</v>
      </c>
      <c r="D390" s="756" t="s">
        <v>5349</v>
      </c>
      <c r="E390" s="756" t="s">
        <v>1625</v>
      </c>
    </row>
    <row r="391" spans="1:5">
      <c r="A391" s="756" t="s">
        <v>1266</v>
      </c>
      <c r="B391" s="756" t="s">
        <v>4982</v>
      </c>
      <c r="D391" s="756" t="s">
        <v>5350</v>
      </c>
      <c r="E391" s="756" t="s">
        <v>1626</v>
      </c>
    </row>
    <row r="392" spans="1:5">
      <c r="A392" s="756" t="s">
        <v>1595</v>
      </c>
      <c r="B392" s="756" t="s">
        <v>5317</v>
      </c>
      <c r="D392" s="756" t="s">
        <v>5351</v>
      </c>
      <c r="E392" s="756" t="s">
        <v>1627</v>
      </c>
    </row>
    <row r="393" spans="1:5">
      <c r="A393" s="756" t="s">
        <v>1662</v>
      </c>
      <c r="B393" s="756" t="s">
        <v>5389</v>
      </c>
      <c r="D393" s="756" t="s">
        <v>5352</v>
      </c>
      <c r="E393" s="756" t="s">
        <v>1628</v>
      </c>
    </row>
    <row r="394" spans="1:5">
      <c r="A394" s="756" t="s">
        <v>1279</v>
      </c>
      <c r="B394" s="756" t="s">
        <v>4995</v>
      </c>
      <c r="D394" s="756" t="s">
        <v>5353</v>
      </c>
      <c r="E394" s="756" t="s">
        <v>1629</v>
      </c>
    </row>
    <row r="395" spans="1:5">
      <c r="A395" s="756" t="s">
        <v>1512</v>
      </c>
      <c r="B395" s="756" t="s">
        <v>5234</v>
      </c>
      <c r="D395" s="756" t="s">
        <v>5354</v>
      </c>
      <c r="E395" s="756" t="s">
        <v>1630</v>
      </c>
    </row>
    <row r="396" spans="1:5">
      <c r="A396" s="756" t="s">
        <v>1444</v>
      </c>
      <c r="B396" s="756" t="s">
        <v>5163</v>
      </c>
      <c r="D396" s="756" t="s">
        <v>5355</v>
      </c>
      <c r="E396" s="756" t="s">
        <v>1631</v>
      </c>
    </row>
    <row r="397" spans="1:5">
      <c r="A397" s="756" t="s">
        <v>1253</v>
      </c>
      <c r="B397" s="756" t="s">
        <v>4969</v>
      </c>
      <c r="D397" s="756" t="s">
        <v>5356</v>
      </c>
      <c r="E397" s="756" t="s">
        <v>1632</v>
      </c>
    </row>
    <row r="398" spans="1:5">
      <c r="A398" s="756" t="s">
        <v>1374</v>
      </c>
      <c r="B398" s="756" t="s">
        <v>5092</v>
      </c>
      <c r="D398" s="756" t="s">
        <v>5357</v>
      </c>
      <c r="E398" s="756" t="s">
        <v>1633</v>
      </c>
    </row>
    <row r="399" spans="1:5">
      <c r="A399" s="756" t="s">
        <v>1486</v>
      </c>
      <c r="B399" s="756" t="s">
        <v>5208</v>
      </c>
      <c r="D399" s="756" t="s">
        <v>5358</v>
      </c>
      <c r="E399" s="756" t="s">
        <v>4386</v>
      </c>
    </row>
    <row r="400" spans="1:5">
      <c r="A400" s="756" t="s">
        <v>4046</v>
      </c>
      <c r="B400" s="756" t="s">
        <v>5368</v>
      </c>
      <c r="D400" s="756" t="s">
        <v>5359</v>
      </c>
      <c r="E400" s="756" t="s">
        <v>1634</v>
      </c>
    </row>
    <row r="401" spans="1:5">
      <c r="A401" s="756" t="s">
        <v>1388</v>
      </c>
      <c r="B401" s="756" t="s">
        <v>5106</v>
      </c>
      <c r="D401" s="756" t="s">
        <v>5360</v>
      </c>
      <c r="E401" s="756" t="s">
        <v>1635</v>
      </c>
    </row>
    <row r="402" spans="1:5">
      <c r="A402" s="756" t="s">
        <v>1267</v>
      </c>
      <c r="B402" s="756" t="s">
        <v>4983</v>
      </c>
      <c r="D402" s="756" t="s">
        <v>5361</v>
      </c>
      <c r="E402" s="756" t="s">
        <v>1636</v>
      </c>
    </row>
    <row r="403" spans="1:5">
      <c r="A403" s="756" t="s">
        <v>1513</v>
      </c>
      <c r="B403" s="756" t="s">
        <v>5235</v>
      </c>
      <c r="D403" s="756" t="s">
        <v>5362</v>
      </c>
      <c r="E403" s="756" t="s">
        <v>1637</v>
      </c>
    </row>
    <row r="404" spans="1:5">
      <c r="A404" s="756" t="s">
        <v>1445</v>
      </c>
      <c r="B404" s="756" t="s">
        <v>5164</v>
      </c>
      <c r="D404" s="756" t="s">
        <v>5363</v>
      </c>
      <c r="E404" s="756" t="s">
        <v>1638</v>
      </c>
    </row>
    <row r="405" spans="1:5">
      <c r="A405" s="756" t="s">
        <v>1254</v>
      </c>
      <c r="B405" s="756" t="s">
        <v>4970</v>
      </c>
      <c r="D405" s="756" t="s">
        <v>5364</v>
      </c>
      <c r="E405" s="756" t="s">
        <v>1639</v>
      </c>
    </row>
    <row r="406" spans="1:5">
      <c r="A406" s="756" t="s">
        <v>1375</v>
      </c>
      <c r="B406" s="756" t="s">
        <v>5093</v>
      </c>
      <c r="D406" s="756" t="s">
        <v>5365</v>
      </c>
      <c r="E406" s="756" t="s">
        <v>1640</v>
      </c>
    </row>
    <row r="407" spans="1:5">
      <c r="A407" s="756" t="s">
        <v>1487</v>
      </c>
      <c r="B407" s="756" t="s">
        <v>5209</v>
      </c>
      <c r="D407" s="756" t="s">
        <v>5366</v>
      </c>
      <c r="E407" s="756" t="s">
        <v>1641</v>
      </c>
    </row>
    <row r="408" spans="1:5">
      <c r="A408" s="756" t="s">
        <v>1643</v>
      </c>
      <c r="B408" s="756" t="s">
        <v>5369</v>
      </c>
      <c r="D408" s="756" t="s">
        <v>5367</v>
      </c>
      <c r="E408" s="756" t="s">
        <v>1642</v>
      </c>
    </row>
    <row r="409" spans="1:5">
      <c r="A409" s="756" t="s">
        <v>1389</v>
      </c>
      <c r="B409" s="756" t="s">
        <v>5107</v>
      </c>
      <c r="D409" s="756" t="s">
        <v>5368</v>
      </c>
      <c r="E409" s="756" t="s">
        <v>4046</v>
      </c>
    </row>
    <row r="410" spans="1:5">
      <c r="A410" s="756" t="s">
        <v>1268</v>
      </c>
      <c r="B410" s="756" t="s">
        <v>4984</v>
      </c>
      <c r="D410" s="756" t="s">
        <v>5369</v>
      </c>
      <c r="E410" s="756" t="s">
        <v>1643</v>
      </c>
    </row>
    <row r="411" spans="1:5">
      <c r="A411" s="756" t="s">
        <v>1514</v>
      </c>
      <c r="B411" s="756" t="s">
        <v>5236</v>
      </c>
      <c r="D411" s="756" t="s">
        <v>5370</v>
      </c>
      <c r="E411" s="756" t="s">
        <v>1644</v>
      </c>
    </row>
    <row r="412" spans="1:5">
      <c r="A412" s="756" t="s">
        <v>1446</v>
      </c>
      <c r="B412" s="756" t="s">
        <v>5165</v>
      </c>
      <c r="D412" s="756" t="s">
        <v>5371</v>
      </c>
      <c r="E412" s="756" t="s">
        <v>1645</v>
      </c>
    </row>
    <row r="413" spans="1:5">
      <c r="A413" s="756" t="s">
        <v>1376</v>
      </c>
      <c r="B413" s="756" t="s">
        <v>5094</v>
      </c>
      <c r="D413" s="756" t="s">
        <v>5372</v>
      </c>
      <c r="E413" s="756" t="s">
        <v>1646</v>
      </c>
    </row>
    <row r="414" spans="1:5">
      <c r="A414" s="756" t="s">
        <v>1644</v>
      </c>
      <c r="B414" s="756" t="s">
        <v>5370</v>
      </c>
      <c r="D414" s="756" t="s">
        <v>5373</v>
      </c>
      <c r="E414" s="756" t="s">
        <v>1647</v>
      </c>
    </row>
    <row r="415" spans="1:5">
      <c r="A415" s="756" t="s">
        <v>1390</v>
      </c>
      <c r="B415" s="756" t="s">
        <v>5108</v>
      </c>
      <c r="D415" s="756" t="s">
        <v>5374</v>
      </c>
      <c r="E415" s="756" t="s">
        <v>1648</v>
      </c>
    </row>
    <row r="416" spans="1:5">
      <c r="A416" s="756" t="s">
        <v>1269</v>
      </c>
      <c r="B416" s="756" t="s">
        <v>4985</v>
      </c>
      <c r="D416" s="756" t="s">
        <v>5375</v>
      </c>
      <c r="E416" s="756" t="s">
        <v>1649</v>
      </c>
    </row>
    <row r="417" spans="1:5">
      <c r="A417" s="756" t="s">
        <v>1515</v>
      </c>
      <c r="B417" s="756" t="s">
        <v>5237</v>
      </c>
      <c r="D417" s="756" t="s">
        <v>5376</v>
      </c>
      <c r="E417" s="756" t="s">
        <v>1650</v>
      </c>
    </row>
    <row r="418" spans="1:5">
      <c r="A418" s="756" t="s">
        <v>1447</v>
      </c>
      <c r="B418" s="756" t="s">
        <v>5166</v>
      </c>
      <c r="D418" s="756" t="s">
        <v>5377</v>
      </c>
      <c r="E418" s="756" t="s">
        <v>1651</v>
      </c>
    </row>
    <row r="419" spans="1:5">
      <c r="A419" s="756" t="s">
        <v>1377</v>
      </c>
      <c r="B419" s="756" t="s">
        <v>5095</v>
      </c>
      <c r="D419" s="756" t="s">
        <v>5378</v>
      </c>
      <c r="E419" s="756" t="s">
        <v>1652</v>
      </c>
    </row>
    <row r="420" spans="1:5">
      <c r="A420" s="756" t="s">
        <v>1645</v>
      </c>
      <c r="B420" s="756" t="s">
        <v>5371</v>
      </c>
      <c r="D420" s="756" t="s">
        <v>5379</v>
      </c>
      <c r="E420" s="756" t="s">
        <v>1653</v>
      </c>
    </row>
    <row r="421" spans="1:5">
      <c r="A421" s="756" t="s">
        <v>1391</v>
      </c>
      <c r="B421" s="756" t="s">
        <v>5109</v>
      </c>
      <c r="D421" s="756" t="s">
        <v>5380</v>
      </c>
      <c r="E421" s="756" t="s">
        <v>3783</v>
      </c>
    </row>
    <row r="422" spans="1:5">
      <c r="A422" s="756" t="s">
        <v>1270</v>
      </c>
      <c r="B422" s="756" t="s">
        <v>4986</v>
      </c>
      <c r="D422" s="756" t="s">
        <v>5381</v>
      </c>
      <c r="E422" s="756" t="s">
        <v>1654</v>
      </c>
    </row>
    <row r="423" spans="1:5">
      <c r="A423" s="756" t="s">
        <v>1448</v>
      </c>
      <c r="B423" s="756" t="s">
        <v>5167</v>
      </c>
      <c r="D423" s="756" t="s">
        <v>5382</v>
      </c>
      <c r="E423" s="756" t="s">
        <v>1655</v>
      </c>
    </row>
    <row r="424" spans="1:5">
      <c r="A424" s="756" t="s">
        <v>1378</v>
      </c>
      <c r="B424" s="756" t="s">
        <v>5096</v>
      </c>
      <c r="D424" s="756" t="s">
        <v>5383</v>
      </c>
      <c r="E424" s="756" t="s">
        <v>1656</v>
      </c>
    </row>
    <row r="425" spans="1:5">
      <c r="A425" s="756" t="s">
        <v>1646</v>
      </c>
      <c r="B425" s="756" t="s">
        <v>5372</v>
      </c>
      <c r="D425" s="756" t="s">
        <v>5384</v>
      </c>
      <c r="E425" s="756" t="s">
        <v>1657</v>
      </c>
    </row>
    <row r="426" spans="1:5">
      <c r="A426" s="756" t="s">
        <v>3782</v>
      </c>
      <c r="B426" s="756" t="s">
        <v>5110</v>
      </c>
      <c r="D426" s="756" t="s">
        <v>5385</v>
      </c>
      <c r="E426" s="756" t="s">
        <v>1658</v>
      </c>
    </row>
    <row r="427" spans="1:5">
      <c r="A427" s="756" t="s">
        <v>1647</v>
      </c>
      <c r="B427" s="756" t="s">
        <v>5373</v>
      </c>
      <c r="D427" s="756" t="s">
        <v>5386</v>
      </c>
      <c r="E427" s="756" t="s">
        <v>1659</v>
      </c>
    </row>
    <row r="428" spans="1:5">
      <c r="A428" s="756" t="s">
        <v>1648</v>
      </c>
      <c r="B428" s="756" t="s">
        <v>5374</v>
      </c>
      <c r="D428" s="756" t="s">
        <v>5387</v>
      </c>
      <c r="E428" s="756" t="s">
        <v>1660</v>
      </c>
    </row>
    <row r="429" spans="1:5">
      <c r="A429" s="756" t="s">
        <v>1324</v>
      </c>
      <c r="B429" s="756" t="s">
        <v>5041</v>
      </c>
      <c r="D429" s="756" t="s">
        <v>5388</v>
      </c>
      <c r="E429" s="756" t="s">
        <v>1661</v>
      </c>
    </row>
    <row r="430" spans="1:5">
      <c r="A430" s="756" t="s">
        <v>1325</v>
      </c>
      <c r="B430" s="756" t="s">
        <v>5042</v>
      </c>
      <c r="D430" s="756" t="s">
        <v>5389</v>
      </c>
      <c r="E430" s="756" t="s">
        <v>1662</v>
      </c>
    </row>
    <row r="431" spans="1:5">
      <c r="A431" s="756" t="s">
        <v>1326</v>
      </c>
      <c r="B431" s="756" t="s">
        <v>5043</v>
      </c>
      <c r="D431" s="756" t="s">
        <v>5390</v>
      </c>
      <c r="E431" s="756" t="s">
        <v>1663</v>
      </c>
    </row>
    <row r="432" spans="1:5">
      <c r="A432" s="756" t="s">
        <v>1327</v>
      </c>
      <c r="B432" s="756" t="s">
        <v>5044</v>
      </c>
      <c r="D432" s="756" t="s">
        <v>5391</v>
      </c>
      <c r="E432" s="756" t="s">
        <v>1664</v>
      </c>
    </row>
    <row r="433" spans="1:5">
      <c r="A433" s="756" t="s">
        <v>1328</v>
      </c>
      <c r="B433" s="756" t="s">
        <v>5045</v>
      </c>
      <c r="D433" s="756" t="s">
        <v>5392</v>
      </c>
      <c r="E433" s="756" t="s">
        <v>1665</v>
      </c>
    </row>
    <row r="434" spans="1:5">
      <c r="A434" s="756" t="s">
        <v>1329</v>
      </c>
      <c r="B434" s="756" t="s">
        <v>5046</v>
      </c>
      <c r="D434" s="756" t="s">
        <v>5393</v>
      </c>
      <c r="E434" s="756" t="s">
        <v>1666</v>
      </c>
    </row>
    <row r="435" spans="1:5">
      <c r="A435" s="756" t="s">
        <v>1330</v>
      </c>
      <c r="B435" s="756" t="s">
        <v>5047</v>
      </c>
      <c r="D435" s="756" t="s">
        <v>5394</v>
      </c>
      <c r="E435" s="756" t="s">
        <v>1667</v>
      </c>
    </row>
    <row r="436" spans="1:5">
      <c r="A436" s="756" t="s">
        <v>1331</v>
      </c>
      <c r="B436" s="756" t="s">
        <v>5048</v>
      </c>
      <c r="D436" s="756" t="s">
        <v>5395</v>
      </c>
      <c r="E436" s="756" t="s">
        <v>1668</v>
      </c>
    </row>
    <row r="437" spans="1:5">
      <c r="A437" s="756" t="s">
        <v>1332</v>
      </c>
      <c r="B437" s="756" t="s">
        <v>5049</v>
      </c>
      <c r="D437" s="756" t="s">
        <v>5396</v>
      </c>
      <c r="E437" s="756" t="s">
        <v>1669</v>
      </c>
    </row>
    <row r="438" spans="1:5">
      <c r="A438" s="756" t="s">
        <v>1333</v>
      </c>
      <c r="B438" s="756" t="s">
        <v>5050</v>
      </c>
      <c r="D438" s="756" t="s">
        <v>5397</v>
      </c>
      <c r="E438" s="756" t="s">
        <v>1670</v>
      </c>
    </row>
    <row r="439" spans="1:5">
      <c r="A439" s="756" t="s">
        <v>1334</v>
      </c>
      <c r="B439" s="756" t="s">
        <v>5051</v>
      </c>
      <c r="D439" s="756" t="s">
        <v>5398</v>
      </c>
      <c r="E439" s="756" t="s">
        <v>1671</v>
      </c>
    </row>
    <row r="440" spans="1:5">
      <c r="A440" s="756" t="s">
        <v>1335</v>
      </c>
      <c r="B440" s="756" t="s">
        <v>5052</v>
      </c>
      <c r="D440" s="756" t="s">
        <v>5399</v>
      </c>
      <c r="E440" s="756" t="s">
        <v>1672</v>
      </c>
    </row>
    <row r="441" spans="1:5">
      <c r="A441" s="756" t="s">
        <v>1336</v>
      </c>
      <c r="B441" s="756" t="s">
        <v>5053</v>
      </c>
      <c r="D441" s="756" t="s">
        <v>5400</v>
      </c>
      <c r="E441" s="756" t="s">
        <v>1673</v>
      </c>
    </row>
    <row r="442" spans="1:5">
      <c r="A442" s="756" t="s">
        <v>1337</v>
      </c>
      <c r="B442" s="756" t="s">
        <v>5054</v>
      </c>
      <c r="D442" s="756" t="s">
        <v>5401</v>
      </c>
      <c r="E442" s="756" t="s">
        <v>1674</v>
      </c>
    </row>
    <row r="443" spans="1:5">
      <c r="A443" s="756" t="s">
        <v>1338</v>
      </c>
      <c r="B443" s="756" t="s">
        <v>5055</v>
      </c>
      <c r="D443" s="756" t="s">
        <v>5402</v>
      </c>
      <c r="E443" s="756" t="s">
        <v>1675</v>
      </c>
    </row>
    <row r="444" spans="1:5">
      <c r="A444" s="756" t="s">
        <v>1339</v>
      </c>
      <c r="B444" s="756" t="s">
        <v>5056</v>
      </c>
      <c r="D444" s="756" t="s">
        <v>5403</v>
      </c>
      <c r="E444" s="756" t="s">
        <v>1676</v>
      </c>
    </row>
    <row r="445" spans="1:5">
      <c r="A445" s="756" t="s">
        <v>1340</v>
      </c>
      <c r="B445" s="756" t="s">
        <v>5057</v>
      </c>
      <c r="D445" s="756" t="s">
        <v>5404</v>
      </c>
      <c r="E445" s="756" t="s">
        <v>1677</v>
      </c>
    </row>
    <row r="446" spans="1:5">
      <c r="A446" s="756" t="s">
        <v>1341</v>
      </c>
      <c r="B446" s="756" t="s">
        <v>5058</v>
      </c>
      <c r="D446" s="756" t="s">
        <v>5405</v>
      </c>
      <c r="E446" s="756" t="s">
        <v>1678</v>
      </c>
    </row>
    <row r="447" spans="1:5">
      <c r="A447" s="756" t="s">
        <v>1342</v>
      </c>
      <c r="B447" s="756" t="s">
        <v>5059</v>
      </c>
      <c r="D447" s="756" t="s">
        <v>5406</v>
      </c>
      <c r="E447" s="756" t="s">
        <v>1679</v>
      </c>
    </row>
    <row r="448" spans="1:5">
      <c r="A448" s="756" t="s">
        <v>1343</v>
      </c>
      <c r="B448" s="756" t="s">
        <v>5060</v>
      </c>
      <c r="D448" s="756" t="s">
        <v>5407</v>
      </c>
      <c r="E448" s="756" t="s">
        <v>1680</v>
      </c>
    </row>
    <row r="449" spans="1:5">
      <c r="A449" s="756" t="s">
        <v>1344</v>
      </c>
      <c r="B449" s="756" t="s">
        <v>5061</v>
      </c>
      <c r="D449" s="756" t="s">
        <v>5408</v>
      </c>
      <c r="E449" s="756" t="s">
        <v>1681</v>
      </c>
    </row>
    <row r="450" spans="1:5">
      <c r="A450" s="756" t="s">
        <v>1345</v>
      </c>
      <c r="B450" s="756" t="s">
        <v>5062</v>
      </c>
      <c r="D450" s="756" t="s">
        <v>5409</v>
      </c>
      <c r="E450" s="756" t="s">
        <v>1682</v>
      </c>
    </row>
    <row r="451" spans="1:5">
      <c r="A451" s="756" t="s">
        <v>1346</v>
      </c>
      <c r="B451" s="756" t="s">
        <v>5063</v>
      </c>
      <c r="D451" s="756" t="s">
        <v>5410</v>
      </c>
      <c r="E451" s="756" t="s">
        <v>1683</v>
      </c>
    </row>
    <row r="452" spans="1:5">
      <c r="A452" s="756" t="s">
        <v>1347</v>
      </c>
      <c r="B452" s="756" t="s">
        <v>5064</v>
      </c>
      <c r="D452" s="756" t="s">
        <v>5411</v>
      </c>
      <c r="E452" s="756" t="s">
        <v>3784</v>
      </c>
    </row>
    <row r="453" spans="1:5">
      <c r="A453" s="756" t="s">
        <v>1348</v>
      </c>
      <c r="B453" s="756" t="s">
        <v>5065</v>
      </c>
      <c r="D453" s="756" t="s">
        <v>5412</v>
      </c>
      <c r="E453" s="756" t="s">
        <v>1684</v>
      </c>
    </row>
    <row r="454" spans="1:5">
      <c r="A454" s="756" t="s">
        <v>1349</v>
      </c>
      <c r="B454" s="756" t="s">
        <v>5066</v>
      </c>
      <c r="D454" s="756" t="s">
        <v>5413</v>
      </c>
      <c r="E454" s="756" t="s">
        <v>1685</v>
      </c>
    </row>
    <row r="455" spans="1:5">
      <c r="A455" s="756" t="s">
        <v>1350</v>
      </c>
      <c r="B455" s="756" t="s">
        <v>5067</v>
      </c>
      <c r="D455" s="756" t="s">
        <v>5414</v>
      </c>
      <c r="E455" s="756" t="s">
        <v>1686</v>
      </c>
    </row>
    <row r="456" spans="1:5">
      <c r="A456" s="756" t="s">
        <v>1351</v>
      </c>
      <c r="B456" s="756" t="s">
        <v>5068</v>
      </c>
      <c r="D456" s="756" t="s">
        <v>5415</v>
      </c>
      <c r="E456" s="756" t="s">
        <v>1687</v>
      </c>
    </row>
    <row r="457" spans="1:5">
      <c r="A457" s="756" t="s">
        <v>1352</v>
      </c>
      <c r="B457" s="756" t="s">
        <v>5069</v>
      </c>
      <c r="D457" s="756" t="s">
        <v>5416</v>
      </c>
      <c r="E457" s="756" t="s">
        <v>1688</v>
      </c>
    </row>
    <row r="458" spans="1:5">
      <c r="A458" s="756" t="s">
        <v>1353</v>
      </c>
      <c r="B458" s="756" t="s">
        <v>5070</v>
      </c>
      <c r="D458" s="756" t="s">
        <v>5417</v>
      </c>
      <c r="E458" s="756" t="s">
        <v>1689</v>
      </c>
    </row>
    <row r="459" spans="1:5">
      <c r="A459" s="756" t="s">
        <v>1354</v>
      </c>
      <c r="B459" s="756" t="s">
        <v>5071</v>
      </c>
      <c r="D459" s="756" t="s">
        <v>5418</v>
      </c>
      <c r="E459" s="756" t="s">
        <v>1690</v>
      </c>
    </row>
    <row r="460" spans="1:5">
      <c r="A460" s="756" t="s">
        <v>1355</v>
      </c>
      <c r="B460" s="756" t="s">
        <v>5072</v>
      </c>
      <c r="D460" s="756" t="s">
        <v>5419</v>
      </c>
      <c r="E460" s="756" t="s">
        <v>1691</v>
      </c>
    </row>
    <row r="461" spans="1:5">
      <c r="A461" s="756" t="s">
        <v>1356</v>
      </c>
      <c r="B461" s="756" t="s">
        <v>5073</v>
      </c>
      <c r="D461" s="756" t="s">
        <v>5420</v>
      </c>
      <c r="E461" s="756" t="s">
        <v>1692</v>
      </c>
    </row>
    <row r="462" spans="1:5">
      <c r="A462" s="756" t="s">
        <v>1357</v>
      </c>
      <c r="B462" s="756" t="s">
        <v>5074</v>
      </c>
      <c r="D462" s="756" t="s">
        <v>5421</v>
      </c>
      <c r="E462" s="756" t="s">
        <v>1693</v>
      </c>
    </row>
    <row r="463" spans="1:5">
      <c r="A463" s="756" t="s">
        <v>1358</v>
      </c>
      <c r="B463" s="756" t="s">
        <v>5075</v>
      </c>
      <c r="D463" s="756" t="s">
        <v>5422</v>
      </c>
      <c r="E463" s="756" t="s">
        <v>1694</v>
      </c>
    </row>
    <row r="464" spans="1:5">
      <c r="A464" s="756" t="s">
        <v>3781</v>
      </c>
      <c r="B464" s="756" t="s">
        <v>5076</v>
      </c>
      <c r="D464" s="756" t="s">
        <v>5423</v>
      </c>
      <c r="E464" s="756" t="s">
        <v>1695</v>
      </c>
    </row>
    <row r="465" spans="1:5">
      <c r="A465" s="756" t="s">
        <v>1359</v>
      </c>
      <c r="B465" s="756" t="s">
        <v>5077</v>
      </c>
      <c r="D465" s="756" t="s">
        <v>5424</v>
      </c>
      <c r="E465" s="756" t="s">
        <v>1696</v>
      </c>
    </row>
    <row r="466" spans="1:5">
      <c r="A466" s="756" t="s">
        <v>1360</v>
      </c>
      <c r="B466" s="756" t="s">
        <v>5078</v>
      </c>
      <c r="D466" s="756" t="s">
        <v>5425</v>
      </c>
      <c r="E466" s="756" t="s">
        <v>1697</v>
      </c>
    </row>
    <row r="467" spans="1:5">
      <c r="A467" s="756" t="s">
        <v>1361</v>
      </c>
      <c r="B467" s="756" t="s">
        <v>5079</v>
      </c>
      <c r="D467" s="756" t="s">
        <v>5426</v>
      </c>
      <c r="E467" s="756" t="s">
        <v>1698</v>
      </c>
    </row>
    <row r="468" spans="1:5">
      <c r="A468" s="756" t="s">
        <v>1362</v>
      </c>
      <c r="B468" s="756" t="s">
        <v>5080</v>
      </c>
      <c r="D468" s="756" t="s">
        <v>5427</v>
      </c>
      <c r="E468" s="756" t="s">
        <v>1699</v>
      </c>
    </row>
    <row r="469" spans="1:5">
      <c r="A469" s="756" t="s">
        <v>1363</v>
      </c>
      <c r="B469" s="756" t="s">
        <v>5081</v>
      </c>
      <c r="D469" s="756" t="s">
        <v>5428</v>
      </c>
      <c r="E469" s="756" t="s">
        <v>1700</v>
      </c>
    </row>
    <row r="470" spans="1:5">
      <c r="A470" s="756" t="s">
        <v>1364</v>
      </c>
      <c r="B470" s="756" t="s">
        <v>5082</v>
      </c>
      <c r="D470" s="756" t="s">
        <v>5429</v>
      </c>
      <c r="E470" s="756" t="s">
        <v>1701</v>
      </c>
    </row>
    <row r="471" spans="1:5">
      <c r="A471" s="756" t="s">
        <v>1461</v>
      </c>
      <c r="B471" s="756" t="s">
        <v>5180</v>
      </c>
      <c r="D471" s="756" t="s">
        <v>5430</v>
      </c>
      <c r="E471" s="756" t="s">
        <v>1702</v>
      </c>
    </row>
    <row r="472" spans="1:5">
      <c r="A472" s="756" t="s">
        <v>1462</v>
      </c>
      <c r="B472" s="756" t="s">
        <v>5181</v>
      </c>
      <c r="D472" s="756" t="s">
        <v>5431</v>
      </c>
      <c r="E472" s="756" t="s">
        <v>1703</v>
      </c>
    </row>
    <row r="473" spans="1:5">
      <c r="A473" s="756" t="s">
        <v>1463</v>
      </c>
      <c r="B473" s="756" t="s">
        <v>5182</v>
      </c>
      <c r="D473" s="756" t="s">
        <v>5432</v>
      </c>
      <c r="E473" s="756" t="s">
        <v>1704</v>
      </c>
    </row>
    <row r="474" spans="1:5">
      <c r="A474" s="756" t="s">
        <v>1464</v>
      </c>
      <c r="B474" s="756" t="s">
        <v>5183</v>
      </c>
      <c r="D474" s="756" t="s">
        <v>5433</v>
      </c>
      <c r="E474" s="756" t="s">
        <v>1705</v>
      </c>
    </row>
    <row r="475" spans="1:5">
      <c r="A475" s="756" t="s">
        <v>1465</v>
      </c>
      <c r="B475" s="756" t="s">
        <v>5184</v>
      </c>
      <c r="D475" s="756" t="s">
        <v>5434</v>
      </c>
      <c r="E475" s="756" t="s">
        <v>1706</v>
      </c>
    </row>
    <row r="476" spans="1:5">
      <c r="A476" s="756" t="s">
        <v>1466</v>
      </c>
      <c r="B476" s="756" t="s">
        <v>5185</v>
      </c>
      <c r="D476" s="756" t="s">
        <v>5435</v>
      </c>
      <c r="E476" s="756" t="s">
        <v>1707</v>
      </c>
    </row>
    <row r="477" spans="1:5">
      <c r="A477" s="756" t="s">
        <v>1467</v>
      </c>
      <c r="B477" s="756" t="s">
        <v>5186</v>
      </c>
      <c r="D477" s="756" t="s">
        <v>5436</v>
      </c>
      <c r="E477" s="756" t="s">
        <v>4607</v>
      </c>
    </row>
    <row r="478" spans="1:5">
      <c r="A478" s="756" t="s">
        <v>1468</v>
      </c>
      <c r="B478" s="756" t="s">
        <v>5187</v>
      </c>
      <c r="D478" s="756" t="s">
        <v>5437</v>
      </c>
      <c r="E478" s="756" t="s">
        <v>1708</v>
      </c>
    </row>
    <row r="479" spans="1:5">
      <c r="A479" s="756" t="s">
        <v>1469</v>
      </c>
      <c r="B479" s="756" t="s">
        <v>5188</v>
      </c>
      <c r="D479" s="756" t="s">
        <v>5438</v>
      </c>
      <c r="E479" s="756" t="s">
        <v>1709</v>
      </c>
    </row>
    <row r="480" spans="1:5">
      <c r="A480" s="756" t="s">
        <v>1470</v>
      </c>
      <c r="B480" s="756" t="s">
        <v>5189</v>
      </c>
      <c r="D480" s="756" t="s">
        <v>5439</v>
      </c>
      <c r="E480" s="756" t="s">
        <v>1710</v>
      </c>
    </row>
    <row r="481" spans="1:5">
      <c r="A481" s="756" t="s">
        <v>1471</v>
      </c>
      <c r="B481" s="756" t="s">
        <v>5190</v>
      </c>
      <c r="D481" s="756" t="s">
        <v>5440</v>
      </c>
      <c r="E481" s="756" t="s">
        <v>1711</v>
      </c>
    </row>
    <row r="482" spans="1:5">
      <c r="A482" s="756" t="s">
        <v>1472</v>
      </c>
      <c r="B482" s="756" t="s">
        <v>5191</v>
      </c>
      <c r="D482" s="756" t="s">
        <v>5441</v>
      </c>
      <c r="E482" s="756" t="s">
        <v>1712</v>
      </c>
    </row>
    <row r="483" spans="1:5">
      <c r="A483" s="756" t="s">
        <v>1473</v>
      </c>
      <c r="B483" s="756" t="s">
        <v>5192</v>
      </c>
      <c r="D483" s="756" t="s">
        <v>5442</v>
      </c>
      <c r="E483" s="756" t="s">
        <v>1713</v>
      </c>
    </row>
    <row r="484" spans="1:5">
      <c r="A484" s="756" t="s">
        <v>1474</v>
      </c>
      <c r="B484" s="756" t="s">
        <v>5193</v>
      </c>
      <c r="D484" s="756" t="s">
        <v>5443</v>
      </c>
      <c r="E484" s="756" t="s">
        <v>1714</v>
      </c>
    </row>
    <row r="485" spans="1:5">
      <c r="A485" s="756" t="s">
        <v>1475</v>
      </c>
      <c r="B485" s="756" t="s">
        <v>5194</v>
      </c>
      <c r="D485" s="756" t="s">
        <v>5444</v>
      </c>
      <c r="E485" s="756" t="s">
        <v>1715</v>
      </c>
    </row>
    <row r="486" spans="1:5">
      <c r="A486" s="756" t="s">
        <v>1476</v>
      </c>
      <c r="B486" s="756" t="s">
        <v>5195</v>
      </c>
      <c r="D486" s="756" t="s">
        <v>5445</v>
      </c>
      <c r="E486" s="756" t="s">
        <v>1716</v>
      </c>
    </row>
    <row r="487" spans="1:5">
      <c r="A487" s="756" t="s">
        <v>4045</v>
      </c>
      <c r="B487" s="756" t="s">
        <v>5196</v>
      </c>
      <c r="D487" s="756" t="s">
        <v>5446</v>
      </c>
      <c r="E487" s="756" t="s">
        <v>1717</v>
      </c>
    </row>
    <row r="488" spans="1:5">
      <c r="A488" s="756" t="s">
        <v>4839</v>
      </c>
      <c r="B488" s="756" t="s">
        <v>5197</v>
      </c>
      <c r="D488" s="756" t="s">
        <v>5447</v>
      </c>
      <c r="E488" s="756" t="s">
        <v>1718</v>
      </c>
    </row>
    <row r="489" spans="1:5">
      <c r="A489" s="756" t="s">
        <v>4954</v>
      </c>
      <c r="B489" s="756" t="s">
        <v>5198</v>
      </c>
      <c r="D489" s="756" t="s">
        <v>5448</v>
      </c>
      <c r="E489" s="756" t="s">
        <v>1719</v>
      </c>
    </row>
  </sheetData>
  <sheetProtection algorithmName="SHA-512" hashValue="zGIP3MqBBmDZtD/dAkQTkhqlwMnjvoP1AVY5SO3S/YVMwQFloodkWiG3rLpQhYdH+y/MEQdQ6eEfW3z4f8pIMQ==" saltValue="kcD3S4jNBdI1vboDDyCQ5Q==" spinCount="100000" sheet="1" objects="1" scenarios="1"/>
  <pageMargins left="0.25" right="0.25" top="0.16" bottom="0.17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Q18"/>
  <sheetViews>
    <sheetView showGridLines="0" zoomScale="90" zoomScaleNormal="90" workbookViewId="0">
      <selection activeCell="P1" sqref="P1:Q1"/>
    </sheetView>
  </sheetViews>
  <sheetFormatPr baseColWidth="10" defaultRowHeight="14.25"/>
  <cols>
    <col min="1" max="1" width="5.85546875" style="218" customWidth="1"/>
    <col min="2" max="2" width="18" style="218" customWidth="1"/>
    <col min="3" max="17" width="8.140625" style="218" customWidth="1"/>
    <col min="18" max="16384" width="11.42578125" style="218"/>
  </cols>
  <sheetData>
    <row r="1" spans="1:17" ht="18">
      <c r="B1" s="610" t="s">
        <v>1954</v>
      </c>
      <c r="C1" s="568"/>
      <c r="D1" s="568"/>
      <c r="E1" s="568"/>
      <c r="F1" s="568"/>
      <c r="G1" s="568"/>
      <c r="H1" s="568"/>
      <c r="I1" s="568"/>
      <c r="J1" s="569"/>
      <c r="K1" s="569"/>
      <c r="L1" s="681"/>
      <c r="M1" s="681"/>
      <c r="N1" s="681"/>
      <c r="O1" s="681"/>
      <c r="P1" s="861">
        <f>IF('Portada 1-con Código Presup.'!$M$2="",'Portada 2-sin Código Presup.'!$K$1,'Portada 1-con Código Presup.'!$M$2)</f>
        <v>0</v>
      </c>
      <c r="Q1" s="862"/>
    </row>
    <row r="2" spans="1:17" ht="18">
      <c r="B2" s="610" t="s">
        <v>3473</v>
      </c>
      <c r="C2" s="568"/>
      <c r="D2" s="568"/>
      <c r="E2" s="568"/>
      <c r="F2" s="568"/>
      <c r="G2" s="568"/>
      <c r="H2" s="568"/>
      <c r="I2" s="568"/>
      <c r="J2" s="569"/>
      <c r="K2" s="569"/>
      <c r="L2" s="569"/>
      <c r="M2" s="569"/>
      <c r="N2" s="569"/>
      <c r="O2" s="569"/>
      <c r="P2" s="569"/>
      <c r="Q2" s="569"/>
    </row>
    <row r="3" spans="1:17" ht="18.75" thickBot="1">
      <c r="B3" s="386" t="s">
        <v>4579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</row>
    <row r="4" spans="1:17" ht="21" customHeight="1" thickTop="1" thickBot="1">
      <c r="B4" s="875" t="s">
        <v>4582</v>
      </c>
      <c r="C4" s="892" t="s">
        <v>3474</v>
      </c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</row>
    <row r="5" spans="1:17" ht="18" customHeight="1">
      <c r="B5" s="876"/>
      <c r="C5" s="871" t="s">
        <v>3468</v>
      </c>
      <c r="D5" s="872"/>
      <c r="E5" s="872"/>
      <c r="F5" s="871" t="s">
        <v>3469</v>
      </c>
      <c r="G5" s="872"/>
      <c r="H5" s="872"/>
      <c r="I5" s="871" t="s">
        <v>3446</v>
      </c>
      <c r="J5" s="872"/>
      <c r="K5" s="872"/>
      <c r="L5" s="871" t="s">
        <v>3470</v>
      </c>
      <c r="M5" s="872"/>
      <c r="N5" s="872"/>
      <c r="O5" s="873" t="s">
        <v>3471</v>
      </c>
      <c r="P5" s="874"/>
      <c r="Q5" s="874"/>
    </row>
    <row r="6" spans="1:17" ht="27.75" customHeight="1" thickBot="1">
      <c r="B6" s="877"/>
      <c r="C6" s="570" t="s">
        <v>0</v>
      </c>
      <c r="D6" s="571" t="s">
        <v>21</v>
      </c>
      <c r="E6" s="572" t="s">
        <v>20</v>
      </c>
      <c r="F6" s="570" t="s">
        <v>0</v>
      </c>
      <c r="G6" s="571" t="s">
        <v>21</v>
      </c>
      <c r="H6" s="572" t="s">
        <v>20</v>
      </c>
      <c r="I6" s="570" t="s">
        <v>0</v>
      </c>
      <c r="J6" s="571" t="s">
        <v>21</v>
      </c>
      <c r="K6" s="572" t="s">
        <v>20</v>
      </c>
      <c r="L6" s="570" t="s">
        <v>0</v>
      </c>
      <c r="M6" s="571" t="s">
        <v>21</v>
      </c>
      <c r="N6" s="572" t="s">
        <v>20</v>
      </c>
      <c r="O6" s="570" t="s">
        <v>0</v>
      </c>
      <c r="P6" s="571" t="s">
        <v>21</v>
      </c>
      <c r="Q6" s="573" t="s">
        <v>20</v>
      </c>
    </row>
    <row r="7" spans="1:17" ht="24.75" customHeight="1" thickTop="1">
      <c r="B7" s="415" t="s">
        <v>3467</v>
      </c>
      <c r="C7" s="574">
        <f>+D7+E7</f>
        <v>0</v>
      </c>
      <c r="D7" s="575"/>
      <c r="E7" s="575"/>
      <c r="F7" s="574">
        <f>+G7+H7</f>
        <v>0</v>
      </c>
      <c r="G7" s="575"/>
      <c r="H7" s="576"/>
      <c r="I7" s="574">
        <f>+J7+K7</f>
        <v>0</v>
      </c>
      <c r="J7" s="575"/>
      <c r="K7" s="576"/>
      <c r="L7" s="574">
        <f>+M7+N7</f>
        <v>0</v>
      </c>
      <c r="M7" s="575"/>
      <c r="N7" s="576"/>
      <c r="O7" s="574">
        <f>+P7+Q7</f>
        <v>0</v>
      </c>
      <c r="P7" s="575"/>
      <c r="Q7" s="577"/>
    </row>
    <row r="8" spans="1:17" ht="24.75" customHeight="1">
      <c r="B8" s="578" t="s">
        <v>3468</v>
      </c>
      <c r="C8" s="579">
        <f>+D8+E8</f>
        <v>0</v>
      </c>
      <c r="D8" s="580"/>
      <c r="E8" s="581"/>
      <c r="F8" s="439">
        <f>+G8+H8</f>
        <v>0</v>
      </c>
      <c r="G8" s="327"/>
      <c r="H8" s="582"/>
      <c r="I8" s="439">
        <f>+J8+K8</f>
        <v>0</v>
      </c>
      <c r="J8" s="327"/>
      <c r="K8" s="582"/>
      <c r="L8" s="439">
        <f>+M8+N8</f>
        <v>0</v>
      </c>
      <c r="M8" s="327"/>
      <c r="N8" s="582"/>
      <c r="O8" s="439">
        <f>+P8+Q8</f>
        <v>0</v>
      </c>
      <c r="P8" s="327"/>
      <c r="Q8" s="179"/>
    </row>
    <row r="9" spans="1:17" ht="24.75" customHeight="1">
      <c r="B9" s="578" t="s">
        <v>3469</v>
      </c>
      <c r="C9" s="173"/>
      <c r="D9" s="209"/>
      <c r="E9" s="583"/>
      <c r="F9" s="865">
        <f>+G9+H9</f>
        <v>0</v>
      </c>
      <c r="G9" s="885"/>
      <c r="H9" s="888"/>
      <c r="I9" s="439">
        <f>+J9+K9</f>
        <v>0</v>
      </c>
      <c r="J9" s="327"/>
      <c r="K9" s="582"/>
      <c r="L9" s="439">
        <f>+M9+N9</f>
        <v>0</v>
      </c>
      <c r="M9" s="327"/>
      <c r="N9" s="582"/>
      <c r="O9" s="439">
        <f>+P9+Q9</f>
        <v>0</v>
      </c>
      <c r="P9" s="327"/>
      <c r="Q9" s="179"/>
    </row>
    <row r="10" spans="1:17" ht="24.75" customHeight="1">
      <c r="B10" s="578" t="s">
        <v>3446</v>
      </c>
      <c r="C10" s="173"/>
      <c r="D10" s="209"/>
      <c r="E10" s="583"/>
      <c r="F10" s="866"/>
      <c r="G10" s="893"/>
      <c r="H10" s="894"/>
      <c r="I10" s="865">
        <f>+J11+K11</f>
        <v>0</v>
      </c>
      <c r="J10" s="885"/>
      <c r="K10" s="888"/>
      <c r="L10" s="439">
        <f>+M10+N10</f>
        <v>0</v>
      </c>
      <c r="M10" s="327"/>
      <c r="N10" s="582"/>
      <c r="O10" s="439">
        <f>+P10+Q10</f>
        <v>0</v>
      </c>
      <c r="P10" s="327"/>
      <c r="Q10" s="179"/>
    </row>
    <row r="11" spans="1:17" ht="24.75" customHeight="1" thickBot="1">
      <c r="B11" s="584" t="s">
        <v>3470</v>
      </c>
      <c r="C11" s="330"/>
      <c r="D11" s="534"/>
      <c r="E11" s="585"/>
      <c r="F11" s="867"/>
      <c r="G11" s="895"/>
      <c r="H11" s="896"/>
      <c r="I11" s="867"/>
      <c r="J11" s="895"/>
      <c r="K11" s="896"/>
      <c r="L11" s="897">
        <f>+M11+N11</f>
        <v>0</v>
      </c>
      <c r="M11" s="898"/>
      <c r="N11" s="899"/>
      <c r="O11" s="484">
        <f>+P11+Q11</f>
        <v>0</v>
      </c>
      <c r="P11" s="483"/>
      <c r="Q11" s="485"/>
    </row>
    <row r="12" spans="1:17" s="588" customFormat="1" ht="18.75" customHeight="1" thickTop="1">
      <c r="A12" s="586"/>
      <c r="B12" s="586"/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</row>
    <row r="13" spans="1:17" ht="18.75" customHeight="1">
      <c r="B13" s="265" t="s">
        <v>1202</v>
      </c>
    </row>
    <row r="14" spans="1:17" ht="18.75" customHeight="1">
      <c r="B14" s="829"/>
      <c r="C14" s="830"/>
      <c r="D14" s="830"/>
      <c r="E14" s="830"/>
      <c r="F14" s="830"/>
      <c r="G14" s="830"/>
      <c r="H14" s="830"/>
      <c r="I14" s="830"/>
      <c r="J14" s="830"/>
      <c r="K14" s="830"/>
      <c r="L14" s="830"/>
      <c r="M14" s="830"/>
      <c r="N14" s="830"/>
      <c r="O14" s="830"/>
      <c r="P14" s="830"/>
      <c r="Q14" s="831"/>
    </row>
    <row r="15" spans="1:17" ht="18.75" customHeight="1">
      <c r="B15" s="832"/>
      <c r="C15" s="833"/>
      <c r="D15" s="833"/>
      <c r="E15" s="833"/>
      <c r="F15" s="833"/>
      <c r="G15" s="833"/>
      <c r="H15" s="833"/>
      <c r="I15" s="833"/>
      <c r="J15" s="833"/>
      <c r="K15" s="833"/>
      <c r="L15" s="833"/>
      <c r="M15" s="833"/>
      <c r="N15" s="833"/>
      <c r="O15" s="833"/>
      <c r="P15" s="833"/>
      <c r="Q15" s="834"/>
    </row>
    <row r="16" spans="1:17" ht="18.75" customHeight="1">
      <c r="B16" s="832"/>
      <c r="C16" s="833"/>
      <c r="D16" s="833"/>
      <c r="E16" s="833"/>
      <c r="F16" s="833"/>
      <c r="G16" s="833"/>
      <c r="H16" s="833"/>
      <c r="I16" s="833"/>
      <c r="J16" s="833"/>
      <c r="K16" s="833"/>
      <c r="L16" s="833"/>
      <c r="M16" s="833"/>
      <c r="N16" s="833"/>
      <c r="O16" s="833"/>
      <c r="P16" s="833"/>
      <c r="Q16" s="834"/>
    </row>
    <row r="17" spans="2:17" ht="18.75" customHeight="1">
      <c r="B17" s="832"/>
      <c r="C17" s="833"/>
      <c r="D17" s="833"/>
      <c r="E17" s="833"/>
      <c r="F17" s="833"/>
      <c r="G17" s="833"/>
      <c r="H17" s="833"/>
      <c r="I17" s="833"/>
      <c r="J17" s="833"/>
      <c r="K17" s="833"/>
      <c r="L17" s="833"/>
      <c r="M17" s="833"/>
      <c r="N17" s="833"/>
      <c r="O17" s="833"/>
      <c r="P17" s="833"/>
      <c r="Q17" s="834"/>
    </row>
    <row r="18" spans="2:17" ht="18.75" customHeight="1">
      <c r="B18" s="835"/>
      <c r="C18" s="836"/>
      <c r="D18" s="836"/>
      <c r="E18" s="836"/>
      <c r="F18" s="836"/>
      <c r="G18" s="836"/>
      <c r="H18" s="836"/>
      <c r="I18" s="836"/>
      <c r="J18" s="836"/>
      <c r="K18" s="836"/>
      <c r="L18" s="836"/>
      <c r="M18" s="836"/>
      <c r="N18" s="836"/>
      <c r="O18" s="836"/>
      <c r="P18" s="836"/>
      <c r="Q18" s="837"/>
    </row>
  </sheetData>
  <sheetProtection algorithmName="SHA-512" hashValue="df71gi6GajYzhrQpgxM2+/B/lY2I6geo0Dx1QD2NXfEsWFW6yvX9pIJEg70bEyECqYrl0n+ouuT8Y/CGzR2ibQ==" saltValue="ZUhkf6fi5VHV9Yj1V9/uIg==" spinCount="100000" sheet="1" objects="1" scenarios="1"/>
  <mergeCells count="12">
    <mergeCell ref="P1:Q1"/>
    <mergeCell ref="B14:Q18"/>
    <mergeCell ref="C4:Q4"/>
    <mergeCell ref="F9:H11"/>
    <mergeCell ref="I10:K11"/>
    <mergeCell ref="L11:N11"/>
    <mergeCell ref="B4:B6"/>
    <mergeCell ref="C5:E5"/>
    <mergeCell ref="F5:H5"/>
    <mergeCell ref="I5:K5"/>
    <mergeCell ref="L5:N5"/>
    <mergeCell ref="O5:Q5"/>
  </mergeCells>
  <conditionalFormatting sqref="C7:C8 F7:F9 I7:I10 L7:L11 O7:O11">
    <cfRule type="cellIs" dxfId="201" priority="1" operator="equal">
      <formula>0</formula>
    </cfRule>
  </conditionalFormatting>
  <dataValidations count="1">
    <dataValidation type="whole" operator="greaterThanOrEqual" allowBlank="1" showInputMessage="1" showErrorMessage="1" sqref="C7:Q11">
      <formula1>0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scale="94" orientation="landscape" r:id="rId1"/>
  <headerFooter scaleWithDoc="0">
    <oddFooter>&amp;R&amp;"Goudy,Negrita Cursiva"Académica Diurna&amp;"Goudy,Cursiva", página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B1:H40"/>
  <sheetViews>
    <sheetView showGridLines="0" zoomScale="90" zoomScaleNormal="90" workbookViewId="0">
      <selection activeCell="F10" sqref="F10"/>
    </sheetView>
  </sheetViews>
  <sheetFormatPr baseColWidth="10" defaultRowHeight="14.25"/>
  <cols>
    <col min="1" max="1" width="5.140625" style="540" customWidth="1"/>
    <col min="2" max="2" width="83.28515625" style="540" customWidth="1"/>
    <col min="3" max="3" width="8.28515625" style="540" customWidth="1"/>
    <col min="4" max="4" width="4.28515625" style="540" customWidth="1"/>
    <col min="5" max="5" width="4.28515625" style="549" customWidth="1"/>
    <col min="6" max="6" width="12.28515625" style="540" customWidth="1"/>
    <col min="7" max="8" width="15.28515625" style="540" customWidth="1"/>
    <col min="9" max="16384" width="11.42578125" style="540"/>
  </cols>
  <sheetData>
    <row r="1" spans="2:8" ht="18" customHeight="1">
      <c r="B1" s="677" t="s">
        <v>3461</v>
      </c>
      <c r="E1" s="861">
        <f>IF('Portada 1-con Código Presup.'!$M$2="",'Portada 2-sin Código Presup.'!$K$1,'Portada 1-con Código Presup.'!$M$2)</f>
        <v>0</v>
      </c>
      <c r="F1" s="862"/>
      <c r="G1" s="751"/>
      <c r="H1" s="751"/>
    </row>
    <row r="2" spans="2:8" ht="18">
      <c r="B2" s="117" t="s">
        <v>4381</v>
      </c>
      <c r="C2" s="541"/>
      <c r="D2" s="541"/>
      <c r="E2" s="542"/>
      <c r="F2" s="541"/>
      <c r="G2" s="218"/>
      <c r="H2" s="218"/>
    </row>
    <row r="3" spans="2:8" ht="18">
      <c r="B3" s="117" t="s">
        <v>5688</v>
      </c>
      <c r="C3" s="541"/>
      <c r="D3" s="541"/>
      <c r="E3" s="542"/>
      <c r="F3" s="541"/>
      <c r="G3" s="218"/>
      <c r="H3" s="218"/>
    </row>
    <row r="4" spans="2:8" ht="18.75" thickBot="1">
      <c r="B4" s="117" t="s">
        <v>5687</v>
      </c>
      <c r="C4" s="157"/>
      <c r="D4" s="157"/>
      <c r="E4" s="543"/>
      <c r="F4" s="157"/>
      <c r="G4" s="218"/>
      <c r="H4" s="218"/>
    </row>
    <row r="5" spans="2:8" ht="19.5" customHeight="1" thickTop="1">
      <c r="B5" s="858" t="s">
        <v>1953</v>
      </c>
      <c r="C5" s="858"/>
      <c r="D5" s="730"/>
      <c r="E5" s="544"/>
      <c r="F5" s="902" t="s">
        <v>1951</v>
      </c>
      <c r="G5" s="218"/>
      <c r="H5" s="218"/>
    </row>
    <row r="6" spans="2:8" s="547" customFormat="1" ht="20.25" customHeight="1" thickBot="1">
      <c r="B6" s="859"/>
      <c r="C6" s="859"/>
      <c r="D6" s="731"/>
      <c r="E6" s="545"/>
      <c r="F6" s="903"/>
      <c r="G6" s="546"/>
      <c r="H6" s="546"/>
    </row>
    <row r="7" spans="2:8" s="549" customFormat="1" ht="22.5" customHeight="1" thickTop="1">
      <c r="B7" s="904" t="s">
        <v>960</v>
      </c>
      <c r="C7" s="904"/>
      <c r="D7" s="904"/>
      <c r="E7" s="905"/>
      <c r="F7" s="548">
        <f>SUM(F8:F33)</f>
        <v>0</v>
      </c>
      <c r="G7" s="891" t="str">
        <f>IF($F$7=('CUADRO 1'!E6),"","¡VERIFICAR!.  El total no coincide con el total del Cuadro 1.")</f>
        <v/>
      </c>
      <c r="H7" s="891"/>
    </row>
    <row r="8" spans="2:8" s="549" customFormat="1" ht="16.5" customHeight="1">
      <c r="B8" s="550"/>
      <c r="C8" s="61" t="str">
        <f>IFERROR(VLOOKUP(B8,ubicac,2,0),"")</f>
        <v/>
      </c>
      <c r="D8" s="732"/>
      <c r="E8" s="702" t="str">
        <f t="shared" ref="E8:E13" si="0">IF(AND(OR(F8&gt;0),(B8="")),"*",IF(AND(B8&lt;&gt;"",(F8=0)),"***",""))</f>
        <v/>
      </c>
      <c r="F8" s="551"/>
      <c r="G8" s="891"/>
      <c r="H8" s="891"/>
    </row>
    <row r="9" spans="2:8" s="549" customFormat="1" ht="16.5" customHeight="1">
      <c r="B9" s="552"/>
      <c r="C9" s="703" t="str">
        <f t="shared" ref="C9:C33" si="1">IFERROR(VLOOKUP(B9,ubicac,2,0),"")</f>
        <v/>
      </c>
      <c r="D9" s="510" t="str">
        <f>IF(C9="","",IF(OR(C9=C8),"R",""))</f>
        <v/>
      </c>
      <c r="E9" s="704" t="str">
        <f t="shared" si="0"/>
        <v/>
      </c>
      <c r="F9" s="553"/>
      <c r="G9" s="891"/>
      <c r="H9" s="891"/>
    </row>
    <row r="10" spans="2:8" s="549" customFormat="1" ht="16.5" customHeight="1">
      <c r="B10" s="552"/>
      <c r="C10" s="703" t="str">
        <f t="shared" si="1"/>
        <v/>
      </c>
      <c r="D10" s="510" t="str">
        <f>IF(C10="","",IF(OR(C10=C9,C10=C8),"R",""))</f>
        <v/>
      </c>
      <c r="E10" s="704" t="str">
        <f t="shared" si="0"/>
        <v/>
      </c>
      <c r="F10" s="553"/>
      <c r="G10" s="554"/>
      <c r="H10" s="554"/>
    </row>
    <row r="11" spans="2:8" s="549" customFormat="1" ht="16.5" customHeight="1">
      <c r="B11" s="552"/>
      <c r="C11" s="703" t="str">
        <f t="shared" si="1"/>
        <v/>
      </c>
      <c r="D11" s="510" t="str">
        <f>IF(C11="","",IF(OR(C11=C10,C11=C9,C11=C8),"R",""))</f>
        <v/>
      </c>
      <c r="E11" s="704" t="str">
        <f t="shared" si="0"/>
        <v/>
      </c>
      <c r="F11" s="553"/>
      <c r="G11" s="901" t="str">
        <f>IF(OR(E8="*",E9="*",E10="*",E11="*",E12="*",E13="*",E14="*",E15="*",E16="*",E17="*",E18="*",E19="*",E20="*",E21="*",E22="*",E23="*",E24="*",E25="*",E26="*",E27="*",E28="*",E29="*",E30="*",E31="*",E32="*",E33="*"),"* No ha seleccionado Provincia/Cantón/Distrito","")</f>
        <v/>
      </c>
      <c r="H11" s="901"/>
    </row>
    <row r="12" spans="2:8" s="549" customFormat="1" ht="16.5" customHeight="1">
      <c r="B12" s="552"/>
      <c r="C12" s="703" t="str">
        <f t="shared" si="1"/>
        <v/>
      </c>
      <c r="D12" s="510" t="str">
        <f>IF(C12="","",IF(OR(C12=C11,C12=C10,C12=C9,C12=C8),"R",""))</f>
        <v/>
      </c>
      <c r="E12" s="705" t="str">
        <f t="shared" si="0"/>
        <v/>
      </c>
      <c r="F12" s="553"/>
      <c r="G12" s="901"/>
      <c r="H12" s="901"/>
    </row>
    <row r="13" spans="2:8" s="549" customFormat="1" ht="16.5" customHeight="1">
      <c r="B13" s="552"/>
      <c r="C13" s="703" t="str">
        <f t="shared" si="1"/>
        <v/>
      </c>
      <c r="D13" s="510" t="str">
        <f>IF(C13="","",IF(OR(C13=C12,C13=C11,C13=C10,C13=C9,C13=C8),"R",""))</f>
        <v/>
      </c>
      <c r="E13" s="704" t="str">
        <f t="shared" si="0"/>
        <v/>
      </c>
      <c r="F13" s="553"/>
      <c r="G13" s="901"/>
      <c r="H13" s="901"/>
    </row>
    <row r="14" spans="2:8" s="549" customFormat="1" ht="16.5" customHeight="1">
      <c r="B14" s="552"/>
      <c r="C14" s="703" t="str">
        <f t="shared" si="1"/>
        <v/>
      </c>
      <c r="D14" s="510" t="str">
        <f>IF(C14="","",IF(OR(C14=C13,C14=C12,C14=C11,C14=C10,C14=C9,C14=C8),"R",""))</f>
        <v/>
      </c>
      <c r="E14" s="704" t="str">
        <f t="shared" ref="E14:E20" si="2">IF(AND(OR(F14&gt;0),(B14="")),"*",IF(AND(B14&lt;&gt;"",(F14=0)),"***",""))</f>
        <v/>
      </c>
      <c r="F14" s="553"/>
      <c r="H14" s="682"/>
    </row>
    <row r="15" spans="2:8" s="549" customFormat="1" ht="16.5" customHeight="1">
      <c r="B15" s="552"/>
      <c r="C15" s="703" t="str">
        <f t="shared" si="1"/>
        <v/>
      </c>
      <c r="D15" s="510" t="str">
        <f>IF(C15="","",IF(OR(C15=C14,C15=C13,C15=C12,C15=C11,C15=C10,C15=C9,C15=C8),"R",""))</f>
        <v/>
      </c>
      <c r="E15" s="704" t="str">
        <f t="shared" si="2"/>
        <v/>
      </c>
      <c r="F15" s="553"/>
      <c r="G15" s="900" t="str">
        <f>IF(OR(E8="***",E9="***",E10="***",E11="***",E12="***",E13="***",E14="***",E15="***",E16="***",E17="***",E18="***",E19="***",E20="***",E21="***",E22="***",E23="***",E24="***",E25="***",E26="***",E27="***",E28="***",E29="***",E30="***",E31="***",E32="***",E33="***"),"*** Digite la matrícula","")</f>
        <v/>
      </c>
      <c r="H15" s="900"/>
    </row>
    <row r="16" spans="2:8" s="549" customFormat="1" ht="16.5" customHeight="1">
      <c r="B16" s="552"/>
      <c r="C16" s="703" t="str">
        <f t="shared" si="1"/>
        <v/>
      </c>
      <c r="D16" s="510" t="str">
        <f>IF(C16="","",IF(OR(C16=C15,C16=C14,C16=C13,C16=C12,C16=C11,C16=C10,C16=C9,C16=C8),"R",""))</f>
        <v/>
      </c>
      <c r="E16" s="704" t="str">
        <f t="shared" si="2"/>
        <v/>
      </c>
      <c r="F16" s="553"/>
      <c r="G16" s="900"/>
      <c r="H16" s="900"/>
    </row>
    <row r="17" spans="2:8" s="549" customFormat="1" ht="16.5" customHeight="1">
      <c r="B17" s="552"/>
      <c r="C17" s="703" t="str">
        <f t="shared" si="1"/>
        <v/>
      </c>
      <c r="D17" s="510" t="str">
        <f>IF(C17="","",IF(OR(C17=C16,C17=C15,C17=C14,C17=C13,C17=C12,C17=C11,C17=C10,C17=C9,C17=C8),"R",""))</f>
        <v/>
      </c>
      <c r="E17" s="704" t="str">
        <f t="shared" si="2"/>
        <v/>
      </c>
      <c r="F17" s="553"/>
      <c r="G17" s="555"/>
      <c r="H17" s="555"/>
    </row>
    <row r="18" spans="2:8" s="549" customFormat="1" ht="16.5" customHeight="1">
      <c r="B18" s="552"/>
      <c r="C18" s="703" t="str">
        <f t="shared" si="1"/>
        <v/>
      </c>
      <c r="D18" s="510" t="str">
        <f>IF(C18="","",IF(OR(C18=C17,C18=C16,C18=C15,C18=C14,C18=C13,C18=C12,C18=C11,C18=C10,C18=C9,C18=C8),"R",""))</f>
        <v/>
      </c>
      <c r="E18" s="704" t="str">
        <f t="shared" si="2"/>
        <v/>
      </c>
      <c r="F18" s="553"/>
      <c r="G18" s="900" t="str">
        <f>IF(OR(D8="R",D9="R",D10="R",D11="R",D12="R",D13="R",D14="R",D15="R",D16="R",D17="R",D18="R",D19="R",D20="R",D21="R",D22="R",D23="R",D24="R",D25="R",D26="R",D27="R",D28="R",D29="R",D30="R",D31="R",D32="R",D33="R"),"R = Líneas repetidas","")</f>
        <v/>
      </c>
      <c r="H18" s="900"/>
    </row>
    <row r="19" spans="2:8" s="549" customFormat="1" ht="16.5" customHeight="1">
      <c r="B19" s="552"/>
      <c r="C19" s="703" t="str">
        <f t="shared" si="1"/>
        <v/>
      </c>
      <c r="D19" s="510" t="str">
        <f>IF(C19="","",IF(OR(C19=C18,C19=C17,C19=C16,C19=C15,C19=C14,C19=C13,C19=C12,C19=C11,C19=C10,C19=C9,C19=C8),"R",""))</f>
        <v/>
      </c>
      <c r="E19" s="704" t="str">
        <f t="shared" si="2"/>
        <v/>
      </c>
      <c r="F19" s="553"/>
      <c r="G19" s="900"/>
      <c r="H19" s="900"/>
    </row>
    <row r="20" spans="2:8" s="549" customFormat="1" ht="16.5" customHeight="1">
      <c r="B20" s="552"/>
      <c r="C20" s="703" t="str">
        <f t="shared" si="1"/>
        <v/>
      </c>
      <c r="D20" s="510" t="str">
        <f>IF(C20="","",IF(OR(C20=C19,C20=C18,C20=C17,C20=C16,C20=C15,C20=C14,C20=C13,C20=C12,C20=C11,C20=C10,C20=C9,C20=C8),"R",""))</f>
        <v/>
      </c>
      <c r="E20" s="704" t="str">
        <f t="shared" si="2"/>
        <v/>
      </c>
      <c r="F20" s="553"/>
      <c r="G20" s="556"/>
      <c r="H20" s="556"/>
    </row>
    <row r="21" spans="2:8" s="549" customFormat="1" ht="16.5" customHeight="1">
      <c r="B21" s="552"/>
      <c r="C21" s="703" t="str">
        <f t="shared" ref="C21:C31" si="3">IFERROR(VLOOKUP(B21,ubicac,2,0),"")</f>
        <v/>
      </c>
      <c r="D21" s="510" t="str">
        <f>IF(C21="","",IF(OR(C21=C20,C21=C19,C21=C18,C21=C17,C21=C16,C21=C15,C21=C14,C21=C13,C21=C12,C21=C11,C21=C10,C21=C9,C21=C8),"R",""))</f>
        <v/>
      </c>
      <c r="E21" s="704" t="str">
        <f t="shared" ref="E21:E31" si="4">IF(AND(OR(F21&gt;0),(B21="")),"*",IF(AND(B21&lt;&gt;"",(F21=0)),"***",""))</f>
        <v/>
      </c>
      <c r="F21" s="553"/>
      <c r="G21" s="557"/>
      <c r="H21" s="557"/>
    </row>
    <row r="22" spans="2:8" s="549" customFormat="1" ht="16.5" customHeight="1">
      <c r="B22" s="552"/>
      <c r="C22" s="703" t="str">
        <f t="shared" si="3"/>
        <v/>
      </c>
      <c r="D22" s="510" t="str">
        <f>IF(C22="","",IF(OR(C22=C21,C22=C20,C22=C19,C22=C18,C22=C17,C22=C16,C22=C15,C22=C14,C22=C13,C22=C12,C22=C11,C22=C10,C22=C9,C22=C8),"R",""))</f>
        <v/>
      </c>
      <c r="E22" s="704" t="str">
        <f t="shared" si="4"/>
        <v/>
      </c>
      <c r="F22" s="553"/>
      <c r="G22" s="556"/>
      <c r="H22" s="556"/>
    </row>
    <row r="23" spans="2:8" s="549" customFormat="1" ht="16.5" customHeight="1">
      <c r="B23" s="552"/>
      <c r="C23" s="703" t="str">
        <f t="shared" si="3"/>
        <v/>
      </c>
      <c r="D23" s="510" t="str">
        <f>IF(C23="","",IF(OR(C23=C22,C23=C21,C23=C20,C23=C19,C23=C18,C23=C17,C23=C16,C23=C15,C23=C14,C23=C13,C23=C12,C23=C11,C23=C10,C23=C9,C23=C8),"R",""))</f>
        <v/>
      </c>
      <c r="E23" s="704" t="str">
        <f t="shared" si="4"/>
        <v/>
      </c>
      <c r="F23" s="553"/>
      <c r="G23" s="556"/>
      <c r="H23" s="556"/>
    </row>
    <row r="24" spans="2:8" s="549" customFormat="1" ht="16.5" customHeight="1">
      <c r="B24" s="552"/>
      <c r="C24" s="703" t="str">
        <f t="shared" si="3"/>
        <v/>
      </c>
      <c r="D24" s="510" t="str">
        <f>IF(C24="","",IF(OR(C24=C23,C24=C22,C24=C21,C24=C20,C24=C19,C24=C18,C24=C17,C24=C16,C24=C15,C24=C14,C24=C13,C24=C12,C24=C11,C24=C10,C24=C9,C24=C8),"R",""))</f>
        <v/>
      </c>
      <c r="E24" s="704" t="str">
        <f t="shared" si="4"/>
        <v/>
      </c>
      <c r="F24" s="553"/>
      <c r="G24" s="556"/>
      <c r="H24" s="556"/>
    </row>
    <row r="25" spans="2:8" s="549" customFormat="1" ht="16.5" customHeight="1">
      <c r="B25" s="552"/>
      <c r="C25" s="703" t="str">
        <f t="shared" si="3"/>
        <v/>
      </c>
      <c r="D25" s="510" t="str">
        <f>IF(C25="","",IF(OR(C25=C24,C25=C23,C25=C22,C25=C21,C25=C20,C25=C19,C25=C18,C25=C17,C25=C16,C25=C15,C25=C14,C25=C13,C25=C12,C25=C11,C25=C10,C25=C9,C25=C8),"R",""))</f>
        <v/>
      </c>
      <c r="E25" s="704" t="str">
        <f t="shared" si="4"/>
        <v/>
      </c>
      <c r="F25" s="553"/>
      <c r="G25" s="556"/>
      <c r="H25" s="556"/>
    </row>
    <row r="26" spans="2:8" s="549" customFormat="1" ht="16.5" customHeight="1">
      <c r="B26" s="552"/>
      <c r="C26" s="703" t="str">
        <f t="shared" si="3"/>
        <v/>
      </c>
      <c r="D26" s="510" t="str">
        <f>IF(C26="","",IF(OR(C26=C25,C26=C24,C26=C23,C26=C22,C26=C21,C26=C20,C26=C19,C26=C18,C26=C17,C26=C16,C26=C15,C26=C14,C26=C13,C26=C12,C26=C11,C26=C10,C26=C9,C26=C8),"R",""))</f>
        <v/>
      </c>
      <c r="E26" s="704" t="str">
        <f t="shared" si="4"/>
        <v/>
      </c>
      <c r="F26" s="553"/>
      <c r="G26" s="556"/>
      <c r="H26" s="556"/>
    </row>
    <row r="27" spans="2:8" s="549" customFormat="1" ht="16.5" customHeight="1">
      <c r="B27" s="552"/>
      <c r="C27" s="703" t="str">
        <f t="shared" si="3"/>
        <v/>
      </c>
      <c r="D27" s="510" t="str">
        <f>IF(C27="","",IF(OR(C27=C26,C27=C25,C27=C24,C27=C23,C27=C22,C27=C21,C27=C20,C27=C19,C27=C18,C27=C17,C27=C16,C27=C15,C27=C14,C27=C13,C27=C12,C27=C11,C27=C10,C27=C9,C27=C8),"R",""))</f>
        <v/>
      </c>
      <c r="E27" s="704" t="str">
        <f t="shared" si="4"/>
        <v/>
      </c>
      <c r="F27" s="553"/>
      <c r="G27" s="556"/>
      <c r="H27" s="556"/>
    </row>
    <row r="28" spans="2:8" s="549" customFormat="1" ht="16.5" customHeight="1">
      <c r="B28" s="552"/>
      <c r="C28" s="703" t="str">
        <f t="shared" si="3"/>
        <v/>
      </c>
      <c r="D28" s="510" t="str">
        <f>IF(C28="","",IF(OR(C28=C27,C28=C26,C28=C25,C28=C24,C28=C23,C28=C22,C28=C21,C28=C20,C28=C19,C28=C18,C28=C17,C28=C16,C28=C15,C28=C14,C28=C13,C28=C12,C28=C11,C28=C10,C28=C9,C28=C8),"R",""))</f>
        <v/>
      </c>
      <c r="E28" s="704" t="str">
        <f t="shared" si="4"/>
        <v/>
      </c>
      <c r="F28" s="553"/>
      <c r="G28" s="556"/>
      <c r="H28" s="556"/>
    </row>
    <row r="29" spans="2:8" s="549" customFormat="1" ht="16.5" customHeight="1">
      <c r="B29" s="552"/>
      <c r="C29" s="703" t="str">
        <f t="shared" si="3"/>
        <v/>
      </c>
      <c r="D29" s="510" t="str">
        <f>IF(C29="","",IF(OR(C29=C28,C29=C27,C29=C26,C29=C25,C29=C24,C29=C23,C29=C22,C29=C21,C29=C20,C29=C19,C29=C18,C29=C17,C29=C16,C29=C15,C29=C14,C29=C13,C29=C12,C29=C11,C29=C10,C29=C9,C29=C8),"R",""))</f>
        <v/>
      </c>
      <c r="E29" s="704" t="str">
        <f t="shared" si="4"/>
        <v/>
      </c>
      <c r="F29" s="553"/>
      <c r="G29" s="556"/>
      <c r="H29" s="556"/>
    </row>
    <row r="30" spans="2:8" ht="16.5" customHeight="1">
      <c r="B30" s="552"/>
      <c r="C30" s="703" t="str">
        <f t="shared" si="3"/>
        <v/>
      </c>
      <c r="D30" s="510" t="str">
        <f>IF(C30="","",IF(OR(C30=C29,C30=C28,C30=C27,C30=C26,C30=C25,C30=C24,C30=C23,C30=C22,C30=C21,C30=C20,C30=C19,C30=C18,C30=C17,C30=C16,C30=C15,C30=C14,C30=C13,C30=C12,C30=C11,C30=C10,C30=C9,C30=C8),"R",""))</f>
        <v/>
      </c>
      <c r="E30" s="704" t="str">
        <f t="shared" si="4"/>
        <v/>
      </c>
      <c r="F30" s="558"/>
      <c r="G30" s="559"/>
      <c r="H30" s="560"/>
    </row>
    <row r="31" spans="2:8" ht="16.5" customHeight="1">
      <c r="B31" s="552"/>
      <c r="C31" s="703" t="str">
        <f t="shared" si="3"/>
        <v/>
      </c>
      <c r="D31" s="510" t="str">
        <f>IF(C31="","",IF(OR(C31=C30,C31=C29,C31=C28,C31=C27,C31=C26,C31=C25,C31=C24,C31=C23,C31=C22,C31=C21,C31=C20,C31=C19,C31=C18,C31=C17,C31=C16,C31=C15,C31=C14,C31=C13,C31=C12,C31=C11,C31=C10,C31=C9,C31=C8),"R",""))</f>
        <v/>
      </c>
      <c r="E31" s="704" t="str">
        <f t="shared" si="4"/>
        <v/>
      </c>
      <c r="F31" s="558"/>
      <c r="G31" s="560"/>
      <c r="H31" s="560"/>
    </row>
    <row r="32" spans="2:8" ht="16.5" customHeight="1">
      <c r="B32" s="552"/>
      <c r="C32" s="703" t="str">
        <f t="shared" si="1"/>
        <v/>
      </c>
      <c r="D32" s="510" t="str">
        <f>IF(C32="","",IF(OR(C32=C31,C32=C30,C32=C29,C32=C28,C32=C27,C32=C26,C32=C25,C32=C24,C32=C23,C32=C22,C32=C21,C32=C20,C32=C19,C32=C18,C32=C17,C32=C16,C32=C15,C32=C14,C32=C13,C32=C12,C32=C11,C32=C10,C32=C9,C32=C8),"R",""))</f>
        <v/>
      </c>
      <c r="E32" s="704" t="str">
        <f>IF(AND(OR(F32&gt;0),(B32="")),"*",IF(AND(B32&lt;&gt;"",(F32=0)),"***",""))</f>
        <v/>
      </c>
      <c r="F32" s="558"/>
      <c r="G32" s="560"/>
      <c r="H32" s="560"/>
    </row>
    <row r="33" spans="2:8" ht="16.5" customHeight="1" thickBot="1">
      <c r="B33" s="561"/>
      <c r="C33" s="706" t="str">
        <f t="shared" si="1"/>
        <v/>
      </c>
      <c r="D33" s="733" t="str">
        <f>IF(C33="","",IF(OR(C33=C32,C33=C31,C33=C30,C33=C29,C33=C28,C33=C27,C33=C26,C33=C25,C33=C24,C33=C23,C33=C22,C33=C21,C33=C20,C33=C19,C33=C18,C33=C17,C33=C16,C33=C15,C33=C14,C33=C13,C33=C12,C33=C11,C33=C10,C33=C9,C33=C8),"R",""))</f>
        <v/>
      </c>
      <c r="E33" s="707" t="str">
        <f>IF(AND(OR(F33&gt;0),(B33="")),"*",IF(AND(B33&lt;&gt;"",(F33=0)),"***",""))</f>
        <v/>
      </c>
      <c r="F33" s="562"/>
      <c r="G33" s="560"/>
      <c r="H33" s="560"/>
    </row>
    <row r="34" spans="2:8" s="565" customFormat="1" ht="16.5" customHeight="1" thickTop="1">
      <c r="B34" s="175" t="s">
        <v>3775</v>
      </c>
      <c r="C34" s="563"/>
      <c r="D34" s="563"/>
      <c r="E34" s="564"/>
      <c r="F34" s="564"/>
    </row>
    <row r="35" spans="2:8" s="565" customFormat="1" ht="16.5" customHeight="1">
      <c r="B35" s="566"/>
      <c r="C35" s="563"/>
      <c r="D35" s="563"/>
      <c r="E35" s="564"/>
      <c r="F35" s="564"/>
    </row>
    <row r="36" spans="2:8" ht="15.75">
      <c r="B36" s="537" t="s">
        <v>1202</v>
      </c>
      <c r="C36" s="218"/>
      <c r="D36" s="218"/>
      <c r="E36" s="567"/>
      <c r="F36" s="218"/>
    </row>
    <row r="37" spans="2:8" ht="15" customHeight="1">
      <c r="B37" s="829"/>
      <c r="C37" s="830"/>
      <c r="D37" s="830"/>
      <c r="E37" s="830"/>
      <c r="F37" s="831"/>
    </row>
    <row r="38" spans="2:8" ht="15" customHeight="1">
      <c r="B38" s="832"/>
      <c r="C38" s="833"/>
      <c r="D38" s="833"/>
      <c r="E38" s="833"/>
      <c r="F38" s="834"/>
    </row>
    <row r="39" spans="2:8" ht="15" customHeight="1">
      <c r="B39" s="832"/>
      <c r="C39" s="833"/>
      <c r="D39" s="833"/>
      <c r="E39" s="833"/>
      <c r="F39" s="834"/>
    </row>
    <row r="40" spans="2:8" ht="18" customHeight="1">
      <c r="B40" s="835"/>
      <c r="C40" s="836"/>
      <c r="D40" s="836"/>
      <c r="E40" s="836"/>
      <c r="F40" s="837"/>
    </row>
  </sheetData>
  <sheetProtection sheet="1" objects="1" scenarios="1" insertRows="0" deleteRows="0"/>
  <mergeCells count="9">
    <mergeCell ref="E1:F1"/>
    <mergeCell ref="G15:H16"/>
    <mergeCell ref="G11:H13"/>
    <mergeCell ref="B37:F40"/>
    <mergeCell ref="B5:C6"/>
    <mergeCell ref="F5:F6"/>
    <mergeCell ref="B7:E7"/>
    <mergeCell ref="G7:H9"/>
    <mergeCell ref="G18:H19"/>
  </mergeCells>
  <conditionalFormatting sqref="F7">
    <cfRule type="cellIs" dxfId="200" priority="7" operator="equal">
      <formula>0</formula>
    </cfRule>
  </conditionalFormatting>
  <conditionalFormatting sqref="E8:E33">
    <cfRule type="cellIs" dxfId="199" priority="6" operator="equal">
      <formula>"Error!"</formula>
    </cfRule>
  </conditionalFormatting>
  <conditionalFormatting sqref="G18:H19">
    <cfRule type="notContainsBlanks" dxfId="198" priority="4">
      <formula>LEN(TRIM(G18))&gt;0</formula>
    </cfRule>
  </conditionalFormatting>
  <conditionalFormatting sqref="G15:H16">
    <cfRule type="notContainsBlanks" dxfId="197" priority="3">
      <formula>LEN(TRIM(G15))&gt;0</formula>
    </cfRule>
  </conditionalFormatting>
  <conditionalFormatting sqref="G11:H13">
    <cfRule type="notContainsBlanks" dxfId="196" priority="2">
      <formula>LEN(TRIM(G11))&gt;0</formula>
    </cfRule>
  </conditionalFormatting>
  <conditionalFormatting sqref="G7:H9">
    <cfRule type="notContainsBlanks" dxfId="195" priority="1">
      <formula>LEN(TRIM(G7))&gt;0</formula>
    </cfRule>
  </conditionalFormatting>
  <dataValidations count="2">
    <dataValidation type="list" allowBlank="1" showInputMessage="1" showErrorMessage="1" sqref="B8:B33">
      <formula1>ubic</formula1>
    </dataValidation>
    <dataValidation type="whole" operator="greaterThanOrEqual" allowBlank="1" showInputMessage="1" showErrorMessage="1" sqref="F7:F33">
      <formula1>0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scale="88" orientation="landscape" r:id="rId1"/>
  <headerFooter scaleWithDoc="0">
    <oddFooter>&amp;R&amp;"Goudy,Negrita Cursiva"Académica Diurna&amp;"Goudy,Cursiva", página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1:N41"/>
  <sheetViews>
    <sheetView showGridLines="0" showRuler="0" zoomScale="90" zoomScaleNormal="90" zoomScalePageLayoutView="90" workbookViewId="0">
      <selection activeCell="F7" sqref="F7"/>
    </sheetView>
  </sheetViews>
  <sheetFormatPr baseColWidth="10" defaultRowHeight="14.25"/>
  <cols>
    <col min="1" max="1" width="4.7109375" style="218" customWidth="1"/>
    <col min="2" max="2" width="4" style="539" customWidth="1"/>
    <col min="3" max="3" width="36.5703125" style="218" customWidth="1"/>
    <col min="4" max="4" width="5.28515625" style="538" customWidth="1"/>
    <col min="5" max="13" width="9.5703125" style="218" customWidth="1"/>
    <col min="14" max="14" width="20.85546875" style="218" customWidth="1"/>
    <col min="15" max="16384" width="11.42578125" style="218"/>
  </cols>
  <sheetData>
    <row r="1" spans="2:14" ht="18" customHeight="1">
      <c r="B1" s="677" t="s">
        <v>1955</v>
      </c>
      <c r="C1" s="413"/>
      <c r="D1" s="727"/>
      <c r="E1" s="496"/>
      <c r="F1" s="496"/>
      <c r="G1" s="496"/>
      <c r="H1" s="496"/>
      <c r="I1" s="752"/>
      <c r="J1" s="752"/>
      <c r="K1" s="752"/>
      <c r="L1" s="861">
        <f>IF('Portada 1-con Código Presup.'!$M$2="",'Portada 2-sin Código Presup.'!$K$1,'Portada 1-con Código Presup.'!$M$2)</f>
        <v>0</v>
      </c>
      <c r="M1" s="862"/>
    </row>
    <row r="2" spans="2:14" ht="18">
      <c r="B2" s="117" t="s">
        <v>4956</v>
      </c>
      <c r="C2" s="414"/>
      <c r="D2" s="543"/>
      <c r="E2" s="414"/>
      <c r="F2" s="414"/>
      <c r="G2" s="414"/>
      <c r="H2" s="414"/>
      <c r="I2" s="414"/>
      <c r="J2" s="414"/>
      <c r="K2" s="414"/>
      <c r="L2" s="414"/>
      <c r="M2" s="414"/>
    </row>
    <row r="3" spans="2:14" ht="24" customHeight="1" thickBot="1">
      <c r="B3" s="117" t="s">
        <v>5689</v>
      </c>
      <c r="C3" s="497"/>
      <c r="D3" s="728"/>
      <c r="E3" s="497"/>
      <c r="F3" s="497"/>
      <c r="G3" s="497"/>
      <c r="H3" s="497"/>
      <c r="I3" s="497"/>
      <c r="J3" s="497"/>
      <c r="K3" s="497"/>
      <c r="L3" s="497"/>
      <c r="M3" s="497"/>
    </row>
    <row r="4" spans="2:14" ht="33" customHeight="1" thickTop="1">
      <c r="B4" s="858" t="s">
        <v>4957</v>
      </c>
      <c r="C4" s="858"/>
      <c r="D4" s="725"/>
      <c r="E4" s="906" t="s">
        <v>4958</v>
      </c>
      <c r="F4" s="907"/>
      <c r="G4" s="907"/>
      <c r="H4" s="908" t="s">
        <v>4382</v>
      </c>
      <c r="I4" s="907"/>
      <c r="J4" s="909"/>
      <c r="K4" s="908" t="s">
        <v>4383</v>
      </c>
      <c r="L4" s="907"/>
      <c r="M4" s="907"/>
    </row>
    <row r="5" spans="2:14" ht="23.25" customHeight="1" thickBot="1">
      <c r="B5" s="859"/>
      <c r="C5" s="859"/>
      <c r="D5" s="726"/>
      <c r="E5" s="416" t="s">
        <v>0</v>
      </c>
      <c r="F5" s="498" t="s">
        <v>883</v>
      </c>
      <c r="G5" s="418" t="s">
        <v>884</v>
      </c>
      <c r="H5" s="423" t="s">
        <v>0</v>
      </c>
      <c r="I5" s="498" t="s">
        <v>883</v>
      </c>
      <c r="J5" s="499" t="s">
        <v>884</v>
      </c>
      <c r="K5" s="418" t="s">
        <v>0</v>
      </c>
      <c r="L5" s="498" t="s">
        <v>883</v>
      </c>
      <c r="M5" s="418" t="s">
        <v>884</v>
      </c>
    </row>
    <row r="6" spans="2:14" ht="18" customHeight="1" thickTop="1" thickBot="1">
      <c r="B6" s="910" t="s">
        <v>0</v>
      </c>
      <c r="C6" s="910"/>
      <c r="D6" s="729" t="str">
        <f>IF(OR(F6&gt;'CUADRO 1'!F6,G6&gt;'CUADRO 1'!G6),"/*/","")</f>
        <v/>
      </c>
      <c r="E6" s="500">
        <f>+F6+G6</f>
        <v>0</v>
      </c>
      <c r="F6" s="501">
        <f>SUM(F7:F35)</f>
        <v>0</v>
      </c>
      <c r="G6" s="502">
        <f>SUM(G7:G35)</f>
        <v>0</v>
      </c>
      <c r="H6" s="503">
        <f>+I6+J6</f>
        <v>0</v>
      </c>
      <c r="I6" s="501">
        <f>SUM(I7:I35)</f>
        <v>0</v>
      </c>
      <c r="J6" s="504">
        <f>SUM(J7:J35)</f>
        <v>0</v>
      </c>
      <c r="K6" s="502">
        <f>+L6+M6</f>
        <v>0</v>
      </c>
      <c r="L6" s="501">
        <f>SUM(L7:L35)</f>
        <v>0</v>
      </c>
      <c r="M6" s="502">
        <f>SUM(M7:M35)</f>
        <v>0</v>
      </c>
      <c r="N6" s="900" t="str">
        <f>IF(D6="/*/","/*/ El dato indicado en Extranjeros (hombres o mujres) es mayor al total de Académica Diurna del Cuadro 1.","")</f>
        <v/>
      </c>
    </row>
    <row r="7" spans="2:14" ht="18" customHeight="1">
      <c r="B7" s="505" t="s">
        <v>978</v>
      </c>
      <c r="C7" s="506" t="s">
        <v>1024</v>
      </c>
      <c r="D7" s="507" t="str">
        <f>IF(OR(I7&gt;F7,L7&gt;F7,J7&gt;G7,M7&gt;G7),"**","")</f>
        <v/>
      </c>
      <c r="E7" s="173">
        <f>+F7+G7</f>
        <v>0</v>
      </c>
      <c r="F7" s="323"/>
      <c r="G7" s="324"/>
      <c r="H7" s="436">
        <f>+I7+J7</f>
        <v>0</v>
      </c>
      <c r="I7" s="323"/>
      <c r="J7" s="435"/>
      <c r="K7" s="209">
        <f>+L7+M7</f>
        <v>0</v>
      </c>
      <c r="L7" s="323"/>
      <c r="M7" s="324"/>
      <c r="N7" s="900"/>
    </row>
    <row r="8" spans="2:14" ht="18" customHeight="1">
      <c r="B8" s="508" t="s">
        <v>979</v>
      </c>
      <c r="C8" s="509" t="s">
        <v>1010</v>
      </c>
      <c r="D8" s="510" t="str">
        <f t="shared" ref="D8:D35" si="0">IF(OR(I8&gt;F8,L8&gt;F8,J8&gt;G8,M8&gt;G8),"**","")</f>
        <v/>
      </c>
      <c r="E8" s="326">
        <f>+F8+G8</f>
        <v>0</v>
      </c>
      <c r="F8" s="327"/>
      <c r="G8" s="328"/>
      <c r="H8" s="442">
        <f>+I8+J8</f>
        <v>0</v>
      </c>
      <c r="I8" s="327"/>
      <c r="J8" s="441"/>
      <c r="K8" s="511">
        <f>+L8+M8</f>
        <v>0</v>
      </c>
      <c r="L8" s="327"/>
      <c r="M8" s="328"/>
      <c r="N8" s="900"/>
    </row>
    <row r="9" spans="2:14" ht="18" customHeight="1">
      <c r="B9" s="508" t="s">
        <v>980</v>
      </c>
      <c r="C9" s="509" t="s">
        <v>1022</v>
      </c>
      <c r="D9" s="510" t="str">
        <f t="shared" si="0"/>
        <v/>
      </c>
      <c r="E9" s="326">
        <f t="shared" ref="E9:E35" si="1">+F9+G9</f>
        <v>0</v>
      </c>
      <c r="F9" s="327"/>
      <c r="G9" s="328"/>
      <c r="H9" s="442">
        <f t="shared" ref="H9:H35" si="2">+I9+J9</f>
        <v>0</v>
      </c>
      <c r="I9" s="327"/>
      <c r="J9" s="441"/>
      <c r="K9" s="511">
        <f t="shared" ref="K9:K35" si="3">+L9+M9</f>
        <v>0</v>
      </c>
      <c r="L9" s="327"/>
      <c r="M9" s="328"/>
      <c r="N9" s="900"/>
    </row>
    <row r="10" spans="2:14" ht="18" customHeight="1">
      <c r="B10" s="508" t="s">
        <v>981</v>
      </c>
      <c r="C10" s="509" t="s">
        <v>1027</v>
      </c>
      <c r="D10" s="510" t="str">
        <f t="shared" si="0"/>
        <v/>
      </c>
      <c r="E10" s="326">
        <f t="shared" si="1"/>
        <v>0</v>
      </c>
      <c r="F10" s="327"/>
      <c r="G10" s="328"/>
      <c r="H10" s="442">
        <f t="shared" si="2"/>
        <v>0</v>
      </c>
      <c r="I10" s="327"/>
      <c r="J10" s="441"/>
      <c r="K10" s="511">
        <f t="shared" si="3"/>
        <v>0</v>
      </c>
      <c r="L10" s="327"/>
      <c r="M10" s="328"/>
      <c r="N10" s="900"/>
    </row>
    <row r="11" spans="2:14" ht="18" customHeight="1">
      <c r="B11" s="508" t="s">
        <v>982</v>
      </c>
      <c r="C11" s="509" t="s">
        <v>1007</v>
      </c>
      <c r="D11" s="510" t="str">
        <f t="shared" si="0"/>
        <v/>
      </c>
      <c r="E11" s="326">
        <f t="shared" si="1"/>
        <v>0</v>
      </c>
      <c r="F11" s="327"/>
      <c r="G11" s="328"/>
      <c r="H11" s="442">
        <f t="shared" si="2"/>
        <v>0</v>
      </c>
      <c r="I11" s="327"/>
      <c r="J11" s="441"/>
      <c r="K11" s="511">
        <f t="shared" si="3"/>
        <v>0</v>
      </c>
      <c r="L11" s="327"/>
      <c r="M11" s="328"/>
      <c r="N11" s="900"/>
    </row>
    <row r="12" spans="2:14" ht="18" customHeight="1">
      <c r="B12" s="508" t="s">
        <v>983</v>
      </c>
      <c r="C12" s="509" t="s">
        <v>1023</v>
      </c>
      <c r="D12" s="510" t="str">
        <f t="shared" si="0"/>
        <v/>
      </c>
      <c r="E12" s="326">
        <f t="shared" si="1"/>
        <v>0</v>
      </c>
      <c r="F12" s="327"/>
      <c r="G12" s="328"/>
      <c r="H12" s="442">
        <f t="shared" si="2"/>
        <v>0</v>
      </c>
      <c r="I12" s="327"/>
      <c r="J12" s="441"/>
      <c r="K12" s="511">
        <f t="shared" si="3"/>
        <v>0</v>
      </c>
      <c r="L12" s="327"/>
      <c r="M12" s="328"/>
      <c r="N12" s="900"/>
    </row>
    <row r="13" spans="2:14" ht="18" customHeight="1">
      <c r="B13" s="508" t="s">
        <v>984</v>
      </c>
      <c r="C13" s="509" t="s">
        <v>1019</v>
      </c>
      <c r="D13" s="510" t="str">
        <f t="shared" si="0"/>
        <v/>
      </c>
      <c r="E13" s="326">
        <f t="shared" si="1"/>
        <v>0</v>
      </c>
      <c r="F13" s="327"/>
      <c r="G13" s="328"/>
      <c r="H13" s="442">
        <f t="shared" si="2"/>
        <v>0</v>
      </c>
      <c r="I13" s="327"/>
      <c r="J13" s="441"/>
      <c r="K13" s="511">
        <f t="shared" si="3"/>
        <v>0</v>
      </c>
      <c r="L13" s="327"/>
      <c r="M13" s="328"/>
      <c r="N13" s="900"/>
    </row>
    <row r="14" spans="2:14" s="109" customFormat="1" ht="18" customHeight="1">
      <c r="B14" s="508" t="s">
        <v>985</v>
      </c>
      <c r="C14" s="509" t="s">
        <v>1016</v>
      </c>
      <c r="D14" s="510" t="str">
        <f t="shared" si="0"/>
        <v/>
      </c>
      <c r="E14" s="326">
        <f t="shared" si="1"/>
        <v>0</v>
      </c>
      <c r="F14" s="327"/>
      <c r="G14" s="328"/>
      <c r="H14" s="442">
        <f t="shared" si="2"/>
        <v>0</v>
      </c>
      <c r="I14" s="327"/>
      <c r="J14" s="441"/>
      <c r="K14" s="511">
        <f t="shared" si="3"/>
        <v>0</v>
      </c>
      <c r="L14" s="327"/>
      <c r="M14" s="328"/>
      <c r="N14" s="622"/>
    </row>
    <row r="15" spans="2:14" s="109" customFormat="1" ht="18" customHeight="1">
      <c r="B15" s="512" t="s">
        <v>986</v>
      </c>
      <c r="C15" s="509" t="s">
        <v>1020</v>
      </c>
      <c r="D15" s="510" t="str">
        <f t="shared" si="0"/>
        <v/>
      </c>
      <c r="E15" s="326">
        <f t="shared" si="1"/>
        <v>0</v>
      </c>
      <c r="F15" s="327"/>
      <c r="G15" s="328"/>
      <c r="H15" s="442">
        <f t="shared" si="2"/>
        <v>0</v>
      </c>
      <c r="I15" s="327"/>
      <c r="J15" s="441"/>
      <c r="K15" s="511">
        <f t="shared" si="3"/>
        <v>0</v>
      </c>
      <c r="L15" s="327"/>
      <c r="M15" s="328"/>
      <c r="N15" s="900" t="str">
        <f>IF(OR(D7="**",D8="**",D9="**",D10="**",D11="**",D12="**",D13="**",D14="**",D15="**",D16="**",D17="**",D18="**",D19="**",D20="**",D21="**",D22="**",D23="**",D24="**",D25="**",D26="**",D27="**",D28="**",D29="**",D30="**",D31="**",D32="**",D33="**",D34="**",D35="**",),"** El dato indicado en Refugiados o en Solicitante de Asilo, es mayor a lo indicado en Extranjeros.","")</f>
        <v/>
      </c>
    </row>
    <row r="16" spans="2:14" ht="18" customHeight="1">
      <c r="B16" s="512" t="s">
        <v>987</v>
      </c>
      <c r="C16" s="509" t="s">
        <v>1013</v>
      </c>
      <c r="D16" s="510" t="str">
        <f t="shared" si="0"/>
        <v/>
      </c>
      <c r="E16" s="326">
        <f t="shared" si="1"/>
        <v>0</v>
      </c>
      <c r="F16" s="327"/>
      <c r="G16" s="328"/>
      <c r="H16" s="442">
        <f t="shared" si="2"/>
        <v>0</v>
      </c>
      <c r="I16" s="327"/>
      <c r="J16" s="441"/>
      <c r="K16" s="511">
        <f t="shared" si="3"/>
        <v>0</v>
      </c>
      <c r="L16" s="327"/>
      <c r="M16" s="328"/>
      <c r="N16" s="900"/>
    </row>
    <row r="17" spans="2:14" ht="18" customHeight="1">
      <c r="B17" s="508" t="s">
        <v>988</v>
      </c>
      <c r="C17" s="509" t="s">
        <v>1008</v>
      </c>
      <c r="D17" s="510" t="str">
        <f t="shared" si="0"/>
        <v/>
      </c>
      <c r="E17" s="326">
        <f t="shared" si="1"/>
        <v>0</v>
      </c>
      <c r="F17" s="327"/>
      <c r="G17" s="328"/>
      <c r="H17" s="442">
        <f t="shared" si="2"/>
        <v>0</v>
      </c>
      <c r="I17" s="327"/>
      <c r="J17" s="441"/>
      <c r="K17" s="511">
        <f t="shared" si="3"/>
        <v>0</v>
      </c>
      <c r="L17" s="327"/>
      <c r="M17" s="328"/>
      <c r="N17" s="900"/>
    </row>
    <row r="18" spans="2:14" ht="18" customHeight="1">
      <c r="B18" s="508" t="s">
        <v>989</v>
      </c>
      <c r="C18" s="509" t="s">
        <v>1011</v>
      </c>
      <c r="D18" s="510" t="str">
        <f t="shared" si="0"/>
        <v/>
      </c>
      <c r="E18" s="326">
        <f t="shared" si="1"/>
        <v>0</v>
      </c>
      <c r="F18" s="327"/>
      <c r="G18" s="328"/>
      <c r="H18" s="442">
        <f t="shared" si="2"/>
        <v>0</v>
      </c>
      <c r="I18" s="327"/>
      <c r="J18" s="441"/>
      <c r="K18" s="511">
        <f t="shared" si="3"/>
        <v>0</v>
      </c>
      <c r="L18" s="327"/>
      <c r="M18" s="328"/>
      <c r="N18" s="900"/>
    </row>
    <row r="19" spans="2:14" ht="18" customHeight="1">
      <c r="B19" s="508" t="s">
        <v>990</v>
      </c>
      <c r="C19" s="509" t="s">
        <v>1029</v>
      </c>
      <c r="D19" s="510" t="str">
        <f t="shared" si="0"/>
        <v/>
      </c>
      <c r="E19" s="326">
        <f t="shared" si="1"/>
        <v>0</v>
      </c>
      <c r="F19" s="327"/>
      <c r="G19" s="328"/>
      <c r="H19" s="442">
        <f t="shared" si="2"/>
        <v>0</v>
      </c>
      <c r="I19" s="327"/>
      <c r="J19" s="441"/>
      <c r="K19" s="511">
        <f t="shared" si="3"/>
        <v>0</v>
      </c>
      <c r="L19" s="327"/>
      <c r="M19" s="328"/>
      <c r="N19" s="900"/>
    </row>
    <row r="20" spans="2:14" ht="18" customHeight="1">
      <c r="B20" s="508" t="s">
        <v>991</v>
      </c>
      <c r="C20" s="509" t="s">
        <v>1018</v>
      </c>
      <c r="D20" s="510" t="str">
        <f t="shared" si="0"/>
        <v/>
      </c>
      <c r="E20" s="326">
        <f t="shared" si="1"/>
        <v>0</v>
      </c>
      <c r="F20" s="327"/>
      <c r="G20" s="328"/>
      <c r="H20" s="442">
        <f t="shared" si="2"/>
        <v>0</v>
      </c>
      <c r="I20" s="327"/>
      <c r="J20" s="441"/>
      <c r="K20" s="511">
        <f t="shared" si="3"/>
        <v>0</v>
      </c>
      <c r="L20" s="327"/>
      <c r="M20" s="328"/>
      <c r="N20" s="900"/>
    </row>
    <row r="21" spans="2:14" ht="18" customHeight="1">
      <c r="B21" s="508" t="s">
        <v>992</v>
      </c>
      <c r="C21" s="509" t="s">
        <v>1012</v>
      </c>
      <c r="D21" s="510" t="str">
        <f t="shared" si="0"/>
        <v/>
      </c>
      <c r="E21" s="326">
        <f t="shared" si="1"/>
        <v>0</v>
      </c>
      <c r="F21" s="327"/>
      <c r="G21" s="328"/>
      <c r="H21" s="442">
        <f t="shared" si="2"/>
        <v>0</v>
      </c>
      <c r="I21" s="327"/>
      <c r="J21" s="441"/>
      <c r="K21" s="511">
        <f t="shared" si="3"/>
        <v>0</v>
      </c>
      <c r="L21" s="327"/>
      <c r="M21" s="328"/>
    </row>
    <row r="22" spans="2:14" ht="18" customHeight="1">
      <c r="B22" s="508" t="s">
        <v>993</v>
      </c>
      <c r="C22" s="509" t="s">
        <v>1009</v>
      </c>
      <c r="D22" s="510" t="str">
        <f t="shared" si="0"/>
        <v/>
      </c>
      <c r="E22" s="326">
        <f t="shared" si="1"/>
        <v>0</v>
      </c>
      <c r="F22" s="327"/>
      <c r="G22" s="328"/>
      <c r="H22" s="442">
        <f t="shared" si="2"/>
        <v>0</v>
      </c>
      <c r="I22" s="327"/>
      <c r="J22" s="441"/>
      <c r="K22" s="511">
        <f t="shared" si="3"/>
        <v>0</v>
      </c>
      <c r="L22" s="327"/>
      <c r="M22" s="328"/>
    </row>
    <row r="23" spans="2:14" ht="18" customHeight="1">
      <c r="B23" s="508" t="s">
        <v>994</v>
      </c>
      <c r="C23" s="509" t="s">
        <v>1014</v>
      </c>
      <c r="D23" s="510" t="str">
        <f t="shared" si="0"/>
        <v/>
      </c>
      <c r="E23" s="326">
        <f t="shared" si="1"/>
        <v>0</v>
      </c>
      <c r="F23" s="327"/>
      <c r="G23" s="328"/>
      <c r="H23" s="442">
        <f t="shared" si="2"/>
        <v>0</v>
      </c>
      <c r="I23" s="327"/>
      <c r="J23" s="441"/>
      <c r="K23" s="511">
        <f t="shared" si="3"/>
        <v>0</v>
      </c>
      <c r="L23" s="327"/>
      <c r="M23" s="328"/>
    </row>
    <row r="24" spans="2:14" ht="18" customHeight="1">
      <c r="B24" s="508" t="s">
        <v>995</v>
      </c>
      <c r="C24" s="509" t="s">
        <v>1015</v>
      </c>
      <c r="D24" s="510" t="str">
        <f t="shared" si="0"/>
        <v/>
      </c>
      <c r="E24" s="326">
        <f t="shared" si="1"/>
        <v>0</v>
      </c>
      <c r="F24" s="327"/>
      <c r="G24" s="328"/>
      <c r="H24" s="442">
        <f t="shared" si="2"/>
        <v>0</v>
      </c>
      <c r="I24" s="327"/>
      <c r="J24" s="441"/>
      <c r="K24" s="511">
        <f t="shared" si="3"/>
        <v>0</v>
      </c>
      <c r="L24" s="327"/>
      <c r="M24" s="328"/>
    </row>
    <row r="25" spans="2:14" ht="18" customHeight="1">
      <c r="B25" s="508" t="s">
        <v>996</v>
      </c>
      <c r="C25" s="509" t="s">
        <v>1025</v>
      </c>
      <c r="D25" s="510" t="str">
        <f t="shared" si="0"/>
        <v/>
      </c>
      <c r="E25" s="326">
        <f t="shared" si="1"/>
        <v>0</v>
      </c>
      <c r="F25" s="327"/>
      <c r="G25" s="328"/>
      <c r="H25" s="442">
        <f t="shared" si="2"/>
        <v>0</v>
      </c>
      <c r="I25" s="327"/>
      <c r="J25" s="441"/>
      <c r="K25" s="511">
        <f t="shared" si="3"/>
        <v>0</v>
      </c>
      <c r="L25" s="327"/>
      <c r="M25" s="328"/>
    </row>
    <row r="26" spans="2:14" ht="18" customHeight="1">
      <c r="B26" s="508" t="s">
        <v>997</v>
      </c>
      <c r="C26" s="509" t="s">
        <v>1021</v>
      </c>
      <c r="D26" s="510" t="str">
        <f t="shared" si="0"/>
        <v/>
      </c>
      <c r="E26" s="326">
        <f t="shared" si="1"/>
        <v>0</v>
      </c>
      <c r="F26" s="327"/>
      <c r="G26" s="328"/>
      <c r="H26" s="442">
        <f t="shared" si="2"/>
        <v>0</v>
      </c>
      <c r="I26" s="327"/>
      <c r="J26" s="441"/>
      <c r="K26" s="511">
        <f t="shared" si="3"/>
        <v>0</v>
      </c>
      <c r="L26" s="327"/>
      <c r="M26" s="328"/>
    </row>
    <row r="27" spans="2:14" ht="18" customHeight="1">
      <c r="B27" s="508" t="s">
        <v>998</v>
      </c>
      <c r="C27" s="509" t="s">
        <v>1017</v>
      </c>
      <c r="D27" s="510" t="str">
        <f t="shared" si="0"/>
        <v/>
      </c>
      <c r="E27" s="326">
        <f t="shared" si="1"/>
        <v>0</v>
      </c>
      <c r="F27" s="327"/>
      <c r="G27" s="328"/>
      <c r="H27" s="442">
        <f t="shared" si="2"/>
        <v>0</v>
      </c>
      <c r="I27" s="327"/>
      <c r="J27" s="441"/>
      <c r="K27" s="511">
        <f t="shared" si="3"/>
        <v>0</v>
      </c>
      <c r="L27" s="327"/>
      <c r="M27" s="328"/>
    </row>
    <row r="28" spans="2:14" ht="18" customHeight="1">
      <c r="B28" s="508" t="s">
        <v>999</v>
      </c>
      <c r="C28" s="509" t="s">
        <v>1026</v>
      </c>
      <c r="D28" s="510" t="str">
        <f t="shared" si="0"/>
        <v/>
      </c>
      <c r="E28" s="326">
        <f t="shared" si="1"/>
        <v>0</v>
      </c>
      <c r="F28" s="327"/>
      <c r="G28" s="328"/>
      <c r="H28" s="442">
        <f t="shared" si="2"/>
        <v>0</v>
      </c>
      <c r="I28" s="327"/>
      <c r="J28" s="441"/>
      <c r="K28" s="511">
        <f t="shared" si="3"/>
        <v>0</v>
      </c>
      <c r="L28" s="327"/>
      <c r="M28" s="328"/>
    </row>
    <row r="29" spans="2:14" ht="18" customHeight="1">
      <c r="B29" s="508" t="s">
        <v>1000</v>
      </c>
      <c r="C29" s="509" t="s">
        <v>1028</v>
      </c>
      <c r="D29" s="510" t="str">
        <f t="shared" si="0"/>
        <v/>
      </c>
      <c r="E29" s="326">
        <f t="shared" si="1"/>
        <v>0</v>
      </c>
      <c r="F29" s="327"/>
      <c r="G29" s="328"/>
      <c r="H29" s="442">
        <f t="shared" si="2"/>
        <v>0</v>
      </c>
      <c r="I29" s="327"/>
      <c r="J29" s="441"/>
      <c r="K29" s="511">
        <f t="shared" si="3"/>
        <v>0</v>
      </c>
      <c r="L29" s="327"/>
      <c r="M29" s="328"/>
    </row>
    <row r="30" spans="2:14" ht="18" customHeight="1">
      <c r="B30" s="513" t="s">
        <v>1001</v>
      </c>
      <c r="C30" s="514" t="s">
        <v>1030</v>
      </c>
      <c r="D30" s="515" t="str">
        <f t="shared" si="0"/>
        <v/>
      </c>
      <c r="E30" s="516">
        <f t="shared" si="1"/>
        <v>0</v>
      </c>
      <c r="F30" s="517"/>
      <c r="G30" s="518"/>
      <c r="H30" s="519">
        <f t="shared" si="2"/>
        <v>0</v>
      </c>
      <c r="I30" s="517"/>
      <c r="J30" s="520"/>
      <c r="K30" s="521">
        <f t="shared" si="3"/>
        <v>0</v>
      </c>
      <c r="L30" s="517"/>
      <c r="M30" s="518"/>
    </row>
    <row r="31" spans="2:14" ht="18" customHeight="1">
      <c r="B31" s="513" t="s">
        <v>1002</v>
      </c>
      <c r="C31" s="514" t="s">
        <v>977</v>
      </c>
      <c r="D31" s="515" t="str">
        <f t="shared" si="0"/>
        <v/>
      </c>
      <c r="E31" s="516">
        <f t="shared" si="1"/>
        <v>0</v>
      </c>
      <c r="F31" s="517"/>
      <c r="G31" s="518"/>
      <c r="H31" s="519">
        <f t="shared" si="2"/>
        <v>0</v>
      </c>
      <c r="I31" s="517"/>
      <c r="J31" s="520"/>
      <c r="K31" s="521">
        <f t="shared" si="3"/>
        <v>0</v>
      </c>
      <c r="L31" s="517"/>
      <c r="M31" s="518"/>
    </row>
    <row r="32" spans="2:14" ht="18" customHeight="1">
      <c r="B32" s="522" t="s">
        <v>1003</v>
      </c>
      <c r="C32" s="523" t="s">
        <v>976</v>
      </c>
      <c r="D32" s="524" t="str">
        <f t="shared" si="0"/>
        <v/>
      </c>
      <c r="E32" s="525">
        <f t="shared" si="1"/>
        <v>0</v>
      </c>
      <c r="F32" s="526"/>
      <c r="G32" s="527"/>
      <c r="H32" s="528">
        <f t="shared" si="2"/>
        <v>0</v>
      </c>
      <c r="I32" s="526"/>
      <c r="J32" s="529"/>
      <c r="K32" s="530">
        <f t="shared" si="3"/>
        <v>0</v>
      </c>
      <c r="L32" s="526"/>
      <c r="M32" s="527"/>
    </row>
    <row r="33" spans="2:14" ht="18" customHeight="1">
      <c r="B33" s="522" t="s">
        <v>1004</v>
      </c>
      <c r="C33" s="523" t="s">
        <v>975</v>
      </c>
      <c r="D33" s="524" t="str">
        <f t="shared" si="0"/>
        <v/>
      </c>
      <c r="E33" s="525">
        <f t="shared" si="1"/>
        <v>0</v>
      </c>
      <c r="F33" s="526"/>
      <c r="G33" s="527"/>
      <c r="H33" s="528">
        <f t="shared" si="2"/>
        <v>0</v>
      </c>
      <c r="I33" s="526"/>
      <c r="J33" s="529"/>
      <c r="K33" s="530">
        <f t="shared" si="3"/>
        <v>0</v>
      </c>
      <c r="L33" s="526"/>
      <c r="M33" s="527"/>
    </row>
    <row r="34" spans="2:14" ht="18" customHeight="1">
      <c r="B34" s="522" t="s">
        <v>1005</v>
      </c>
      <c r="C34" s="523" t="s">
        <v>974</v>
      </c>
      <c r="D34" s="524" t="str">
        <f t="shared" si="0"/>
        <v/>
      </c>
      <c r="E34" s="525">
        <f t="shared" si="1"/>
        <v>0</v>
      </c>
      <c r="F34" s="526"/>
      <c r="G34" s="527"/>
      <c r="H34" s="528">
        <f t="shared" si="2"/>
        <v>0</v>
      </c>
      <c r="I34" s="526"/>
      <c r="J34" s="529"/>
      <c r="K34" s="530">
        <f t="shared" si="3"/>
        <v>0</v>
      </c>
      <c r="L34" s="526"/>
      <c r="M34" s="527"/>
    </row>
    <row r="35" spans="2:14" s="54" customFormat="1" ht="18" customHeight="1" thickBot="1">
      <c r="B35" s="531" t="s">
        <v>1006</v>
      </c>
      <c r="C35" s="532" t="s">
        <v>973</v>
      </c>
      <c r="D35" s="533" t="str">
        <f t="shared" si="0"/>
        <v/>
      </c>
      <c r="E35" s="330">
        <f t="shared" si="1"/>
        <v>0</v>
      </c>
      <c r="F35" s="331"/>
      <c r="G35" s="332"/>
      <c r="H35" s="482">
        <f t="shared" si="2"/>
        <v>0</v>
      </c>
      <c r="I35" s="331"/>
      <c r="J35" s="481"/>
      <c r="K35" s="534">
        <f t="shared" si="3"/>
        <v>0</v>
      </c>
      <c r="L35" s="331"/>
      <c r="M35" s="332"/>
      <c r="N35" s="218"/>
    </row>
    <row r="36" spans="2:14" ht="17.25" customHeight="1" thickTop="1">
      <c r="B36" s="535"/>
      <c r="C36" s="146"/>
      <c r="D36" s="536"/>
      <c r="E36" s="209"/>
      <c r="F36" s="261"/>
      <c r="G36" s="261"/>
      <c r="H36" s="209"/>
      <c r="I36" s="261"/>
      <c r="J36" s="261"/>
      <c r="K36" s="209"/>
      <c r="L36" s="261"/>
      <c r="M36" s="261"/>
      <c r="N36" s="54"/>
    </row>
    <row r="37" spans="2:14" ht="16.5" customHeight="1">
      <c r="B37" s="537" t="s">
        <v>1202</v>
      </c>
      <c r="E37" s="911"/>
      <c r="F37" s="911"/>
      <c r="G37" s="911"/>
      <c r="H37" s="911"/>
      <c r="I37" s="911"/>
      <c r="J37" s="911"/>
      <c r="K37" s="911"/>
      <c r="L37" s="911"/>
      <c r="M37" s="911"/>
    </row>
    <row r="38" spans="2:14" ht="16.5" customHeight="1">
      <c r="B38" s="829"/>
      <c r="C38" s="830"/>
      <c r="D38" s="830"/>
      <c r="E38" s="830"/>
      <c r="F38" s="830"/>
      <c r="G38" s="830"/>
      <c r="H38" s="830"/>
      <c r="I38" s="830"/>
      <c r="J38" s="830"/>
      <c r="K38" s="830"/>
      <c r="L38" s="830"/>
      <c r="M38" s="831"/>
    </row>
    <row r="39" spans="2:14" ht="16.5" customHeight="1">
      <c r="B39" s="832"/>
      <c r="C39" s="833"/>
      <c r="D39" s="833"/>
      <c r="E39" s="833"/>
      <c r="F39" s="833"/>
      <c r="G39" s="833"/>
      <c r="H39" s="833"/>
      <c r="I39" s="833"/>
      <c r="J39" s="833"/>
      <c r="K39" s="833"/>
      <c r="L39" s="833"/>
      <c r="M39" s="834"/>
    </row>
    <row r="40" spans="2:14" ht="16.5" customHeight="1">
      <c r="B40" s="832"/>
      <c r="C40" s="833"/>
      <c r="D40" s="833"/>
      <c r="E40" s="833"/>
      <c r="F40" s="833"/>
      <c r="G40" s="833"/>
      <c r="H40" s="833"/>
      <c r="I40" s="833"/>
      <c r="J40" s="833"/>
      <c r="K40" s="833"/>
      <c r="L40" s="833"/>
      <c r="M40" s="834"/>
    </row>
    <row r="41" spans="2:14">
      <c r="B41" s="835"/>
      <c r="C41" s="836"/>
      <c r="D41" s="836"/>
      <c r="E41" s="836"/>
      <c r="F41" s="836"/>
      <c r="G41" s="836"/>
      <c r="H41" s="836"/>
      <c r="I41" s="836"/>
      <c r="J41" s="836"/>
      <c r="K41" s="836"/>
      <c r="L41" s="836"/>
      <c r="M41" s="837"/>
    </row>
  </sheetData>
  <sheetProtection algorithmName="SHA-512" hashValue="lHSg363s3yOcTRvv9aMU6sj+kcaXXGNxQ4vcUKSIOUjNGXt1WnAolSnTb9tpcH897H37DJbE/Dzanvv1hMCUsA==" saltValue="ed0cj8P+H6t3jy6ceSIrKg==" spinCount="100000" sheet="1" objects="1" scenarios="1"/>
  <mergeCells count="12">
    <mergeCell ref="L1:M1"/>
    <mergeCell ref="N6:N13"/>
    <mergeCell ref="N15:N20"/>
    <mergeCell ref="B38:M41"/>
    <mergeCell ref="B4:C5"/>
    <mergeCell ref="E4:G4"/>
    <mergeCell ref="H4:J4"/>
    <mergeCell ref="K4:M4"/>
    <mergeCell ref="B6:C6"/>
    <mergeCell ref="E37:G37"/>
    <mergeCell ref="H37:J37"/>
    <mergeCell ref="K37:M37"/>
  </mergeCells>
  <conditionalFormatting sqref="K6:M6 K7:K36">
    <cfRule type="cellIs" dxfId="194" priority="2" operator="equal">
      <formula>0</formula>
    </cfRule>
  </conditionalFormatting>
  <conditionalFormatting sqref="E6:G6 E7:E36">
    <cfRule type="cellIs" dxfId="193" priority="4" operator="equal">
      <formula>0</formula>
    </cfRule>
  </conditionalFormatting>
  <conditionalFormatting sqref="H6:J6 H7:H36">
    <cfRule type="cellIs" dxfId="192" priority="3" operator="equal">
      <formula>0</formula>
    </cfRule>
  </conditionalFormatting>
  <dataValidations count="1">
    <dataValidation type="whole" operator="greaterThanOrEqual" allowBlank="1" showInputMessage="1" showErrorMessage="1" sqref="E6:M35">
      <formula1>0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scale="81" orientation="landscape" r:id="rId1"/>
  <headerFooter scaleWithDoc="0">
    <oddFooter>&amp;R&amp;"Goudy,Negrita Cursiva"Académica Diurna&amp;"Goudy,Cursiva", página 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1:T39"/>
  <sheetViews>
    <sheetView showGridLines="0" zoomScale="90" zoomScaleNormal="90" workbookViewId="0">
      <selection activeCell="G8" sqref="G8"/>
    </sheetView>
  </sheetViews>
  <sheetFormatPr baseColWidth="10" defaultRowHeight="14.25"/>
  <cols>
    <col min="1" max="1" width="4.140625" style="218" customWidth="1"/>
    <col min="2" max="2" width="48.28515625" style="218" customWidth="1"/>
    <col min="3" max="20" width="8.28515625" style="218" customWidth="1"/>
    <col min="21" max="16384" width="11.42578125" style="218"/>
  </cols>
  <sheetData>
    <row r="1" spans="2:20" ht="18" customHeight="1">
      <c r="B1" s="677" t="s">
        <v>4038</v>
      </c>
      <c r="P1" s="681"/>
      <c r="Q1" s="681"/>
      <c r="R1" s="681"/>
      <c r="S1" s="861">
        <f>IF('Portada 1-con Código Presup.'!$M$2="",'Portada 2-sin Código Presup.'!$K$1,'Portada 1-con Código Presup.'!$M$2)</f>
        <v>0</v>
      </c>
      <c r="T1" s="862"/>
    </row>
    <row r="2" spans="2:20" ht="18.75" thickBot="1">
      <c r="B2" s="117" t="s">
        <v>5690</v>
      </c>
      <c r="C2" s="157"/>
      <c r="D2" s="157"/>
      <c r="E2" s="157"/>
      <c r="F2" s="157"/>
      <c r="G2" s="157"/>
      <c r="H2" s="157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</row>
    <row r="3" spans="2:20" ht="21.75" customHeight="1" thickTop="1" thickBot="1">
      <c r="B3" s="929" t="str">
        <f>IF(AND(OR('Portada 1-con Código Presup.'!F26="Sí",'Portada 2-sin Código Presup.'!E25="Sí"),(F7+L7)=0),"En la portada se indicó que tienen Servicios de Apoyo Educativo, pero en este cuadro (Parte 2) no indica cuántos estudiantes se benefician.",(IF(AND(OR('Portada 1-con Código Presup.'!F26="No",'Portada 1-con Código Presup.'!F26=""),OR('Portada 2-sin Código Presup.'!E25="No",'Portada 2-sin Código Presup.'!E25=""),(F7+L7)&gt;=1),"En la portada no indicó que tienen Servicios de Apoyo Educativo, pero en la Parte (2) de este cuadro se están indicando datos.","")))</f>
        <v/>
      </c>
      <c r="C3" s="926" t="s">
        <v>3450</v>
      </c>
      <c r="D3" s="927"/>
      <c r="E3" s="927"/>
      <c r="F3" s="927"/>
      <c r="G3" s="927"/>
      <c r="H3" s="927"/>
      <c r="I3" s="928" t="s">
        <v>3451</v>
      </c>
      <c r="J3" s="927"/>
      <c r="K3" s="927"/>
      <c r="L3" s="927"/>
      <c r="M3" s="927"/>
      <c r="N3" s="927"/>
      <c r="O3" s="931" t="s">
        <v>4583</v>
      </c>
      <c r="P3" s="932"/>
      <c r="Q3" s="932"/>
      <c r="R3" s="932"/>
      <c r="S3" s="932"/>
      <c r="T3" s="932"/>
    </row>
    <row r="4" spans="2:20" ht="45.75" customHeight="1" thickBot="1">
      <c r="B4" s="930"/>
      <c r="C4" s="935" t="s">
        <v>4781</v>
      </c>
      <c r="D4" s="916"/>
      <c r="E4" s="916"/>
      <c r="F4" s="915" t="s">
        <v>4782</v>
      </c>
      <c r="G4" s="916"/>
      <c r="H4" s="917"/>
      <c r="I4" s="921" t="s">
        <v>4781</v>
      </c>
      <c r="J4" s="916"/>
      <c r="K4" s="916"/>
      <c r="L4" s="915" t="s">
        <v>4782</v>
      </c>
      <c r="M4" s="916"/>
      <c r="N4" s="916"/>
      <c r="O4" s="933"/>
      <c r="P4" s="934"/>
      <c r="Q4" s="934"/>
      <c r="R4" s="934"/>
      <c r="S4" s="934"/>
      <c r="T4" s="934"/>
    </row>
    <row r="5" spans="2:20" ht="45.75" customHeight="1">
      <c r="B5" s="930"/>
      <c r="C5" s="936"/>
      <c r="D5" s="919"/>
      <c r="E5" s="919"/>
      <c r="F5" s="918"/>
      <c r="G5" s="919"/>
      <c r="H5" s="920"/>
      <c r="I5" s="922"/>
      <c r="J5" s="919"/>
      <c r="K5" s="919"/>
      <c r="L5" s="918"/>
      <c r="M5" s="919"/>
      <c r="N5" s="919"/>
      <c r="O5" s="923" t="s">
        <v>3450</v>
      </c>
      <c r="P5" s="924"/>
      <c r="Q5" s="924"/>
      <c r="R5" s="925" t="s">
        <v>4584</v>
      </c>
      <c r="S5" s="924"/>
      <c r="T5" s="924"/>
    </row>
    <row r="6" spans="2:20" ht="31.5" customHeight="1" thickBot="1">
      <c r="B6" s="415" t="s">
        <v>3475</v>
      </c>
      <c r="C6" s="416" t="s">
        <v>0</v>
      </c>
      <c r="D6" s="417" t="s">
        <v>21</v>
      </c>
      <c r="E6" s="418" t="s">
        <v>20</v>
      </c>
      <c r="F6" s="419" t="s">
        <v>0</v>
      </c>
      <c r="G6" s="417" t="s">
        <v>21</v>
      </c>
      <c r="H6" s="420" t="s">
        <v>20</v>
      </c>
      <c r="I6" s="421" t="s">
        <v>0</v>
      </c>
      <c r="J6" s="417" t="s">
        <v>21</v>
      </c>
      <c r="K6" s="418" t="s">
        <v>20</v>
      </c>
      <c r="L6" s="419" t="s">
        <v>0</v>
      </c>
      <c r="M6" s="417" t="s">
        <v>21</v>
      </c>
      <c r="N6" s="422" t="s">
        <v>20</v>
      </c>
      <c r="O6" s="423" t="s">
        <v>0</v>
      </c>
      <c r="P6" s="417" t="s">
        <v>21</v>
      </c>
      <c r="Q6" s="418" t="s">
        <v>20</v>
      </c>
      <c r="R6" s="419" t="s">
        <v>0</v>
      </c>
      <c r="S6" s="417" t="s">
        <v>21</v>
      </c>
      <c r="T6" s="420" t="s">
        <v>20</v>
      </c>
    </row>
    <row r="7" spans="2:20" ht="23.25" customHeight="1" thickTop="1" thickBot="1">
      <c r="B7" s="424" t="s">
        <v>2002</v>
      </c>
      <c r="C7" s="425">
        <f>+D7+E7</f>
        <v>0</v>
      </c>
      <c r="D7" s="426">
        <f>+D8+D9+D10+D11+D12+D13+D14+D18+D22+D23+D24+D25+D26+D27+D28</f>
        <v>0</v>
      </c>
      <c r="E7" s="427">
        <f>+E8+E9+E10+E11+E12+E13+E14+E18+E22+E23+E24+E25+E26+E27+E28</f>
        <v>0</v>
      </c>
      <c r="F7" s="428">
        <f t="shared" ref="F7:F18" si="0">+G7+H7</f>
        <v>0</v>
      </c>
      <c r="G7" s="426">
        <f>+G8+G9+G10+G11+G12+G13+G14+G18+G22+G23+G24+G25+G26+G27+G28</f>
        <v>0</v>
      </c>
      <c r="H7" s="427">
        <f>+H8+H9+H10+H11+H12+H13+H14+H18+H22+H23+H24+H25+H26+H27+H28</f>
        <v>0</v>
      </c>
      <c r="I7" s="429">
        <f t="shared" ref="I7:I18" si="1">+J7+K7</f>
        <v>0</v>
      </c>
      <c r="J7" s="426">
        <f>+J8+J9+J10+J11+J12+J13+J14+J18+J22+J23+J24+J25+J26+J27+J28</f>
        <v>0</v>
      </c>
      <c r="K7" s="427">
        <f>+K8+K9+K10+K11+K12+K13+K14+K18+K22+K23+K24+K25+K26+K27+K28</f>
        <v>0</v>
      </c>
      <c r="L7" s="428">
        <f t="shared" ref="L7:L18" si="2">+M7+N7</f>
        <v>0</v>
      </c>
      <c r="M7" s="426">
        <f>+M8+M9+M10+M11+M12+M13+M14+M18+M22+M23+M24+M25+M26+M27+M28</f>
        <v>0</v>
      </c>
      <c r="N7" s="430">
        <f>+N8+N9+N10+N11+N12+N13+N14+N18+N22+N23+N24+N25+N26+N27+N28</f>
        <v>0</v>
      </c>
      <c r="O7" s="431">
        <f t="shared" ref="O7:O18" si="3">+P7+Q7</f>
        <v>0</v>
      </c>
      <c r="P7" s="426">
        <f>+P8+P9+P10+P11+P12+P13+P14+P18+P22+P23+P24+P25+P26+P27+P28</f>
        <v>0</v>
      </c>
      <c r="Q7" s="427">
        <f>+Q8+Q9+Q10+Q11+Q12+Q13+Q14+Q18+Q22+Q23+Q24+Q25+Q26+Q27+Q28</f>
        <v>0</v>
      </c>
      <c r="R7" s="428">
        <f t="shared" ref="R7:R18" si="4">+S7+T7</f>
        <v>0</v>
      </c>
      <c r="S7" s="426">
        <f>+S8+S9+S10+S11+S12+S13+S14+S18+S22+S23+S24+S25+S26+S27+S28</f>
        <v>0</v>
      </c>
      <c r="T7" s="427">
        <f>+T8+T9+T10+T11+T12+T13+T14+T18+T22+T23+T24+T25+T26+T27+T28</f>
        <v>0</v>
      </c>
    </row>
    <row r="8" spans="2:20" ht="25.5" customHeight="1">
      <c r="B8" s="432" t="s">
        <v>1218</v>
      </c>
      <c r="C8" s="173">
        <f>+D8+E8</f>
        <v>0</v>
      </c>
      <c r="D8" s="323"/>
      <c r="E8" s="324"/>
      <c r="F8" s="433">
        <f t="shared" si="0"/>
        <v>0</v>
      </c>
      <c r="G8" s="323"/>
      <c r="H8" s="324"/>
      <c r="I8" s="434">
        <f t="shared" si="1"/>
        <v>0</v>
      </c>
      <c r="J8" s="323"/>
      <c r="K8" s="324"/>
      <c r="L8" s="433">
        <f t="shared" si="2"/>
        <v>0</v>
      </c>
      <c r="M8" s="323"/>
      <c r="N8" s="435"/>
      <c r="O8" s="436">
        <f t="shared" si="3"/>
        <v>0</v>
      </c>
      <c r="P8" s="437"/>
      <c r="Q8" s="437"/>
      <c r="R8" s="433">
        <f t="shared" si="4"/>
        <v>0</v>
      </c>
      <c r="S8" s="437"/>
      <c r="T8" s="438"/>
    </row>
    <row r="9" spans="2:20" ht="25.5" customHeight="1">
      <c r="B9" s="432" t="s">
        <v>961</v>
      </c>
      <c r="C9" s="326">
        <f>+D9+E9</f>
        <v>0</v>
      </c>
      <c r="D9" s="327"/>
      <c r="E9" s="328"/>
      <c r="F9" s="439">
        <f t="shared" si="0"/>
        <v>0</v>
      </c>
      <c r="G9" s="327"/>
      <c r="H9" s="328"/>
      <c r="I9" s="440">
        <f t="shared" si="1"/>
        <v>0</v>
      </c>
      <c r="J9" s="327"/>
      <c r="K9" s="328"/>
      <c r="L9" s="439">
        <f t="shared" si="2"/>
        <v>0</v>
      </c>
      <c r="M9" s="327"/>
      <c r="N9" s="441"/>
      <c r="O9" s="442">
        <f t="shared" si="3"/>
        <v>0</v>
      </c>
      <c r="P9" s="327"/>
      <c r="Q9" s="327"/>
      <c r="R9" s="439">
        <f t="shared" si="4"/>
        <v>0</v>
      </c>
      <c r="S9" s="327"/>
      <c r="T9" s="179"/>
    </row>
    <row r="10" spans="2:20" ht="25.5" customHeight="1">
      <c r="B10" s="432" t="s">
        <v>1219</v>
      </c>
      <c r="C10" s="326">
        <f t="shared" ref="C10:C26" si="5">+D10+E10</f>
        <v>0</v>
      </c>
      <c r="D10" s="327"/>
      <c r="E10" s="328"/>
      <c r="F10" s="439">
        <f t="shared" si="0"/>
        <v>0</v>
      </c>
      <c r="G10" s="327"/>
      <c r="H10" s="328"/>
      <c r="I10" s="440">
        <f t="shared" si="1"/>
        <v>0</v>
      </c>
      <c r="J10" s="327"/>
      <c r="K10" s="328"/>
      <c r="L10" s="439">
        <f t="shared" si="2"/>
        <v>0</v>
      </c>
      <c r="M10" s="327"/>
      <c r="N10" s="441"/>
      <c r="O10" s="442">
        <f t="shared" si="3"/>
        <v>0</v>
      </c>
      <c r="P10" s="327"/>
      <c r="Q10" s="327"/>
      <c r="R10" s="439">
        <f t="shared" si="4"/>
        <v>0</v>
      </c>
      <c r="S10" s="327"/>
      <c r="T10" s="179"/>
    </row>
    <row r="11" spans="2:20" ht="25.5" customHeight="1">
      <c r="B11" s="432" t="s">
        <v>1220</v>
      </c>
      <c r="C11" s="326">
        <f t="shared" si="5"/>
        <v>0</v>
      </c>
      <c r="D11" s="327"/>
      <c r="E11" s="328"/>
      <c r="F11" s="439">
        <f t="shared" si="0"/>
        <v>0</v>
      </c>
      <c r="G11" s="327"/>
      <c r="H11" s="328"/>
      <c r="I11" s="440">
        <f t="shared" si="1"/>
        <v>0</v>
      </c>
      <c r="J11" s="327"/>
      <c r="K11" s="328"/>
      <c r="L11" s="439">
        <f t="shared" si="2"/>
        <v>0</v>
      </c>
      <c r="M11" s="327"/>
      <c r="N11" s="441"/>
      <c r="O11" s="442">
        <f t="shared" si="3"/>
        <v>0</v>
      </c>
      <c r="P11" s="327"/>
      <c r="Q11" s="327"/>
      <c r="R11" s="439">
        <f t="shared" si="4"/>
        <v>0</v>
      </c>
      <c r="S11" s="327"/>
      <c r="T11" s="179"/>
    </row>
    <row r="12" spans="2:20" ht="25.5" customHeight="1">
      <c r="B12" s="432" t="s">
        <v>4783</v>
      </c>
      <c r="C12" s="326">
        <f t="shared" si="5"/>
        <v>0</v>
      </c>
      <c r="D12" s="327"/>
      <c r="E12" s="328"/>
      <c r="F12" s="439">
        <f t="shared" si="0"/>
        <v>0</v>
      </c>
      <c r="G12" s="327"/>
      <c r="H12" s="328"/>
      <c r="I12" s="440">
        <f t="shared" si="1"/>
        <v>0</v>
      </c>
      <c r="J12" s="327"/>
      <c r="K12" s="328"/>
      <c r="L12" s="439">
        <f t="shared" si="2"/>
        <v>0</v>
      </c>
      <c r="M12" s="327"/>
      <c r="N12" s="441"/>
      <c r="O12" s="442">
        <f t="shared" si="3"/>
        <v>0</v>
      </c>
      <c r="P12" s="327"/>
      <c r="Q12" s="327"/>
      <c r="R12" s="439">
        <f t="shared" si="4"/>
        <v>0</v>
      </c>
      <c r="S12" s="327"/>
      <c r="T12" s="179"/>
    </row>
    <row r="13" spans="2:20" ht="25.5" customHeight="1">
      <c r="B13" s="432" t="s">
        <v>4585</v>
      </c>
      <c r="C13" s="326">
        <f t="shared" si="5"/>
        <v>0</v>
      </c>
      <c r="D13" s="327"/>
      <c r="E13" s="328"/>
      <c r="F13" s="439">
        <f t="shared" si="0"/>
        <v>0</v>
      </c>
      <c r="G13" s="327"/>
      <c r="H13" s="328"/>
      <c r="I13" s="440">
        <f t="shared" si="1"/>
        <v>0</v>
      </c>
      <c r="J13" s="327"/>
      <c r="K13" s="328"/>
      <c r="L13" s="439">
        <f t="shared" si="2"/>
        <v>0</v>
      </c>
      <c r="M13" s="327"/>
      <c r="N13" s="441"/>
      <c r="O13" s="442">
        <f t="shared" si="3"/>
        <v>0</v>
      </c>
      <c r="P13" s="323"/>
      <c r="Q13" s="323"/>
      <c r="R13" s="443">
        <f t="shared" si="4"/>
        <v>0</v>
      </c>
      <c r="S13" s="327"/>
      <c r="T13" s="179"/>
    </row>
    <row r="14" spans="2:20" ht="25.5" customHeight="1">
      <c r="B14" s="432" t="s">
        <v>964</v>
      </c>
      <c r="C14" s="444">
        <f>+D14+E14</f>
        <v>0</v>
      </c>
      <c r="D14" s="445">
        <f>SUM(D15:D17)</f>
        <v>0</v>
      </c>
      <c r="E14" s="446">
        <f>SUM(E15:E17)</f>
        <v>0</v>
      </c>
      <c r="F14" s="447">
        <f t="shared" si="0"/>
        <v>0</v>
      </c>
      <c r="G14" s="445">
        <f>SUM(G15:G17)</f>
        <v>0</v>
      </c>
      <c r="H14" s="446">
        <f>SUM(H15:H17)</f>
        <v>0</v>
      </c>
      <c r="I14" s="448">
        <f t="shared" si="1"/>
        <v>0</v>
      </c>
      <c r="J14" s="445">
        <f>SUM(J15:J17)</f>
        <v>0</v>
      </c>
      <c r="K14" s="446">
        <f>SUM(K15:K17)</f>
        <v>0</v>
      </c>
      <c r="L14" s="447">
        <f t="shared" si="2"/>
        <v>0</v>
      </c>
      <c r="M14" s="445">
        <f>SUM(M15:M17)</f>
        <v>0</v>
      </c>
      <c r="N14" s="449">
        <f>SUM(N15:N17)</f>
        <v>0</v>
      </c>
      <c r="O14" s="450">
        <f t="shared" si="3"/>
        <v>0</v>
      </c>
      <c r="P14" s="451">
        <f>SUM(P15:P17)</f>
        <v>0</v>
      </c>
      <c r="Q14" s="451">
        <f>SUM(Q15:Q17)</f>
        <v>0</v>
      </c>
      <c r="R14" s="452">
        <f t="shared" si="4"/>
        <v>0</v>
      </c>
      <c r="S14" s="451">
        <f>SUM(S15:S17)</f>
        <v>0</v>
      </c>
      <c r="T14" s="453">
        <f>SUM(T15:T17)</f>
        <v>0</v>
      </c>
    </row>
    <row r="15" spans="2:20" ht="25.5" customHeight="1">
      <c r="B15" s="454" t="s">
        <v>4586</v>
      </c>
      <c r="C15" s="234">
        <f t="shared" si="5"/>
        <v>0</v>
      </c>
      <c r="D15" s="235"/>
      <c r="E15" s="283"/>
      <c r="F15" s="455">
        <f t="shared" si="0"/>
        <v>0</v>
      </c>
      <c r="G15" s="235"/>
      <c r="H15" s="283"/>
      <c r="I15" s="456">
        <f t="shared" si="1"/>
        <v>0</v>
      </c>
      <c r="J15" s="235"/>
      <c r="K15" s="283"/>
      <c r="L15" s="455">
        <f t="shared" si="2"/>
        <v>0</v>
      </c>
      <c r="M15" s="235"/>
      <c r="N15" s="457"/>
      <c r="O15" s="458">
        <f t="shared" si="3"/>
        <v>0</v>
      </c>
      <c r="P15" s="235"/>
      <c r="Q15" s="235"/>
      <c r="R15" s="455">
        <f t="shared" si="4"/>
        <v>0</v>
      </c>
      <c r="S15" s="235"/>
      <c r="T15" s="129"/>
    </row>
    <row r="16" spans="2:20" ht="25.5" customHeight="1">
      <c r="B16" s="459" t="s">
        <v>4587</v>
      </c>
      <c r="C16" s="234">
        <f t="shared" si="5"/>
        <v>0</v>
      </c>
      <c r="D16" s="235"/>
      <c r="E16" s="283"/>
      <c r="F16" s="455">
        <f t="shared" si="0"/>
        <v>0</v>
      </c>
      <c r="G16" s="235"/>
      <c r="H16" s="283"/>
      <c r="I16" s="456">
        <f t="shared" si="1"/>
        <v>0</v>
      </c>
      <c r="J16" s="235"/>
      <c r="K16" s="283"/>
      <c r="L16" s="455">
        <f t="shared" si="2"/>
        <v>0</v>
      </c>
      <c r="M16" s="235"/>
      <c r="N16" s="457"/>
      <c r="O16" s="458">
        <f t="shared" si="3"/>
        <v>0</v>
      </c>
      <c r="P16" s="235"/>
      <c r="Q16" s="235"/>
      <c r="R16" s="455">
        <f t="shared" si="4"/>
        <v>0</v>
      </c>
      <c r="S16" s="235"/>
      <c r="T16" s="129"/>
    </row>
    <row r="17" spans="2:20" ht="25.5" customHeight="1">
      <c r="B17" s="460" t="s">
        <v>4588</v>
      </c>
      <c r="C17" s="173">
        <f t="shared" si="5"/>
        <v>0</v>
      </c>
      <c r="D17" s="323"/>
      <c r="E17" s="324"/>
      <c r="F17" s="433">
        <f t="shared" si="0"/>
        <v>0</v>
      </c>
      <c r="G17" s="323"/>
      <c r="H17" s="324"/>
      <c r="I17" s="434">
        <f t="shared" si="1"/>
        <v>0</v>
      </c>
      <c r="J17" s="323"/>
      <c r="K17" s="324"/>
      <c r="L17" s="433">
        <f t="shared" si="2"/>
        <v>0</v>
      </c>
      <c r="M17" s="323"/>
      <c r="N17" s="435"/>
      <c r="O17" s="436">
        <f t="shared" si="3"/>
        <v>0</v>
      </c>
      <c r="P17" s="323"/>
      <c r="Q17" s="323"/>
      <c r="R17" s="433">
        <f t="shared" si="4"/>
        <v>0</v>
      </c>
      <c r="S17" s="323"/>
      <c r="T17" s="461"/>
    </row>
    <row r="18" spans="2:20" ht="25.5" customHeight="1">
      <c r="B18" s="462" t="s">
        <v>4600</v>
      </c>
      <c r="C18" s="444">
        <f>+D18+E18</f>
        <v>0</v>
      </c>
      <c r="D18" s="445">
        <f>SUM(D19:D21)</f>
        <v>0</v>
      </c>
      <c r="E18" s="446">
        <f>SUM(E19:E21)</f>
        <v>0</v>
      </c>
      <c r="F18" s="447">
        <f t="shared" si="0"/>
        <v>0</v>
      </c>
      <c r="G18" s="445">
        <f>SUM(G19:G21)</f>
        <v>0</v>
      </c>
      <c r="H18" s="446">
        <f>SUM(H19:H21)</f>
        <v>0</v>
      </c>
      <c r="I18" s="448">
        <f t="shared" si="1"/>
        <v>0</v>
      </c>
      <c r="J18" s="445">
        <f>SUM(J19:J21)</f>
        <v>0</v>
      </c>
      <c r="K18" s="446">
        <f>SUM(K19:K21)</f>
        <v>0</v>
      </c>
      <c r="L18" s="447">
        <f t="shared" si="2"/>
        <v>0</v>
      </c>
      <c r="M18" s="445">
        <f>SUM(M19:M21)</f>
        <v>0</v>
      </c>
      <c r="N18" s="449">
        <f>SUM(N19:N21)</f>
        <v>0</v>
      </c>
      <c r="O18" s="450">
        <f t="shared" si="3"/>
        <v>0</v>
      </c>
      <c r="P18" s="451">
        <f>SUM(P19:P21)</f>
        <v>0</v>
      </c>
      <c r="Q18" s="451">
        <f>SUM(Q19:Q21)</f>
        <v>0</v>
      </c>
      <c r="R18" s="452">
        <f t="shared" si="4"/>
        <v>0</v>
      </c>
      <c r="S18" s="451">
        <f>SUM(S19:S21)</f>
        <v>0</v>
      </c>
      <c r="T18" s="453">
        <f>SUM(T19:T21)</f>
        <v>0</v>
      </c>
    </row>
    <row r="19" spans="2:20" ht="25.5" customHeight="1">
      <c r="B19" s="454" t="s">
        <v>4586</v>
      </c>
      <c r="C19" s="234">
        <f>+D19+E19</f>
        <v>0</v>
      </c>
      <c r="D19" s="235"/>
      <c r="E19" s="283"/>
      <c r="F19" s="455">
        <f t="shared" ref="F19:F24" si="6">+G19+H19</f>
        <v>0</v>
      </c>
      <c r="G19" s="235"/>
      <c r="H19" s="283"/>
      <c r="I19" s="456">
        <f t="shared" ref="I19:I24" si="7">+J19+K19</f>
        <v>0</v>
      </c>
      <c r="J19" s="235"/>
      <c r="K19" s="283"/>
      <c r="L19" s="455">
        <f t="shared" ref="L19:L24" si="8">+M19+N19</f>
        <v>0</v>
      </c>
      <c r="M19" s="235"/>
      <c r="N19" s="457"/>
      <c r="O19" s="458">
        <f t="shared" ref="O19:O24" si="9">+P19+Q19</f>
        <v>0</v>
      </c>
      <c r="P19" s="235"/>
      <c r="Q19" s="235"/>
      <c r="R19" s="455">
        <f t="shared" ref="R19:R24" si="10">+S19+T19</f>
        <v>0</v>
      </c>
      <c r="S19" s="235"/>
      <c r="T19" s="129"/>
    </row>
    <row r="20" spans="2:20" ht="25.5" customHeight="1">
      <c r="B20" s="459" t="s">
        <v>4587</v>
      </c>
      <c r="C20" s="234">
        <f>+D20+E20</f>
        <v>0</v>
      </c>
      <c r="D20" s="235"/>
      <c r="E20" s="283"/>
      <c r="F20" s="455">
        <f t="shared" si="6"/>
        <v>0</v>
      </c>
      <c r="G20" s="235"/>
      <c r="H20" s="283"/>
      <c r="I20" s="456">
        <f t="shared" si="7"/>
        <v>0</v>
      </c>
      <c r="J20" s="235"/>
      <c r="K20" s="283"/>
      <c r="L20" s="455">
        <f t="shared" si="8"/>
        <v>0</v>
      </c>
      <c r="M20" s="235"/>
      <c r="N20" s="457"/>
      <c r="O20" s="458">
        <f t="shared" si="9"/>
        <v>0</v>
      </c>
      <c r="P20" s="235"/>
      <c r="Q20" s="235"/>
      <c r="R20" s="455">
        <f t="shared" si="10"/>
        <v>0</v>
      </c>
      <c r="S20" s="235"/>
      <c r="T20" s="129"/>
    </row>
    <row r="21" spans="2:20" ht="25.5" customHeight="1">
      <c r="B21" s="463" t="s">
        <v>4588</v>
      </c>
      <c r="C21" s="173">
        <f>+D21+E21</f>
        <v>0</v>
      </c>
      <c r="D21" s="323"/>
      <c r="E21" s="324"/>
      <c r="F21" s="433">
        <f t="shared" si="6"/>
        <v>0</v>
      </c>
      <c r="G21" s="323"/>
      <c r="H21" s="324"/>
      <c r="I21" s="434">
        <f t="shared" si="7"/>
        <v>0</v>
      </c>
      <c r="J21" s="323"/>
      <c r="K21" s="324"/>
      <c r="L21" s="433">
        <f t="shared" si="8"/>
        <v>0</v>
      </c>
      <c r="M21" s="323"/>
      <c r="N21" s="435"/>
      <c r="O21" s="436">
        <f t="shared" si="9"/>
        <v>0</v>
      </c>
      <c r="P21" s="323"/>
      <c r="Q21" s="323"/>
      <c r="R21" s="433">
        <f t="shared" si="10"/>
        <v>0</v>
      </c>
      <c r="S21" s="323"/>
      <c r="T21" s="461"/>
    </row>
    <row r="22" spans="2:20" ht="25.5" customHeight="1">
      <c r="B22" s="432" t="s">
        <v>965</v>
      </c>
      <c r="C22" s="326">
        <f t="shared" si="5"/>
        <v>0</v>
      </c>
      <c r="D22" s="327"/>
      <c r="E22" s="328"/>
      <c r="F22" s="439">
        <f t="shared" si="6"/>
        <v>0</v>
      </c>
      <c r="G22" s="327"/>
      <c r="H22" s="328"/>
      <c r="I22" s="440">
        <f t="shared" si="7"/>
        <v>0</v>
      </c>
      <c r="J22" s="327"/>
      <c r="K22" s="328"/>
      <c r="L22" s="439">
        <f t="shared" si="8"/>
        <v>0</v>
      </c>
      <c r="M22" s="327"/>
      <c r="N22" s="441"/>
      <c r="O22" s="442">
        <f t="shared" si="9"/>
        <v>0</v>
      </c>
      <c r="P22" s="327"/>
      <c r="Q22" s="327"/>
      <c r="R22" s="439">
        <f t="shared" si="10"/>
        <v>0</v>
      </c>
      <c r="S22" s="327"/>
      <c r="T22" s="179"/>
    </row>
    <row r="23" spans="2:20" ht="25.5" customHeight="1" thickBot="1">
      <c r="B23" s="432" t="s">
        <v>4784</v>
      </c>
      <c r="C23" s="326">
        <f t="shared" si="5"/>
        <v>0</v>
      </c>
      <c r="D23" s="327"/>
      <c r="E23" s="328"/>
      <c r="F23" s="439">
        <f t="shared" si="6"/>
        <v>0</v>
      </c>
      <c r="G23" s="327"/>
      <c r="H23" s="328"/>
      <c r="I23" s="440">
        <f t="shared" si="7"/>
        <v>0</v>
      </c>
      <c r="J23" s="327"/>
      <c r="K23" s="328"/>
      <c r="L23" s="439">
        <f t="shared" si="8"/>
        <v>0</v>
      </c>
      <c r="M23" s="327"/>
      <c r="N23" s="441"/>
      <c r="O23" s="442">
        <f t="shared" si="9"/>
        <v>0</v>
      </c>
      <c r="P23" s="327"/>
      <c r="Q23" s="327"/>
      <c r="R23" s="439">
        <f t="shared" si="10"/>
        <v>0</v>
      </c>
      <c r="S23" s="327"/>
      <c r="T23" s="179"/>
    </row>
    <row r="24" spans="2:20" ht="25.5" hidden="1" customHeight="1" thickBot="1">
      <c r="B24" s="432" t="s">
        <v>4589</v>
      </c>
      <c r="C24" s="326">
        <f t="shared" si="5"/>
        <v>0</v>
      </c>
      <c r="D24" s="327"/>
      <c r="E24" s="328"/>
      <c r="F24" s="439">
        <f t="shared" si="6"/>
        <v>0</v>
      </c>
      <c r="G24" s="327"/>
      <c r="H24" s="328"/>
      <c r="I24" s="440">
        <f t="shared" si="7"/>
        <v>0</v>
      </c>
      <c r="J24" s="327"/>
      <c r="K24" s="328"/>
      <c r="L24" s="439">
        <f t="shared" si="8"/>
        <v>0</v>
      </c>
      <c r="M24" s="327"/>
      <c r="N24" s="441"/>
      <c r="O24" s="464">
        <f t="shared" si="9"/>
        <v>0</v>
      </c>
      <c r="P24" s="465"/>
      <c r="Q24" s="465"/>
      <c r="R24" s="466">
        <f t="shared" si="10"/>
        <v>0</v>
      </c>
      <c r="S24" s="323"/>
      <c r="T24" s="461"/>
    </row>
    <row r="25" spans="2:20" ht="25.5" customHeight="1">
      <c r="B25" s="467" t="s">
        <v>4785</v>
      </c>
      <c r="C25" s="468">
        <f>+D25+E25</f>
        <v>0</v>
      </c>
      <c r="D25" s="469"/>
      <c r="E25" s="470"/>
      <c r="F25" s="471">
        <f>+G25+H25</f>
        <v>0</v>
      </c>
      <c r="G25" s="469"/>
      <c r="H25" s="470"/>
      <c r="I25" s="472">
        <f>+J25+K25</f>
        <v>0</v>
      </c>
      <c r="J25" s="469"/>
      <c r="K25" s="470"/>
      <c r="L25" s="471">
        <f>+M25+N25</f>
        <v>0</v>
      </c>
      <c r="M25" s="469"/>
      <c r="N25" s="473"/>
      <c r="O25" s="686">
        <f>+P25+Q25</f>
        <v>0</v>
      </c>
      <c r="P25" s="469"/>
      <c r="Q25" s="469"/>
      <c r="R25" s="471">
        <f>+S25+T25</f>
        <v>0</v>
      </c>
      <c r="S25" s="474"/>
      <c r="T25" s="475"/>
    </row>
    <row r="26" spans="2:20" ht="25.5" customHeight="1">
      <c r="B26" s="476" t="s">
        <v>4786</v>
      </c>
      <c r="C26" s="326">
        <f t="shared" si="5"/>
        <v>0</v>
      </c>
      <c r="D26" s="327"/>
      <c r="E26" s="328"/>
      <c r="F26" s="439">
        <f>+G26+H26</f>
        <v>0</v>
      </c>
      <c r="G26" s="327"/>
      <c r="H26" s="328"/>
      <c r="I26" s="440">
        <f>+J26+K26</f>
        <v>0</v>
      </c>
      <c r="J26" s="327"/>
      <c r="K26" s="328"/>
      <c r="L26" s="439">
        <f>+M26+N26</f>
        <v>0</v>
      </c>
      <c r="M26" s="327"/>
      <c r="N26" s="441"/>
      <c r="O26" s="442">
        <f>+P26+Q26</f>
        <v>0</v>
      </c>
      <c r="P26" s="327"/>
      <c r="Q26" s="327"/>
      <c r="R26" s="439">
        <f>+S26+T26</f>
        <v>0</v>
      </c>
      <c r="S26" s="327"/>
      <c r="T26" s="179"/>
    </row>
    <row r="27" spans="2:20" s="109" customFormat="1" ht="25.5" customHeight="1">
      <c r="B27" s="477" t="s">
        <v>4599</v>
      </c>
      <c r="C27" s="326">
        <f>+D27+E27</f>
        <v>0</v>
      </c>
      <c r="D27" s="327"/>
      <c r="E27" s="328"/>
      <c r="F27" s="439">
        <f>+G27+H27</f>
        <v>0</v>
      </c>
      <c r="G27" s="327"/>
      <c r="H27" s="328"/>
      <c r="I27" s="440">
        <f>+J27+K27</f>
        <v>0</v>
      </c>
      <c r="J27" s="327"/>
      <c r="K27" s="328"/>
      <c r="L27" s="439">
        <f>+M27+N27</f>
        <v>0</v>
      </c>
      <c r="M27" s="327"/>
      <c r="N27" s="441"/>
      <c r="O27" s="442">
        <f>+P27+Q27</f>
        <v>0</v>
      </c>
      <c r="P27" s="327"/>
      <c r="Q27" s="327"/>
      <c r="R27" s="439">
        <f>+S27+T27</f>
        <v>0</v>
      </c>
      <c r="S27" s="327"/>
      <c r="T27" s="179"/>
    </row>
    <row r="28" spans="2:20" s="109" customFormat="1" ht="25.5" customHeight="1" thickBot="1">
      <c r="B28" s="478" t="s">
        <v>4787</v>
      </c>
      <c r="C28" s="330">
        <f>+D28+E28</f>
        <v>0</v>
      </c>
      <c r="D28" s="331"/>
      <c r="E28" s="332"/>
      <c r="F28" s="479">
        <f>+G28+H28</f>
        <v>0</v>
      </c>
      <c r="G28" s="331"/>
      <c r="H28" s="332"/>
      <c r="I28" s="480">
        <f>+J28+K28</f>
        <v>0</v>
      </c>
      <c r="J28" s="331"/>
      <c r="K28" s="332"/>
      <c r="L28" s="479">
        <f>+M28+N28</f>
        <v>0</v>
      </c>
      <c r="M28" s="331"/>
      <c r="N28" s="481"/>
      <c r="O28" s="482">
        <f>+P28+Q28</f>
        <v>0</v>
      </c>
      <c r="P28" s="483"/>
      <c r="Q28" s="483"/>
      <c r="R28" s="484">
        <f>+S28+T28</f>
        <v>0</v>
      </c>
      <c r="S28" s="483"/>
      <c r="T28" s="485"/>
    </row>
    <row r="29" spans="2:20" ht="18" customHeight="1" thickTop="1">
      <c r="B29" s="83" t="s">
        <v>4590</v>
      </c>
      <c r="C29" s="486"/>
      <c r="D29" s="336" t="str">
        <f>IF(D7&lt;=('CUADRO 1'!F7+'CUADRO 1'!F8+'CUADRO 1'!F9),"","XX")</f>
        <v/>
      </c>
      <c r="E29" s="336" t="str">
        <f>IF(E7&lt;=('CUADRO 1'!G7+'CUADRO 1'!G8+'CUADRO 1'!G9),"","XX")</f>
        <v/>
      </c>
      <c r="F29" s="486"/>
      <c r="G29" s="487" t="str">
        <f>IF(OR(G8&gt;D8,G9&gt;D9,G10&gt;D10,G11&gt;D11,G12&gt;D12,G13&gt;D13,G15&gt;D15,G16&gt;D16,G17&gt;D17,G19&gt;D19,G20&gt;D20,G21&gt;D21,G22&gt;D22,G23&gt;D23,G24&gt;D24,G25&gt;D25,G26&gt;D26,G27&gt;D27,G28&gt;D28),"XXX","")</f>
        <v/>
      </c>
      <c r="H29" s="487" t="str">
        <f>IF(OR(H8&gt;E8,H9&gt;E9,H10&gt;E10,H11&gt;E11,H12&gt;E12,H13&gt;E13,H15&gt;E15,H16&gt;E16,H17&gt;E17,H19&gt;E19,H20&gt;E20,H21&gt;E21,H22&gt;E22,H23&gt;E23,H24&gt;E24,H25&gt;E25,H26&gt;E26,H27&gt;E27,H28&gt;E28),"XXX","")</f>
        <v/>
      </c>
      <c r="I29" s="486"/>
      <c r="J29" s="336" t="str">
        <f>IF(J7&lt;=('CUADRO 1'!F10+'CUADRO 1'!F11+'CUADRO 1'!F12+'CUADRO 1'!F13),"","XX")</f>
        <v/>
      </c>
      <c r="K29" s="336" t="str">
        <f>IF(K7&lt;=('CUADRO 1'!G10+'CUADRO 1'!G11+'CUADRO 1'!G12+'CUADRO 1'!G13),"","XX")</f>
        <v/>
      </c>
      <c r="L29" s="486"/>
      <c r="M29" s="487" t="str">
        <f>IF(OR(M8&gt;J8,M9&gt;J9,M10&gt;J10,M11&gt;J11,M12&gt;J12,M13&gt;J13,M15&gt;J15,M16&gt;J16,M17&gt;J17,M19&gt;J19,M20&gt;J20,M21&gt;J21,M22&gt;J22,M23&gt;J23,M24&gt;J24,M25&gt;J25,M26&gt;J26,M27&gt;J27,M28&gt;J28),"XXX","")</f>
        <v/>
      </c>
      <c r="N29" s="487" t="str">
        <f>IF(OR(N8&gt;K8,N9&gt;K9,N10&gt;K10,N11&gt;K11,N12&gt;K12,N13&gt;K13,N15&gt;K15,N16&gt;K16,N17&gt;K17,N19&gt;K19,N20&gt;K20,N21&gt;K21,N22&gt;K22,N23&gt;K23,N24&gt;K24,N25&gt;K25,N26&gt;K26,N27&gt;K27,N28&gt;K28),"XXX","")</f>
        <v/>
      </c>
      <c r="O29" s="486"/>
      <c r="P29" s="488" t="str">
        <f>IF(OR(P8&gt;D8,P9&gt;D9,P10&gt;D10,P11&gt;D11,P12&gt;D12,P13&gt;D13,P15&gt;D15,P16&gt;D16,P17&gt;D17,P19&gt;D19,P20&gt;D20,P21&gt;D21,P22&gt;D22,P23&gt;D23,P24&gt;D24,P25&gt;D25,P26&gt;D26,P27&gt;D27,P28&gt;D28),"XXX","")</f>
        <v/>
      </c>
      <c r="Q29" s="488" t="str">
        <f>IF(OR(Q8&gt;E8,Q9&gt;E9,Q10&gt;E10,Q11&gt;E11,Q12&gt;E12,Q13&gt;E13,Q15&gt;E15,Q16&gt;E16,Q17&gt;E17,Q19&gt;E19,Q20&gt;E20,Q21&gt;E21,Q22&gt;E22,Q23&gt;E23,Q24&gt;E24,Q25&gt;E25,Q26&gt;E26,Q27&gt;E27,Q28&gt;E28),"XXX","")</f>
        <v/>
      </c>
      <c r="R29" s="486"/>
      <c r="S29" s="488" t="str">
        <f>IF(OR(S8&gt;J8,S9&gt;J9,S10&gt;J10,S11&gt;J11,S12&gt;J12,S13&gt;J13,S15&gt;J15,S16&gt;J16,S17&gt;J17,S19&gt;J19,S20&gt;J20,S21&gt;J21,S22&gt;J22,S23&gt;J23,S24&gt;J24,S25&gt;J25,S26&gt;J26,S27&gt;J27,S28&gt;J28),"XXX","")</f>
        <v/>
      </c>
      <c r="T29" s="488" t="str">
        <f>IF(OR(T8&gt;K8,T9&gt;K9,T10&gt;K10,T11&gt;K11,T12&gt;K12,T13&gt;K13,T15&gt;K15,T16&gt;K16,T17&gt;K17,T19&gt;K19,T20&gt;K20,T21&gt;K21,T22&gt;K22,T23&gt;K23,T24&gt;K24,T25&gt;K25,T26&gt;K26,T27&gt;K27,T28&gt;K28),"XXX","")</f>
        <v/>
      </c>
    </row>
    <row r="30" spans="2:20" ht="18" customHeight="1">
      <c r="B30" s="687" t="s">
        <v>4788</v>
      </c>
      <c r="E30" s="489"/>
      <c r="F30" s="912" t="str">
        <f>IF(OR(D29="XX",E29="XX",J29="XX",K29="XX",),"XX = ¡VERIFICAR!.  El total de hombres o mujeres de la Parte 1 de este Cuadro, es mayor a lo reportado en el Cuadro 1.","")</f>
        <v/>
      </c>
      <c r="G30" s="912"/>
      <c r="H30" s="912"/>
      <c r="I30" s="912"/>
      <c r="J30" s="912"/>
      <c r="K30" s="912"/>
      <c r="L30" s="912"/>
      <c r="M30" s="912"/>
      <c r="N30" s="912"/>
      <c r="P30" s="913" t="str">
        <f>IF(OR(P29="XXX",Q29="XXX",S29="XXX",T29="XXX"),"XXX = ¡VERIFICAR!.  En alguna Discapacidad o Condición se están indicando más estudiantes Alfabetizados que los reportados en la parte (1).","")</f>
        <v/>
      </c>
      <c r="Q30" s="913"/>
      <c r="R30" s="913"/>
      <c r="S30" s="913"/>
      <c r="T30" s="913"/>
    </row>
    <row r="31" spans="2:20" ht="18" customHeight="1">
      <c r="B31" s="687" t="s">
        <v>4789</v>
      </c>
      <c r="D31" s="489"/>
      <c r="E31" s="489"/>
      <c r="F31" s="912"/>
      <c r="G31" s="912"/>
      <c r="H31" s="912"/>
      <c r="I31" s="912"/>
      <c r="J31" s="912"/>
      <c r="K31" s="912"/>
      <c r="L31" s="912"/>
      <c r="M31" s="912"/>
      <c r="N31" s="912"/>
      <c r="P31" s="913"/>
      <c r="Q31" s="913"/>
      <c r="R31" s="913"/>
      <c r="S31" s="913"/>
      <c r="T31" s="913"/>
    </row>
    <row r="32" spans="2:20" ht="18" customHeight="1">
      <c r="B32" s="688" t="s">
        <v>4790</v>
      </c>
      <c r="C32" s="490"/>
      <c r="F32" s="912" t="str">
        <f>IF(OR(G29="XXX",H29="XXX",M29="XXX",N29="XXX"),"XXX = ¡VERIFICAR!.  En alguna Discapacidad o Condición se están indicando más estudiantes con Servicios de Apoyo que el total indicado con la Discapacidad o Condición.","")</f>
        <v/>
      </c>
      <c r="G32" s="912"/>
      <c r="H32" s="912"/>
      <c r="I32" s="912"/>
      <c r="J32" s="912"/>
      <c r="K32" s="912"/>
      <c r="L32" s="912"/>
      <c r="M32" s="912"/>
      <c r="N32" s="912"/>
      <c r="O32" s="490"/>
      <c r="P32" s="913"/>
      <c r="Q32" s="913"/>
      <c r="R32" s="913"/>
      <c r="S32" s="913"/>
      <c r="T32" s="913"/>
    </row>
    <row r="33" spans="2:20" ht="18" customHeight="1">
      <c r="B33" s="491"/>
      <c r="C33" s="492"/>
      <c r="E33" s="489"/>
      <c r="F33" s="912"/>
      <c r="G33" s="912"/>
      <c r="H33" s="912"/>
      <c r="I33" s="912"/>
      <c r="J33" s="912"/>
      <c r="K33" s="912"/>
      <c r="L33" s="912"/>
      <c r="M33" s="912"/>
      <c r="N33" s="912"/>
      <c r="P33" s="913"/>
      <c r="Q33" s="913"/>
      <c r="R33" s="913"/>
      <c r="S33" s="913"/>
      <c r="T33" s="913"/>
    </row>
    <row r="34" spans="2:20" ht="18" customHeight="1">
      <c r="B34" s="265" t="s">
        <v>1202</v>
      </c>
      <c r="C34" s="493"/>
      <c r="D34" s="494"/>
      <c r="E34" s="494"/>
      <c r="F34" s="914"/>
      <c r="G34" s="914"/>
      <c r="H34" s="914"/>
      <c r="I34" s="914"/>
      <c r="J34" s="914"/>
      <c r="K34" s="914"/>
      <c r="L34" s="914"/>
      <c r="M34" s="914"/>
      <c r="N34" s="914"/>
      <c r="P34" s="913"/>
      <c r="Q34" s="913"/>
      <c r="R34" s="913"/>
      <c r="S34" s="913"/>
      <c r="T34" s="913"/>
    </row>
    <row r="35" spans="2:20" ht="14.25" customHeight="1">
      <c r="B35" s="829"/>
      <c r="C35" s="830"/>
      <c r="D35" s="830"/>
      <c r="E35" s="830"/>
      <c r="F35" s="830"/>
      <c r="G35" s="830"/>
      <c r="H35" s="830"/>
      <c r="I35" s="830"/>
      <c r="J35" s="830"/>
      <c r="K35" s="830"/>
      <c r="L35" s="830"/>
      <c r="M35" s="830"/>
      <c r="N35" s="831"/>
      <c r="P35" s="495"/>
      <c r="Q35" s="495"/>
    </row>
    <row r="36" spans="2:20" ht="14.25" customHeight="1">
      <c r="B36" s="832"/>
      <c r="C36" s="833"/>
      <c r="D36" s="833"/>
      <c r="E36" s="833"/>
      <c r="F36" s="833"/>
      <c r="G36" s="833"/>
      <c r="H36" s="833"/>
      <c r="I36" s="833"/>
      <c r="J36" s="833"/>
      <c r="K36" s="833"/>
      <c r="L36" s="833"/>
      <c r="M36" s="833"/>
      <c r="N36" s="834"/>
      <c r="P36" s="495"/>
      <c r="Q36" s="495"/>
    </row>
    <row r="37" spans="2:20" ht="14.25" customHeight="1">
      <c r="B37" s="832"/>
      <c r="C37" s="833"/>
      <c r="D37" s="833"/>
      <c r="E37" s="833"/>
      <c r="F37" s="833"/>
      <c r="G37" s="833"/>
      <c r="H37" s="833"/>
      <c r="I37" s="833"/>
      <c r="J37" s="833"/>
      <c r="K37" s="833"/>
      <c r="L37" s="833"/>
      <c r="M37" s="833"/>
      <c r="N37" s="834"/>
      <c r="P37" s="495"/>
      <c r="Q37" s="495"/>
    </row>
    <row r="38" spans="2:20" ht="14.25" customHeight="1">
      <c r="B38" s="835"/>
      <c r="C38" s="836"/>
      <c r="D38" s="836"/>
      <c r="E38" s="836"/>
      <c r="F38" s="836"/>
      <c r="G38" s="836"/>
      <c r="H38" s="836"/>
      <c r="I38" s="836"/>
      <c r="J38" s="836"/>
      <c r="K38" s="836"/>
      <c r="L38" s="836"/>
      <c r="M38" s="836"/>
      <c r="N38" s="837"/>
      <c r="P38" s="495"/>
      <c r="Q38" s="495"/>
    </row>
    <row r="39" spans="2:20" ht="8.25" customHeight="1"/>
  </sheetData>
  <sheetProtection algorithmName="SHA-512" hashValue="nva++Ca+sE9G8Nqbk2TQdoO096zZTkIH+2BBSlP5tgZCWwSiqZjcJSBICfLBBIh9xyVf7ER14n00wA8RhbsvIw==" saltValue="MnMevxmoZJ+BD3UIcC6YyA==" spinCount="100000" sheet="1" objects="1" scenarios="1"/>
  <mergeCells count="15">
    <mergeCell ref="S1:T1"/>
    <mergeCell ref="C3:H3"/>
    <mergeCell ref="I3:N3"/>
    <mergeCell ref="B3:B5"/>
    <mergeCell ref="O3:T4"/>
    <mergeCell ref="C4:E5"/>
    <mergeCell ref="F30:N31"/>
    <mergeCell ref="P30:T34"/>
    <mergeCell ref="F32:N34"/>
    <mergeCell ref="B35:N38"/>
    <mergeCell ref="F4:H5"/>
    <mergeCell ref="I4:K5"/>
    <mergeCell ref="L4:N5"/>
    <mergeCell ref="O5:Q5"/>
    <mergeCell ref="R5:T5"/>
  </mergeCells>
  <conditionalFormatting sqref="O7:Q7">
    <cfRule type="cellIs" dxfId="191" priority="297" operator="equal">
      <formula>0</formula>
    </cfRule>
  </conditionalFormatting>
  <conditionalFormatting sqref="C7:E7">
    <cfRule type="cellIs" dxfId="190" priority="343" operator="equal">
      <formula>0</formula>
    </cfRule>
  </conditionalFormatting>
  <conditionalFormatting sqref="F7:H7">
    <cfRule type="cellIs" dxfId="189" priority="332" operator="equal">
      <formula>0</formula>
    </cfRule>
  </conditionalFormatting>
  <conditionalFormatting sqref="I7:K7">
    <cfRule type="cellIs" dxfId="188" priority="321" operator="equal">
      <formula>0</formula>
    </cfRule>
  </conditionalFormatting>
  <conditionalFormatting sqref="L7:N7">
    <cfRule type="cellIs" dxfId="187" priority="310" operator="equal">
      <formula>0</formula>
    </cfRule>
  </conditionalFormatting>
  <conditionalFormatting sqref="R7:T7">
    <cfRule type="cellIs" dxfId="186" priority="286" operator="equal">
      <formula>0</formula>
    </cfRule>
  </conditionalFormatting>
  <conditionalFormatting sqref="Q18">
    <cfRule type="cellIs" dxfId="185" priority="63" operator="equal">
      <formula>0</formula>
    </cfRule>
  </conditionalFormatting>
  <conditionalFormatting sqref="Q14">
    <cfRule type="cellIs" dxfId="184" priority="62" operator="equal">
      <formula>0</formula>
    </cfRule>
  </conditionalFormatting>
  <conditionalFormatting sqref="S18">
    <cfRule type="cellIs" dxfId="183" priority="42" operator="equal">
      <formula>0</formula>
    </cfRule>
  </conditionalFormatting>
  <conditionalFormatting sqref="S14">
    <cfRule type="cellIs" dxfId="182" priority="41" operator="equal">
      <formula>0</formula>
    </cfRule>
  </conditionalFormatting>
  <conditionalFormatting sqref="O18:O19 O21">
    <cfRule type="cellIs" dxfId="181" priority="101" operator="equal">
      <formula>0</formula>
    </cfRule>
  </conditionalFormatting>
  <conditionalFormatting sqref="O18:P18">
    <cfRule type="cellIs" dxfId="180" priority="100" operator="equal">
      <formula>0</formula>
    </cfRule>
  </conditionalFormatting>
  <conditionalFormatting sqref="O10:O13">
    <cfRule type="cellIs" dxfId="179" priority="99" operator="equal">
      <formula>0</formula>
    </cfRule>
  </conditionalFormatting>
  <conditionalFormatting sqref="O27">
    <cfRule type="cellIs" dxfId="178" priority="98" operator="equal">
      <formula>0</formula>
    </cfRule>
  </conditionalFormatting>
  <conditionalFormatting sqref="O20">
    <cfRule type="cellIs" dxfId="177" priority="97" operator="equal">
      <formula>0</formula>
    </cfRule>
  </conditionalFormatting>
  <conditionalFormatting sqref="O15 O17">
    <cfRule type="cellIs" dxfId="176" priority="96" operator="equal">
      <formula>0</formula>
    </cfRule>
  </conditionalFormatting>
  <conditionalFormatting sqref="O16">
    <cfRule type="cellIs" dxfId="175" priority="95" operator="equal">
      <formula>0</formula>
    </cfRule>
  </conditionalFormatting>
  <conditionalFormatting sqref="O14">
    <cfRule type="cellIs" dxfId="174" priority="94" operator="equal">
      <formula>0</formula>
    </cfRule>
  </conditionalFormatting>
  <conditionalFormatting sqref="O14:P14">
    <cfRule type="cellIs" dxfId="173" priority="93" operator="equal">
      <formula>0</formula>
    </cfRule>
  </conditionalFormatting>
  <conditionalFormatting sqref="R8:R9 R28 R22:R26">
    <cfRule type="cellIs" dxfId="172" priority="92" operator="equal">
      <formula>0</formula>
    </cfRule>
  </conditionalFormatting>
  <conditionalFormatting sqref="R18:R19 R21">
    <cfRule type="cellIs" dxfId="171" priority="91" operator="equal">
      <formula>0</formula>
    </cfRule>
  </conditionalFormatting>
  <conditionalFormatting sqref="R18">
    <cfRule type="cellIs" dxfId="170" priority="90" operator="equal">
      <formula>0</formula>
    </cfRule>
  </conditionalFormatting>
  <conditionalFormatting sqref="R10:R13">
    <cfRule type="cellIs" dxfId="169" priority="89" operator="equal">
      <formula>0</formula>
    </cfRule>
  </conditionalFormatting>
  <conditionalFormatting sqref="R27">
    <cfRule type="cellIs" dxfId="168" priority="88" operator="equal">
      <formula>0</formula>
    </cfRule>
  </conditionalFormatting>
  <conditionalFormatting sqref="R20">
    <cfRule type="cellIs" dxfId="167" priority="87" operator="equal">
      <formula>0</formula>
    </cfRule>
  </conditionalFormatting>
  <conditionalFormatting sqref="F8:F9 F28 F22:F26">
    <cfRule type="cellIs" dxfId="166" priority="132" operator="equal">
      <formula>0</formula>
    </cfRule>
  </conditionalFormatting>
  <conditionalFormatting sqref="F18:F19 F21">
    <cfRule type="cellIs" dxfId="165" priority="131" operator="equal">
      <formula>0</formula>
    </cfRule>
  </conditionalFormatting>
  <conditionalFormatting sqref="F18:H18">
    <cfRule type="cellIs" dxfId="164" priority="130" operator="equal">
      <formula>0</formula>
    </cfRule>
  </conditionalFormatting>
  <conditionalFormatting sqref="F10:F13">
    <cfRule type="cellIs" dxfId="163" priority="129" operator="equal">
      <formula>0</formula>
    </cfRule>
  </conditionalFormatting>
  <conditionalFormatting sqref="F27">
    <cfRule type="cellIs" dxfId="162" priority="128" operator="equal">
      <formula>0</formula>
    </cfRule>
  </conditionalFormatting>
  <conditionalFormatting sqref="F20">
    <cfRule type="cellIs" dxfId="161" priority="127" operator="equal">
      <formula>0</formula>
    </cfRule>
  </conditionalFormatting>
  <conditionalFormatting sqref="F15 F17">
    <cfRule type="cellIs" dxfId="160" priority="126" operator="equal">
      <formula>0</formula>
    </cfRule>
  </conditionalFormatting>
  <conditionalFormatting sqref="F16">
    <cfRule type="cellIs" dxfId="159" priority="125" operator="equal">
      <formula>0</formula>
    </cfRule>
  </conditionalFormatting>
  <conditionalFormatting sqref="C8:C9 C28 C22:C26">
    <cfRule type="cellIs" dxfId="158" priority="142" operator="equal">
      <formula>0</formula>
    </cfRule>
  </conditionalFormatting>
  <conditionalFormatting sqref="C18:C19 C21">
    <cfRule type="cellIs" dxfId="157" priority="141" operator="equal">
      <formula>0</formula>
    </cfRule>
  </conditionalFormatting>
  <conditionalFormatting sqref="C18:E18">
    <cfRule type="cellIs" dxfId="156" priority="140" operator="equal">
      <formula>0</formula>
    </cfRule>
  </conditionalFormatting>
  <conditionalFormatting sqref="C10:C13">
    <cfRule type="cellIs" dxfId="155" priority="139" operator="equal">
      <formula>0</formula>
    </cfRule>
  </conditionalFormatting>
  <conditionalFormatting sqref="C27">
    <cfRule type="cellIs" dxfId="154" priority="138" operator="equal">
      <formula>0</formula>
    </cfRule>
  </conditionalFormatting>
  <conditionalFormatting sqref="C20">
    <cfRule type="cellIs" dxfId="153" priority="137" operator="equal">
      <formula>0</formula>
    </cfRule>
  </conditionalFormatting>
  <conditionalFormatting sqref="C15 C17">
    <cfRule type="cellIs" dxfId="152" priority="136" operator="equal">
      <formula>0</formula>
    </cfRule>
  </conditionalFormatting>
  <conditionalFormatting sqref="C16">
    <cfRule type="cellIs" dxfId="151" priority="135" operator="equal">
      <formula>0</formula>
    </cfRule>
  </conditionalFormatting>
  <conditionalFormatting sqref="C14">
    <cfRule type="cellIs" dxfId="150" priority="134" operator="equal">
      <formula>0</formula>
    </cfRule>
  </conditionalFormatting>
  <conditionalFormatting sqref="C14:E14">
    <cfRule type="cellIs" dxfId="149" priority="133" operator="equal">
      <formula>0</formula>
    </cfRule>
  </conditionalFormatting>
  <conditionalFormatting sqref="F14">
    <cfRule type="cellIs" dxfId="148" priority="124" operator="equal">
      <formula>0</formula>
    </cfRule>
  </conditionalFormatting>
  <conditionalFormatting sqref="F14:H14">
    <cfRule type="cellIs" dxfId="147" priority="123" operator="equal">
      <formula>0</formula>
    </cfRule>
  </conditionalFormatting>
  <conditionalFormatting sqref="I8:I9 I28 I22:I26">
    <cfRule type="cellIs" dxfId="146" priority="122" operator="equal">
      <formula>0</formula>
    </cfRule>
  </conditionalFormatting>
  <conditionalFormatting sqref="I18:I19 I21">
    <cfRule type="cellIs" dxfId="145" priority="121" operator="equal">
      <formula>0</formula>
    </cfRule>
  </conditionalFormatting>
  <conditionalFormatting sqref="I18:K18">
    <cfRule type="cellIs" dxfId="144" priority="120" operator="equal">
      <formula>0</formula>
    </cfRule>
  </conditionalFormatting>
  <conditionalFormatting sqref="I10:I13">
    <cfRule type="cellIs" dxfId="143" priority="119" operator="equal">
      <formula>0</formula>
    </cfRule>
  </conditionalFormatting>
  <conditionalFormatting sqref="I27">
    <cfRule type="cellIs" dxfId="142" priority="118" operator="equal">
      <formula>0</formula>
    </cfRule>
  </conditionalFormatting>
  <conditionalFormatting sqref="I20">
    <cfRule type="cellIs" dxfId="141" priority="117" operator="equal">
      <formula>0</formula>
    </cfRule>
  </conditionalFormatting>
  <conditionalFormatting sqref="I15 I17">
    <cfRule type="cellIs" dxfId="140" priority="116" operator="equal">
      <formula>0</formula>
    </cfRule>
  </conditionalFormatting>
  <conditionalFormatting sqref="I16">
    <cfRule type="cellIs" dxfId="139" priority="115" operator="equal">
      <formula>0</formula>
    </cfRule>
  </conditionalFormatting>
  <conditionalFormatting sqref="I14">
    <cfRule type="cellIs" dxfId="138" priority="114" operator="equal">
      <formula>0</formula>
    </cfRule>
  </conditionalFormatting>
  <conditionalFormatting sqref="I14:K14">
    <cfRule type="cellIs" dxfId="137" priority="113" operator="equal">
      <formula>0</formula>
    </cfRule>
  </conditionalFormatting>
  <conditionalFormatting sqref="L8:L9 L28 L22:L26">
    <cfRule type="cellIs" dxfId="136" priority="112" operator="equal">
      <formula>0</formula>
    </cfRule>
  </conditionalFormatting>
  <conditionalFormatting sqref="L18:L19 L21">
    <cfRule type="cellIs" dxfId="135" priority="111" operator="equal">
      <formula>0</formula>
    </cfRule>
  </conditionalFormatting>
  <conditionalFormatting sqref="L18:N18">
    <cfRule type="cellIs" dxfId="134" priority="110" operator="equal">
      <formula>0</formula>
    </cfRule>
  </conditionalFormatting>
  <conditionalFormatting sqref="L10:L13">
    <cfRule type="cellIs" dxfId="133" priority="109" operator="equal">
      <formula>0</formula>
    </cfRule>
  </conditionalFormatting>
  <conditionalFormatting sqref="L27">
    <cfRule type="cellIs" dxfId="132" priority="108" operator="equal">
      <formula>0</formula>
    </cfRule>
  </conditionalFormatting>
  <conditionalFormatting sqref="L20">
    <cfRule type="cellIs" dxfId="131" priority="107" operator="equal">
      <formula>0</formula>
    </cfRule>
  </conditionalFormatting>
  <conditionalFormatting sqref="L15 L17">
    <cfRule type="cellIs" dxfId="130" priority="106" operator="equal">
      <formula>0</formula>
    </cfRule>
  </conditionalFormatting>
  <conditionalFormatting sqref="L16">
    <cfRule type="cellIs" dxfId="129" priority="105" operator="equal">
      <formula>0</formula>
    </cfRule>
  </conditionalFormatting>
  <conditionalFormatting sqref="L14">
    <cfRule type="cellIs" dxfId="128" priority="104" operator="equal">
      <formula>0</formula>
    </cfRule>
  </conditionalFormatting>
  <conditionalFormatting sqref="L14:N14">
    <cfRule type="cellIs" dxfId="127" priority="103" operator="equal">
      <formula>0</formula>
    </cfRule>
  </conditionalFormatting>
  <conditionalFormatting sqref="O8:O9 O28 O22:O26">
    <cfRule type="cellIs" dxfId="126" priority="102" operator="equal">
      <formula>0</formula>
    </cfRule>
  </conditionalFormatting>
  <conditionalFormatting sqref="R15 R17">
    <cfRule type="cellIs" dxfId="125" priority="86" operator="equal">
      <formula>0</formula>
    </cfRule>
  </conditionalFormatting>
  <conditionalFormatting sqref="R16">
    <cfRule type="cellIs" dxfId="124" priority="85" operator="equal">
      <formula>0</formula>
    </cfRule>
  </conditionalFormatting>
  <conditionalFormatting sqref="R14">
    <cfRule type="cellIs" dxfId="123" priority="84" operator="equal">
      <formula>0</formula>
    </cfRule>
  </conditionalFormatting>
  <conditionalFormatting sqref="R14">
    <cfRule type="cellIs" dxfId="122" priority="83" operator="equal">
      <formula>0</formula>
    </cfRule>
  </conditionalFormatting>
  <conditionalFormatting sqref="P8">
    <cfRule type="cellIs" dxfId="121" priority="82" operator="greaterThan">
      <formula>D8</formula>
    </cfRule>
  </conditionalFormatting>
  <conditionalFormatting sqref="P9">
    <cfRule type="cellIs" dxfId="120" priority="81" operator="greaterThan">
      <formula>D9</formula>
    </cfRule>
  </conditionalFormatting>
  <conditionalFormatting sqref="P10">
    <cfRule type="cellIs" dxfId="119" priority="80" operator="greaterThan">
      <formula>D10</formula>
    </cfRule>
  </conditionalFormatting>
  <conditionalFormatting sqref="P11">
    <cfRule type="cellIs" dxfId="118" priority="79" operator="greaterThan">
      <formula>D11</formula>
    </cfRule>
  </conditionalFormatting>
  <conditionalFormatting sqref="P12">
    <cfRule type="cellIs" dxfId="117" priority="78" operator="greaterThan">
      <formula>D12</formula>
    </cfRule>
  </conditionalFormatting>
  <conditionalFormatting sqref="P13">
    <cfRule type="cellIs" dxfId="116" priority="77" operator="greaterThan">
      <formula>D13</formula>
    </cfRule>
  </conditionalFormatting>
  <conditionalFormatting sqref="P15">
    <cfRule type="cellIs" dxfId="115" priority="76" operator="greaterThan">
      <formula>D15</formula>
    </cfRule>
  </conditionalFormatting>
  <conditionalFormatting sqref="P16">
    <cfRule type="cellIs" dxfId="114" priority="75" operator="greaterThan">
      <formula>D16</formula>
    </cfRule>
  </conditionalFormatting>
  <conditionalFormatting sqref="P17">
    <cfRule type="cellIs" dxfId="113" priority="74" operator="greaterThan">
      <formula>D17</formula>
    </cfRule>
  </conditionalFormatting>
  <conditionalFormatting sqref="P19">
    <cfRule type="cellIs" dxfId="112" priority="73" operator="greaterThan">
      <formula>D19</formula>
    </cfRule>
  </conditionalFormatting>
  <conditionalFormatting sqref="P20">
    <cfRule type="cellIs" dxfId="111" priority="72" operator="greaterThan">
      <formula>D20</formula>
    </cfRule>
  </conditionalFormatting>
  <conditionalFormatting sqref="P21">
    <cfRule type="cellIs" dxfId="110" priority="71" operator="greaterThan">
      <formula>D21</formula>
    </cfRule>
  </conditionalFormatting>
  <conditionalFormatting sqref="P22">
    <cfRule type="cellIs" dxfId="109" priority="70" operator="greaterThan">
      <formula>D22</formula>
    </cfRule>
  </conditionalFormatting>
  <conditionalFormatting sqref="P23">
    <cfRule type="cellIs" dxfId="108" priority="69" operator="greaterThan">
      <formula>D23</formula>
    </cfRule>
  </conditionalFormatting>
  <conditionalFormatting sqref="P24">
    <cfRule type="cellIs" dxfId="107" priority="68" operator="greaterThan">
      <formula>D24</formula>
    </cfRule>
  </conditionalFormatting>
  <conditionalFormatting sqref="P25">
    <cfRule type="cellIs" dxfId="106" priority="67" operator="greaterThan">
      <formula>D25</formula>
    </cfRule>
  </conditionalFormatting>
  <conditionalFormatting sqref="P26">
    <cfRule type="cellIs" dxfId="105" priority="66" operator="greaterThan">
      <formula>D26</formula>
    </cfRule>
  </conditionalFormatting>
  <conditionalFormatting sqref="P27">
    <cfRule type="cellIs" dxfId="104" priority="65" operator="greaterThan">
      <formula>D27</formula>
    </cfRule>
  </conditionalFormatting>
  <conditionalFormatting sqref="P28">
    <cfRule type="cellIs" dxfId="103" priority="64" operator="greaterThan">
      <formula>D28</formula>
    </cfRule>
  </conditionalFormatting>
  <conditionalFormatting sqref="Q8">
    <cfRule type="cellIs" dxfId="102" priority="61" operator="greaterThan">
      <formula>E8</formula>
    </cfRule>
  </conditionalFormatting>
  <conditionalFormatting sqref="Q9">
    <cfRule type="cellIs" dxfId="101" priority="60" operator="greaterThan">
      <formula>E9</formula>
    </cfRule>
  </conditionalFormatting>
  <conditionalFormatting sqref="Q10">
    <cfRule type="cellIs" dxfId="100" priority="59" operator="greaterThan">
      <formula>E10</formula>
    </cfRule>
  </conditionalFormatting>
  <conditionalFormatting sqref="Q11">
    <cfRule type="cellIs" dxfId="99" priority="58" operator="greaterThan">
      <formula>E11</formula>
    </cfRule>
  </conditionalFormatting>
  <conditionalFormatting sqref="Q12">
    <cfRule type="cellIs" dxfId="98" priority="57" operator="greaterThan">
      <formula>E12</formula>
    </cfRule>
  </conditionalFormatting>
  <conditionalFormatting sqref="Q13">
    <cfRule type="cellIs" dxfId="97" priority="56" operator="greaterThan">
      <formula>E13</formula>
    </cfRule>
  </conditionalFormatting>
  <conditionalFormatting sqref="Q15">
    <cfRule type="cellIs" dxfId="96" priority="55" operator="greaterThan">
      <formula>E15</formula>
    </cfRule>
  </conditionalFormatting>
  <conditionalFormatting sqref="Q16">
    <cfRule type="cellIs" dxfId="95" priority="54" operator="greaterThan">
      <formula>E16</formula>
    </cfRule>
  </conditionalFormatting>
  <conditionalFormatting sqref="Q17">
    <cfRule type="cellIs" dxfId="94" priority="53" operator="greaterThan">
      <formula>E17</formula>
    </cfRule>
  </conditionalFormatting>
  <conditionalFormatting sqref="Q19">
    <cfRule type="cellIs" dxfId="93" priority="52" operator="greaterThan">
      <formula>E19</formula>
    </cfRule>
  </conditionalFormatting>
  <conditionalFormatting sqref="Q20">
    <cfRule type="cellIs" dxfId="92" priority="51" operator="greaterThan">
      <formula>E20</formula>
    </cfRule>
  </conditionalFormatting>
  <conditionalFormatting sqref="Q21">
    <cfRule type="cellIs" dxfId="91" priority="50" operator="greaterThan">
      <formula>E21</formula>
    </cfRule>
  </conditionalFormatting>
  <conditionalFormatting sqref="Q22">
    <cfRule type="cellIs" dxfId="90" priority="49" operator="greaterThan">
      <formula>E22</formula>
    </cfRule>
  </conditionalFormatting>
  <conditionalFormatting sqref="Q23">
    <cfRule type="cellIs" dxfId="89" priority="48" operator="greaterThan">
      <formula>E23</formula>
    </cfRule>
  </conditionalFormatting>
  <conditionalFormatting sqref="Q24">
    <cfRule type="cellIs" dxfId="88" priority="47" operator="greaterThan">
      <formula>E24</formula>
    </cfRule>
  </conditionalFormatting>
  <conditionalFormatting sqref="Q25">
    <cfRule type="cellIs" dxfId="87" priority="46" operator="greaterThan">
      <formula>E25</formula>
    </cfRule>
  </conditionalFormatting>
  <conditionalFormatting sqref="Q26">
    <cfRule type="cellIs" dxfId="86" priority="45" operator="greaterThan">
      <formula>E26</formula>
    </cfRule>
  </conditionalFormatting>
  <conditionalFormatting sqref="Q27">
    <cfRule type="cellIs" dxfId="85" priority="44" operator="greaterThan">
      <formula>E27</formula>
    </cfRule>
  </conditionalFormatting>
  <conditionalFormatting sqref="Q28">
    <cfRule type="cellIs" dxfId="84" priority="43" operator="greaterThan">
      <formula>E28</formula>
    </cfRule>
  </conditionalFormatting>
  <conditionalFormatting sqref="S8">
    <cfRule type="cellIs" dxfId="83" priority="40" operator="greaterThan">
      <formula>J8</formula>
    </cfRule>
  </conditionalFormatting>
  <conditionalFormatting sqref="S9">
    <cfRule type="cellIs" dxfId="82" priority="39" operator="greaterThan">
      <formula>J9</formula>
    </cfRule>
  </conditionalFormatting>
  <conditionalFormatting sqref="S10">
    <cfRule type="cellIs" dxfId="81" priority="38" operator="greaterThan">
      <formula>J10</formula>
    </cfRule>
  </conditionalFormatting>
  <conditionalFormatting sqref="S11">
    <cfRule type="cellIs" dxfId="80" priority="37" operator="greaterThan">
      <formula>J11</formula>
    </cfRule>
  </conditionalFormatting>
  <conditionalFormatting sqref="S12">
    <cfRule type="cellIs" dxfId="79" priority="36" operator="greaterThan">
      <formula>J12</formula>
    </cfRule>
  </conditionalFormatting>
  <conditionalFormatting sqref="S13">
    <cfRule type="cellIs" dxfId="78" priority="35" operator="greaterThan">
      <formula>J13</formula>
    </cfRule>
  </conditionalFormatting>
  <conditionalFormatting sqref="S15">
    <cfRule type="cellIs" dxfId="77" priority="34" operator="greaterThan">
      <formula>J15</formula>
    </cfRule>
  </conditionalFormatting>
  <conditionalFormatting sqref="S16">
    <cfRule type="cellIs" dxfId="76" priority="33" operator="greaterThan">
      <formula>J16</formula>
    </cfRule>
  </conditionalFormatting>
  <conditionalFormatting sqref="S17">
    <cfRule type="cellIs" dxfId="75" priority="32" operator="greaterThan">
      <formula>J17</formula>
    </cfRule>
  </conditionalFormatting>
  <conditionalFormatting sqref="S19">
    <cfRule type="cellIs" dxfId="74" priority="31" operator="greaterThan">
      <formula>J19</formula>
    </cfRule>
  </conditionalFormatting>
  <conditionalFormatting sqref="S20">
    <cfRule type="cellIs" dxfId="73" priority="30" operator="greaterThan">
      <formula>J20</formula>
    </cfRule>
  </conditionalFormatting>
  <conditionalFormatting sqref="S21">
    <cfRule type="cellIs" dxfId="72" priority="29" operator="greaterThan">
      <formula>J21</formula>
    </cfRule>
  </conditionalFormatting>
  <conditionalFormatting sqref="S22">
    <cfRule type="cellIs" dxfId="71" priority="28" operator="greaterThan">
      <formula>J22</formula>
    </cfRule>
  </conditionalFormatting>
  <conditionalFormatting sqref="S23">
    <cfRule type="cellIs" dxfId="70" priority="27" operator="greaterThan">
      <formula>J23</formula>
    </cfRule>
  </conditionalFormatting>
  <conditionalFormatting sqref="S24">
    <cfRule type="cellIs" dxfId="69" priority="26" operator="greaterThan">
      <formula>J24</formula>
    </cfRule>
  </conditionalFormatting>
  <conditionalFormatting sqref="S25">
    <cfRule type="cellIs" dxfId="68" priority="25" operator="greaterThan">
      <formula>J25</formula>
    </cfRule>
  </conditionalFormatting>
  <conditionalFormatting sqref="S26">
    <cfRule type="cellIs" dxfId="67" priority="24" operator="greaterThan">
      <formula>J26</formula>
    </cfRule>
  </conditionalFormatting>
  <conditionalFormatting sqref="S27">
    <cfRule type="cellIs" dxfId="66" priority="23" operator="greaterThan">
      <formula>J27</formula>
    </cfRule>
  </conditionalFormatting>
  <conditionalFormatting sqref="S28">
    <cfRule type="cellIs" dxfId="65" priority="22" operator="greaterThan">
      <formula>J28</formula>
    </cfRule>
  </conditionalFormatting>
  <conditionalFormatting sqref="T18">
    <cfRule type="cellIs" dxfId="64" priority="21" operator="equal">
      <formula>0</formula>
    </cfRule>
  </conditionalFormatting>
  <conditionalFormatting sqref="T14">
    <cfRule type="cellIs" dxfId="63" priority="20" operator="equal">
      <formula>0</formula>
    </cfRule>
  </conditionalFormatting>
  <conditionalFormatting sqref="T8">
    <cfRule type="cellIs" dxfId="62" priority="19" operator="greaterThan">
      <formula>K8</formula>
    </cfRule>
  </conditionalFormatting>
  <conditionalFormatting sqref="T9">
    <cfRule type="cellIs" dxfId="61" priority="18" operator="greaterThan">
      <formula>K9</formula>
    </cfRule>
  </conditionalFormatting>
  <conditionalFormatting sqref="T10">
    <cfRule type="cellIs" dxfId="60" priority="17" operator="greaterThan">
      <formula>K10</formula>
    </cfRule>
  </conditionalFormatting>
  <conditionalFormatting sqref="T11">
    <cfRule type="cellIs" dxfId="59" priority="16" operator="greaterThan">
      <formula>K11</formula>
    </cfRule>
  </conditionalFormatting>
  <conditionalFormatting sqref="T12">
    <cfRule type="cellIs" dxfId="58" priority="15" operator="greaterThan">
      <formula>K12</formula>
    </cfRule>
  </conditionalFormatting>
  <conditionalFormatting sqref="T13">
    <cfRule type="cellIs" dxfId="57" priority="14" operator="greaterThan">
      <formula>K13</formula>
    </cfRule>
  </conditionalFormatting>
  <conditionalFormatting sqref="T15">
    <cfRule type="cellIs" dxfId="56" priority="13" operator="greaterThan">
      <formula>K15</formula>
    </cfRule>
  </conditionalFormatting>
  <conditionalFormatting sqref="T16">
    <cfRule type="cellIs" dxfId="55" priority="12" operator="greaterThan">
      <formula>K16</formula>
    </cfRule>
  </conditionalFormatting>
  <conditionalFormatting sqref="T17">
    <cfRule type="cellIs" dxfId="54" priority="11" operator="greaterThan">
      <formula>K17</formula>
    </cfRule>
  </conditionalFormatting>
  <conditionalFormatting sqref="T19">
    <cfRule type="cellIs" dxfId="53" priority="10" operator="greaterThan">
      <formula>K19</formula>
    </cfRule>
  </conditionalFormatting>
  <conditionalFormatting sqref="T20">
    <cfRule type="cellIs" dxfId="52" priority="9" operator="greaterThan">
      <formula>K20</formula>
    </cfRule>
  </conditionalFormatting>
  <conditionalFormatting sqref="T21">
    <cfRule type="cellIs" dxfId="51" priority="8" operator="greaterThan">
      <formula>K21</formula>
    </cfRule>
  </conditionalFormatting>
  <conditionalFormatting sqref="T22">
    <cfRule type="cellIs" dxfId="50" priority="7" operator="greaterThan">
      <formula>K22</formula>
    </cfRule>
  </conditionalFormatting>
  <conditionalFormatting sqref="T23">
    <cfRule type="cellIs" dxfId="49" priority="6" operator="greaterThan">
      <formula>K23</formula>
    </cfRule>
  </conditionalFormatting>
  <conditionalFormatting sqref="T24">
    <cfRule type="cellIs" dxfId="48" priority="5" operator="greaterThan">
      <formula>K24</formula>
    </cfRule>
  </conditionalFormatting>
  <conditionalFormatting sqref="T25">
    <cfRule type="cellIs" dxfId="47" priority="4" operator="greaterThan">
      <formula>K25</formula>
    </cfRule>
  </conditionalFormatting>
  <conditionalFormatting sqref="T26">
    <cfRule type="cellIs" dxfId="46" priority="3" operator="greaterThan">
      <formula>K26</formula>
    </cfRule>
  </conditionalFormatting>
  <conditionalFormatting sqref="T27">
    <cfRule type="cellIs" dxfId="45" priority="2" operator="greaterThan">
      <formula>K27</formula>
    </cfRule>
  </conditionalFormatting>
  <conditionalFormatting sqref="T28">
    <cfRule type="cellIs" dxfId="44" priority="1" operator="greaterThan">
      <formula>K28</formula>
    </cfRule>
  </conditionalFormatting>
  <dataValidations count="1">
    <dataValidation type="whole" operator="greaterThanOrEqual" allowBlank="1" showInputMessage="1" showErrorMessage="1" sqref="C7:T28">
      <formula1>0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scale="67" orientation="landscape" r:id="rId1"/>
  <headerFooter scaleWithDoc="0">
    <oddFooter>&amp;R&amp;"Goudy,Negrita Cursiva"Académica Diurna&amp;"Goudy,Cursiva", página 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5" tint="0.39997558519241921"/>
  </sheetPr>
  <dimension ref="A1:AH700"/>
  <sheetViews>
    <sheetView zoomScale="80" zoomScaleNormal="80" workbookViewId="0">
      <pane ySplit="2" topLeftCell="A3" activePane="bottomLeft" state="frozen"/>
      <selection pane="bottomLeft" activeCell="B476" sqref="B476"/>
    </sheetView>
  </sheetViews>
  <sheetFormatPr baseColWidth="10" defaultRowHeight="15"/>
  <cols>
    <col min="1" max="1" width="11" style="12" bestFit="1" customWidth="1"/>
    <col min="2" max="2" width="11.42578125" style="12" bestFit="1" customWidth="1"/>
    <col min="3" max="3" width="9.85546875" style="12" bestFit="1" customWidth="1"/>
    <col min="4" max="4" width="9.140625" style="12" bestFit="1" customWidth="1"/>
    <col min="5" max="5" width="6.42578125" style="12" bestFit="1" customWidth="1"/>
    <col min="6" max="6" width="7.85546875" style="12" bestFit="1" customWidth="1"/>
    <col min="7" max="7" width="7.140625" style="12" bestFit="1" customWidth="1"/>
    <col min="8" max="8" width="25.85546875" style="12" bestFit="1" customWidth="1"/>
    <col min="9" max="9" width="11" style="12" bestFit="1" customWidth="1"/>
    <col min="10" max="10" width="9.28515625" style="12" bestFit="1" customWidth="1"/>
    <col min="11" max="11" width="11.42578125" style="12" bestFit="1" customWidth="1"/>
    <col min="12" max="12" width="9.28515625" style="12" bestFit="1" customWidth="1"/>
    <col min="13" max="13" width="52.85546875" style="12" bestFit="1" customWidth="1"/>
    <col min="14" max="14" width="7.42578125" style="12" bestFit="1" customWidth="1"/>
    <col min="15" max="15" width="7.85546875" style="12" bestFit="1" customWidth="1"/>
    <col min="16" max="16" width="8.140625" style="12" bestFit="1" customWidth="1"/>
    <col min="17" max="17" width="8.5703125" style="12" bestFit="1" customWidth="1"/>
    <col min="18" max="18" width="8.85546875" style="12" bestFit="1" customWidth="1"/>
    <col min="19" max="19" width="8.5703125" style="12" bestFit="1" customWidth="1"/>
    <col min="20" max="20" width="8.85546875" style="12" bestFit="1" customWidth="1"/>
    <col min="21" max="21" width="8.5703125" style="12" bestFit="1" customWidth="1"/>
    <col min="22" max="22" width="8.85546875" style="12" bestFit="1" customWidth="1"/>
    <col min="23" max="23" width="8.5703125" style="12" bestFit="1" customWidth="1"/>
    <col min="24" max="24" width="8.85546875" style="12" bestFit="1" customWidth="1"/>
    <col min="25" max="25" width="8.5703125" style="12" bestFit="1" customWidth="1"/>
    <col min="26" max="26" width="8.85546875" style="12" bestFit="1" customWidth="1"/>
    <col min="27" max="27" width="8.5703125" style="12" bestFit="1" customWidth="1"/>
    <col min="28" max="28" width="8.85546875" style="12" bestFit="1" customWidth="1"/>
    <col min="29" max="34" width="9.28515625" style="12" bestFit="1" customWidth="1"/>
    <col min="35" max="16384" width="11.42578125" style="12"/>
  </cols>
  <sheetData>
    <row r="1" spans="1:34" s="13" customFormat="1" ht="14.25">
      <c r="A1" s="13">
        <v>1</v>
      </c>
      <c r="B1" s="13">
        <v>2</v>
      </c>
      <c r="C1" s="13">
        <v>3</v>
      </c>
      <c r="D1" s="13">
        <v>4</v>
      </c>
      <c r="E1" s="13">
        <v>5</v>
      </c>
      <c r="F1" s="13">
        <v>6</v>
      </c>
      <c r="G1" s="13">
        <v>7</v>
      </c>
      <c r="H1" s="13">
        <v>8</v>
      </c>
      <c r="I1" s="13">
        <v>9</v>
      </c>
      <c r="J1" s="13">
        <v>10</v>
      </c>
      <c r="K1" s="13">
        <v>11</v>
      </c>
      <c r="L1" s="13">
        <v>12</v>
      </c>
      <c r="M1" s="13">
        <v>13</v>
      </c>
      <c r="N1" s="13">
        <v>14</v>
      </c>
      <c r="O1" s="13">
        <v>15</v>
      </c>
      <c r="P1" s="13">
        <v>16</v>
      </c>
      <c r="Q1" s="13">
        <v>17</v>
      </c>
      <c r="R1" s="13">
        <v>18</v>
      </c>
      <c r="S1" s="13">
        <v>19</v>
      </c>
      <c r="T1" s="13">
        <v>20</v>
      </c>
      <c r="U1" s="13">
        <v>21</v>
      </c>
      <c r="V1" s="13">
        <v>22</v>
      </c>
      <c r="W1" s="13">
        <v>23</v>
      </c>
      <c r="X1" s="13">
        <v>24</v>
      </c>
      <c r="Y1" s="13">
        <v>25</v>
      </c>
      <c r="Z1" s="13">
        <v>26</v>
      </c>
      <c r="AA1" s="13">
        <v>27</v>
      </c>
      <c r="AB1" s="13">
        <v>28</v>
      </c>
      <c r="AC1" s="14">
        <v>29</v>
      </c>
      <c r="AD1" s="14">
        <v>30</v>
      </c>
      <c r="AE1" s="14">
        <v>31</v>
      </c>
      <c r="AF1" s="14">
        <v>32</v>
      </c>
      <c r="AG1" s="14">
        <v>33</v>
      </c>
      <c r="AH1" s="14">
        <v>34</v>
      </c>
    </row>
    <row r="2" spans="1:34" s="18" customFormat="1" ht="14.25">
      <c r="A2" s="15" t="s">
        <v>22</v>
      </c>
      <c r="B2" s="15" t="s">
        <v>23</v>
      </c>
      <c r="C2" s="15" t="s">
        <v>1973</v>
      </c>
      <c r="D2" s="15" t="s">
        <v>26</v>
      </c>
      <c r="E2" s="15" t="s">
        <v>27</v>
      </c>
      <c r="F2" s="15" t="s">
        <v>28</v>
      </c>
      <c r="G2" s="15" t="s">
        <v>29</v>
      </c>
      <c r="H2" s="15" t="s">
        <v>33</v>
      </c>
      <c r="I2" s="15" t="s">
        <v>34</v>
      </c>
      <c r="J2" s="15" t="s">
        <v>1974</v>
      </c>
      <c r="K2" s="15" t="s">
        <v>1975</v>
      </c>
      <c r="L2" s="15" t="s">
        <v>1976</v>
      </c>
      <c r="M2" s="15" t="s">
        <v>24</v>
      </c>
      <c r="N2" s="16" t="s">
        <v>1977</v>
      </c>
      <c r="O2" s="16" t="s">
        <v>1978</v>
      </c>
      <c r="P2" s="16" t="s">
        <v>1979</v>
      </c>
      <c r="Q2" s="15" t="s">
        <v>1980</v>
      </c>
      <c r="R2" s="15" t="s">
        <v>1981</v>
      </c>
      <c r="S2" s="15" t="s">
        <v>1982</v>
      </c>
      <c r="T2" s="15" t="s">
        <v>1983</v>
      </c>
      <c r="U2" s="15" t="s">
        <v>1984</v>
      </c>
      <c r="V2" s="15" t="s">
        <v>1985</v>
      </c>
      <c r="W2" s="15" t="s">
        <v>1986</v>
      </c>
      <c r="X2" s="15" t="s">
        <v>1987</v>
      </c>
      <c r="Y2" s="15" t="s">
        <v>1988</v>
      </c>
      <c r="Z2" s="15" t="s">
        <v>1989</v>
      </c>
      <c r="AA2" s="15" t="s">
        <v>1990</v>
      </c>
      <c r="AB2" s="15" t="s">
        <v>1991</v>
      </c>
      <c r="AC2" s="17" t="s">
        <v>1995</v>
      </c>
      <c r="AD2" s="17" t="s">
        <v>1996</v>
      </c>
      <c r="AE2" s="17" t="s">
        <v>1997</v>
      </c>
      <c r="AF2" s="17" t="s">
        <v>1998</v>
      </c>
      <c r="AG2" s="17" t="s">
        <v>1999</v>
      </c>
      <c r="AH2" s="17" t="s">
        <v>2000</v>
      </c>
    </row>
    <row r="3" spans="1:34">
      <c r="A3" s="8" t="s">
        <v>1728</v>
      </c>
      <c r="B3" s="8" t="s">
        <v>2022</v>
      </c>
      <c r="C3" s="8" t="s">
        <v>3</v>
      </c>
      <c r="D3" s="8" t="s">
        <v>4</v>
      </c>
      <c r="E3" s="8" t="s">
        <v>41</v>
      </c>
      <c r="F3" s="8" t="s">
        <v>3</v>
      </c>
      <c r="G3" s="8" t="s">
        <v>3</v>
      </c>
      <c r="H3" s="8" t="s">
        <v>46</v>
      </c>
      <c r="I3" s="8" t="s">
        <v>41</v>
      </c>
      <c r="J3" s="8" t="s">
        <v>41</v>
      </c>
      <c r="K3" s="8" t="s">
        <v>56</v>
      </c>
      <c r="L3" s="8" t="s">
        <v>110</v>
      </c>
      <c r="M3" s="11" t="s">
        <v>4608</v>
      </c>
      <c r="N3" s="8">
        <v>268</v>
      </c>
      <c r="O3" s="8">
        <v>144</v>
      </c>
      <c r="P3" s="8">
        <v>124</v>
      </c>
      <c r="Q3" s="8">
        <v>58</v>
      </c>
      <c r="R3" s="8">
        <v>33</v>
      </c>
      <c r="S3" s="8">
        <v>47</v>
      </c>
      <c r="T3" s="8">
        <v>20</v>
      </c>
      <c r="U3" s="8">
        <v>50</v>
      </c>
      <c r="V3" s="8">
        <v>26</v>
      </c>
      <c r="W3" s="8">
        <v>49</v>
      </c>
      <c r="X3" s="8">
        <v>36</v>
      </c>
      <c r="Y3" s="8">
        <v>64</v>
      </c>
      <c r="Z3" s="8">
        <v>29</v>
      </c>
      <c r="AA3" s="8">
        <v>0</v>
      </c>
      <c r="AB3" s="8">
        <v>0</v>
      </c>
      <c r="AC3" s="19">
        <f>+Q3-R3</f>
        <v>25</v>
      </c>
      <c r="AD3" s="19">
        <f>+S3-T3</f>
        <v>27</v>
      </c>
      <c r="AE3" s="19">
        <f>+U3-V3</f>
        <v>24</v>
      </c>
      <c r="AF3" s="19">
        <f>+W3-X3</f>
        <v>13</v>
      </c>
      <c r="AG3" s="19">
        <f>+Y3-Z3</f>
        <v>35</v>
      </c>
      <c r="AH3" s="19">
        <f>+AA3-AB3</f>
        <v>0</v>
      </c>
    </row>
    <row r="4" spans="1:34">
      <c r="A4" s="8" t="s">
        <v>1729</v>
      </c>
      <c r="B4" s="8" t="s">
        <v>2024</v>
      </c>
      <c r="C4" s="8" t="s">
        <v>957</v>
      </c>
      <c r="D4" s="8" t="s">
        <v>3</v>
      </c>
      <c r="E4" s="8" t="s">
        <v>41</v>
      </c>
      <c r="F4" s="8" t="s">
        <v>3</v>
      </c>
      <c r="G4" s="8" t="s">
        <v>4</v>
      </c>
      <c r="H4" s="8" t="s">
        <v>4099</v>
      </c>
      <c r="I4" s="8" t="s">
        <v>41</v>
      </c>
      <c r="J4" s="8" t="s">
        <v>41</v>
      </c>
      <c r="K4" s="8" t="s">
        <v>43</v>
      </c>
      <c r="L4" s="8" t="s">
        <v>110</v>
      </c>
      <c r="M4" s="11" t="s">
        <v>4048</v>
      </c>
      <c r="N4" s="8">
        <v>180</v>
      </c>
      <c r="O4" s="8">
        <v>105</v>
      </c>
      <c r="P4" s="8">
        <v>75</v>
      </c>
      <c r="Q4" s="8">
        <v>34</v>
      </c>
      <c r="R4" s="8">
        <v>16</v>
      </c>
      <c r="S4" s="8">
        <v>21</v>
      </c>
      <c r="T4" s="8">
        <v>9</v>
      </c>
      <c r="U4" s="8">
        <v>43</v>
      </c>
      <c r="V4" s="8">
        <v>27</v>
      </c>
      <c r="W4" s="8">
        <v>37</v>
      </c>
      <c r="X4" s="8">
        <v>22</v>
      </c>
      <c r="Y4" s="8">
        <v>45</v>
      </c>
      <c r="Z4" s="8">
        <v>31</v>
      </c>
      <c r="AA4" s="8">
        <v>0</v>
      </c>
      <c r="AB4" s="8">
        <v>0</v>
      </c>
      <c r="AC4" s="19">
        <f t="shared" ref="AC4:AC67" si="0">+Q4-R4</f>
        <v>18</v>
      </c>
      <c r="AD4" s="19">
        <f t="shared" ref="AD4:AD67" si="1">+S4-T4</f>
        <v>12</v>
      </c>
      <c r="AE4" s="19">
        <f t="shared" ref="AE4:AE67" si="2">+U4-V4</f>
        <v>16</v>
      </c>
      <c r="AF4" s="19">
        <f t="shared" ref="AF4:AF67" si="3">+W4-X4</f>
        <v>15</v>
      </c>
      <c r="AG4" s="19">
        <f t="shared" ref="AG4:AG67" si="4">+Y4-Z4</f>
        <v>14</v>
      </c>
      <c r="AH4" s="19">
        <f t="shared" ref="AH4:AH67" si="5">+AA4-AB4</f>
        <v>0</v>
      </c>
    </row>
    <row r="5" spans="1:34">
      <c r="A5" s="8" t="s">
        <v>1107</v>
      </c>
      <c r="B5" s="8" t="s">
        <v>2025</v>
      </c>
      <c r="C5" s="8" t="s">
        <v>957</v>
      </c>
      <c r="D5" s="8" t="s">
        <v>3</v>
      </c>
      <c r="E5" s="8" t="s">
        <v>41</v>
      </c>
      <c r="F5" s="8" t="s">
        <v>3</v>
      </c>
      <c r="G5" s="8" t="s">
        <v>4</v>
      </c>
      <c r="H5" s="8" t="s">
        <v>4101</v>
      </c>
      <c r="I5" s="8" t="s">
        <v>41</v>
      </c>
      <c r="J5" s="8" t="s">
        <v>41</v>
      </c>
      <c r="K5" s="8" t="s">
        <v>43</v>
      </c>
      <c r="L5" s="8" t="s">
        <v>110</v>
      </c>
      <c r="M5" s="11" t="s">
        <v>4049</v>
      </c>
      <c r="N5" s="8">
        <v>419</v>
      </c>
      <c r="O5" s="8">
        <v>196</v>
      </c>
      <c r="P5" s="8">
        <v>223</v>
      </c>
      <c r="Q5" s="8">
        <v>107</v>
      </c>
      <c r="R5" s="8">
        <v>49</v>
      </c>
      <c r="S5" s="8">
        <v>156</v>
      </c>
      <c r="T5" s="8">
        <v>77</v>
      </c>
      <c r="U5" s="8">
        <v>58</v>
      </c>
      <c r="V5" s="8">
        <v>31</v>
      </c>
      <c r="W5" s="8">
        <v>82</v>
      </c>
      <c r="X5" s="8">
        <v>29</v>
      </c>
      <c r="Y5" s="8">
        <v>16</v>
      </c>
      <c r="Z5" s="8">
        <v>10</v>
      </c>
      <c r="AA5" s="8">
        <v>0</v>
      </c>
      <c r="AB5" s="8">
        <v>0</v>
      </c>
      <c r="AC5" s="19">
        <f t="shared" si="0"/>
        <v>58</v>
      </c>
      <c r="AD5" s="19">
        <f t="shared" si="1"/>
        <v>79</v>
      </c>
      <c r="AE5" s="19">
        <f t="shared" si="2"/>
        <v>27</v>
      </c>
      <c r="AF5" s="19">
        <f t="shared" si="3"/>
        <v>53</v>
      </c>
      <c r="AG5" s="19">
        <f t="shared" si="4"/>
        <v>6</v>
      </c>
      <c r="AH5" s="19">
        <f t="shared" si="5"/>
        <v>0</v>
      </c>
    </row>
    <row r="6" spans="1:34">
      <c r="A6" s="8" t="s">
        <v>1731</v>
      </c>
      <c r="B6" s="8" t="s">
        <v>1992</v>
      </c>
      <c r="C6" s="8" t="s">
        <v>957</v>
      </c>
      <c r="D6" s="8" t="s">
        <v>6</v>
      </c>
      <c r="E6" s="8" t="s">
        <v>41</v>
      </c>
      <c r="F6" s="8" t="s">
        <v>12</v>
      </c>
      <c r="G6" s="8" t="s">
        <v>5</v>
      </c>
      <c r="H6" s="8" t="s">
        <v>2026</v>
      </c>
      <c r="I6" s="8" t="s">
        <v>43</v>
      </c>
      <c r="J6" s="8" t="s">
        <v>41</v>
      </c>
      <c r="K6" s="8" t="s">
        <v>5696</v>
      </c>
      <c r="L6" s="8" t="s">
        <v>110</v>
      </c>
      <c r="M6" s="11" t="s">
        <v>5452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19">
        <f t="shared" si="0"/>
        <v>0</v>
      </c>
      <c r="AD6" s="19">
        <f t="shared" si="1"/>
        <v>0</v>
      </c>
      <c r="AE6" s="19">
        <f t="shared" si="2"/>
        <v>0</v>
      </c>
      <c r="AF6" s="19">
        <f t="shared" si="3"/>
        <v>0</v>
      </c>
      <c r="AG6" s="19">
        <f t="shared" si="4"/>
        <v>0</v>
      </c>
      <c r="AH6" s="19">
        <f t="shared" si="5"/>
        <v>0</v>
      </c>
    </row>
    <row r="7" spans="1:34">
      <c r="A7" s="8" t="s">
        <v>45</v>
      </c>
      <c r="B7" s="8" t="s">
        <v>2028</v>
      </c>
      <c r="C7" s="8" t="s">
        <v>3</v>
      </c>
      <c r="D7" s="8" t="s">
        <v>3</v>
      </c>
      <c r="E7" s="8" t="s">
        <v>41</v>
      </c>
      <c r="F7" s="8" t="s">
        <v>3</v>
      </c>
      <c r="G7" s="8" t="s">
        <v>5</v>
      </c>
      <c r="H7" s="8" t="s">
        <v>57</v>
      </c>
      <c r="I7" s="8" t="s">
        <v>41</v>
      </c>
      <c r="J7" s="8" t="s">
        <v>41</v>
      </c>
      <c r="K7" s="8" t="s">
        <v>56</v>
      </c>
      <c r="L7" s="8" t="s">
        <v>110</v>
      </c>
      <c r="M7" s="11" t="s">
        <v>2029</v>
      </c>
      <c r="N7" s="8">
        <v>509</v>
      </c>
      <c r="O7" s="8">
        <v>269</v>
      </c>
      <c r="P7" s="8">
        <v>240</v>
      </c>
      <c r="Q7" s="8">
        <v>160</v>
      </c>
      <c r="R7" s="8">
        <v>84</v>
      </c>
      <c r="S7" s="8">
        <v>110</v>
      </c>
      <c r="T7" s="8">
        <v>55</v>
      </c>
      <c r="U7" s="8">
        <v>64</v>
      </c>
      <c r="V7" s="8">
        <v>43</v>
      </c>
      <c r="W7" s="8">
        <v>83</v>
      </c>
      <c r="X7" s="8">
        <v>40</v>
      </c>
      <c r="Y7" s="8">
        <v>92</v>
      </c>
      <c r="Z7" s="8">
        <v>47</v>
      </c>
      <c r="AA7" s="8">
        <v>0</v>
      </c>
      <c r="AB7" s="8">
        <v>0</v>
      </c>
      <c r="AC7" s="19">
        <f t="shared" si="0"/>
        <v>76</v>
      </c>
      <c r="AD7" s="19">
        <f t="shared" si="1"/>
        <v>55</v>
      </c>
      <c r="AE7" s="19">
        <f t="shared" si="2"/>
        <v>21</v>
      </c>
      <c r="AF7" s="19">
        <f t="shared" si="3"/>
        <v>43</v>
      </c>
      <c r="AG7" s="19">
        <f t="shared" si="4"/>
        <v>45</v>
      </c>
      <c r="AH7" s="19">
        <f t="shared" si="5"/>
        <v>0</v>
      </c>
    </row>
    <row r="8" spans="1:34">
      <c r="A8" s="8" t="s">
        <v>44</v>
      </c>
      <c r="B8" s="8" t="s">
        <v>1992</v>
      </c>
      <c r="C8" s="8" t="s">
        <v>3</v>
      </c>
      <c r="D8" s="8" t="s">
        <v>4</v>
      </c>
      <c r="E8" s="8" t="s">
        <v>41</v>
      </c>
      <c r="F8" s="8" t="s">
        <v>3</v>
      </c>
      <c r="G8" s="8" t="s">
        <v>6</v>
      </c>
      <c r="H8" s="8" t="s">
        <v>1796</v>
      </c>
      <c r="I8" s="8" t="s">
        <v>43</v>
      </c>
      <c r="J8" s="8" t="s">
        <v>41</v>
      </c>
      <c r="K8" s="8" t="s">
        <v>5696</v>
      </c>
      <c r="L8" s="8" t="s">
        <v>110</v>
      </c>
      <c r="M8" s="11" t="s">
        <v>1795</v>
      </c>
      <c r="N8" s="8">
        <v>74</v>
      </c>
      <c r="O8" s="8">
        <v>40</v>
      </c>
      <c r="P8" s="8">
        <v>34</v>
      </c>
      <c r="Q8" s="8">
        <v>8</v>
      </c>
      <c r="R8" s="8">
        <v>7</v>
      </c>
      <c r="S8" s="8">
        <v>19</v>
      </c>
      <c r="T8" s="8">
        <v>10</v>
      </c>
      <c r="U8" s="8">
        <v>13</v>
      </c>
      <c r="V8" s="8">
        <v>4</v>
      </c>
      <c r="W8" s="8">
        <v>14</v>
      </c>
      <c r="X8" s="8">
        <v>7</v>
      </c>
      <c r="Y8" s="8">
        <v>20</v>
      </c>
      <c r="Z8" s="8">
        <v>12</v>
      </c>
      <c r="AA8" s="8">
        <v>0</v>
      </c>
      <c r="AB8" s="8">
        <v>0</v>
      </c>
      <c r="AC8" s="19">
        <f t="shared" si="0"/>
        <v>1</v>
      </c>
      <c r="AD8" s="19">
        <f t="shared" si="1"/>
        <v>9</v>
      </c>
      <c r="AE8" s="19">
        <f t="shared" si="2"/>
        <v>9</v>
      </c>
      <c r="AF8" s="19">
        <f t="shared" si="3"/>
        <v>7</v>
      </c>
      <c r="AG8" s="19">
        <f t="shared" si="4"/>
        <v>8</v>
      </c>
      <c r="AH8" s="19">
        <f t="shared" si="5"/>
        <v>0</v>
      </c>
    </row>
    <row r="9" spans="1:34">
      <c r="A9" s="8" t="s">
        <v>1108</v>
      </c>
      <c r="B9" s="8" t="s">
        <v>1992</v>
      </c>
      <c r="C9" s="8" t="s">
        <v>3</v>
      </c>
      <c r="D9" s="8" t="s">
        <v>4</v>
      </c>
      <c r="E9" s="8" t="s">
        <v>41</v>
      </c>
      <c r="F9" s="8" t="s">
        <v>3</v>
      </c>
      <c r="G9" s="8" t="s">
        <v>6</v>
      </c>
      <c r="H9" s="8" t="s">
        <v>64</v>
      </c>
      <c r="I9" s="8" t="s">
        <v>43</v>
      </c>
      <c r="J9" s="8" t="s">
        <v>41</v>
      </c>
      <c r="K9" s="8" t="s">
        <v>5696</v>
      </c>
      <c r="L9" s="8" t="s">
        <v>110</v>
      </c>
      <c r="M9" s="11" t="s">
        <v>2031</v>
      </c>
      <c r="N9" s="8">
        <v>40</v>
      </c>
      <c r="O9" s="8">
        <v>26</v>
      </c>
      <c r="P9" s="8">
        <v>14</v>
      </c>
      <c r="Q9" s="8">
        <v>3</v>
      </c>
      <c r="R9" s="8">
        <v>2</v>
      </c>
      <c r="S9" s="8">
        <v>9</v>
      </c>
      <c r="T9" s="8">
        <v>6</v>
      </c>
      <c r="U9" s="8">
        <v>15</v>
      </c>
      <c r="V9" s="8">
        <v>8</v>
      </c>
      <c r="W9" s="8">
        <v>13</v>
      </c>
      <c r="X9" s="8">
        <v>10</v>
      </c>
      <c r="Y9" s="8">
        <v>0</v>
      </c>
      <c r="Z9" s="8">
        <v>0</v>
      </c>
      <c r="AA9" s="8">
        <v>0</v>
      </c>
      <c r="AB9" s="8">
        <v>0</v>
      </c>
      <c r="AC9" s="19">
        <f t="shared" si="0"/>
        <v>1</v>
      </c>
      <c r="AD9" s="19">
        <f t="shared" si="1"/>
        <v>3</v>
      </c>
      <c r="AE9" s="19">
        <f t="shared" si="2"/>
        <v>7</v>
      </c>
      <c r="AF9" s="19">
        <f t="shared" si="3"/>
        <v>3</v>
      </c>
      <c r="AG9" s="19">
        <f t="shared" si="4"/>
        <v>0</v>
      </c>
      <c r="AH9" s="19">
        <f t="shared" si="5"/>
        <v>0</v>
      </c>
    </row>
    <row r="10" spans="1:34">
      <c r="A10" s="8" t="s">
        <v>51</v>
      </c>
      <c r="B10" s="8" t="s">
        <v>2033</v>
      </c>
      <c r="C10" s="8" t="s">
        <v>3</v>
      </c>
      <c r="D10" s="8" t="s">
        <v>4</v>
      </c>
      <c r="E10" s="8" t="s">
        <v>41</v>
      </c>
      <c r="F10" s="8" t="s">
        <v>3</v>
      </c>
      <c r="G10" s="8" t="s">
        <v>6</v>
      </c>
      <c r="H10" s="8" t="s">
        <v>1167</v>
      </c>
      <c r="I10" s="8" t="s">
        <v>41</v>
      </c>
      <c r="J10" s="8" t="s">
        <v>41</v>
      </c>
      <c r="K10" s="8" t="s">
        <v>43</v>
      </c>
      <c r="L10" s="8" t="s">
        <v>110</v>
      </c>
      <c r="M10" s="11" t="s">
        <v>2034</v>
      </c>
      <c r="N10" s="8">
        <v>356</v>
      </c>
      <c r="O10" s="8">
        <v>0</v>
      </c>
      <c r="P10" s="8">
        <v>356</v>
      </c>
      <c r="Q10" s="8">
        <v>86</v>
      </c>
      <c r="R10" s="8">
        <v>0</v>
      </c>
      <c r="S10" s="8">
        <v>103</v>
      </c>
      <c r="T10" s="8">
        <v>0</v>
      </c>
      <c r="U10" s="8">
        <v>70</v>
      </c>
      <c r="V10" s="8">
        <v>0</v>
      </c>
      <c r="W10" s="8">
        <v>62</v>
      </c>
      <c r="X10" s="8">
        <v>0</v>
      </c>
      <c r="Y10" s="8">
        <v>35</v>
      </c>
      <c r="Z10" s="8">
        <v>0</v>
      </c>
      <c r="AA10" s="8">
        <v>0</v>
      </c>
      <c r="AB10" s="8">
        <v>0</v>
      </c>
      <c r="AC10" s="19">
        <f t="shared" si="0"/>
        <v>86</v>
      </c>
      <c r="AD10" s="19">
        <f t="shared" si="1"/>
        <v>103</v>
      </c>
      <c r="AE10" s="19">
        <f t="shared" si="2"/>
        <v>70</v>
      </c>
      <c r="AF10" s="19">
        <f t="shared" si="3"/>
        <v>62</v>
      </c>
      <c r="AG10" s="19">
        <f t="shared" si="4"/>
        <v>35</v>
      </c>
      <c r="AH10" s="19">
        <f t="shared" si="5"/>
        <v>0</v>
      </c>
    </row>
    <row r="11" spans="1:34">
      <c r="A11" s="8" t="s">
        <v>2036</v>
      </c>
      <c r="B11" s="8" t="s">
        <v>2037</v>
      </c>
      <c r="C11" s="8" t="s">
        <v>3</v>
      </c>
      <c r="D11" s="8" t="s">
        <v>4</v>
      </c>
      <c r="E11" s="8" t="s">
        <v>41</v>
      </c>
      <c r="F11" s="8" t="s">
        <v>3</v>
      </c>
      <c r="G11" s="8" t="s">
        <v>6</v>
      </c>
      <c r="H11" s="8" t="s">
        <v>2039</v>
      </c>
      <c r="I11" s="8" t="s">
        <v>41</v>
      </c>
      <c r="J11" s="8" t="s">
        <v>41</v>
      </c>
      <c r="K11" s="8" t="s">
        <v>43</v>
      </c>
      <c r="L11" s="8" t="s">
        <v>110</v>
      </c>
      <c r="M11" s="11" t="s">
        <v>2038</v>
      </c>
      <c r="N11" s="8">
        <v>243</v>
      </c>
      <c r="O11" s="8">
        <v>243</v>
      </c>
      <c r="P11" s="8">
        <v>0</v>
      </c>
      <c r="Q11" s="8">
        <v>76</v>
      </c>
      <c r="R11" s="8">
        <v>76</v>
      </c>
      <c r="S11" s="8">
        <v>46</v>
      </c>
      <c r="T11" s="8">
        <v>46</v>
      </c>
      <c r="U11" s="8">
        <v>69</v>
      </c>
      <c r="V11" s="8">
        <v>69</v>
      </c>
      <c r="W11" s="8">
        <v>27</v>
      </c>
      <c r="X11" s="8">
        <v>27</v>
      </c>
      <c r="Y11" s="8">
        <v>25</v>
      </c>
      <c r="Z11" s="8">
        <v>25</v>
      </c>
      <c r="AA11" s="8">
        <v>0</v>
      </c>
      <c r="AB11" s="8">
        <v>0</v>
      </c>
      <c r="AC11" s="19">
        <f t="shared" si="0"/>
        <v>0</v>
      </c>
      <c r="AD11" s="19">
        <f t="shared" si="1"/>
        <v>0</v>
      </c>
      <c r="AE11" s="19">
        <f t="shared" si="2"/>
        <v>0</v>
      </c>
      <c r="AF11" s="19">
        <f t="shared" si="3"/>
        <v>0</v>
      </c>
      <c r="AG11" s="19">
        <f t="shared" si="4"/>
        <v>0</v>
      </c>
      <c r="AH11" s="19">
        <f t="shared" si="5"/>
        <v>0</v>
      </c>
    </row>
    <row r="12" spans="1:34">
      <c r="A12" s="8" t="s">
        <v>1102</v>
      </c>
      <c r="B12" s="8" t="s">
        <v>1992</v>
      </c>
      <c r="C12" s="8" t="s">
        <v>3</v>
      </c>
      <c r="D12" s="8" t="s">
        <v>5</v>
      </c>
      <c r="E12" s="8" t="s">
        <v>41</v>
      </c>
      <c r="F12" s="8" t="s">
        <v>3</v>
      </c>
      <c r="G12" s="8" t="s">
        <v>7</v>
      </c>
      <c r="H12" s="8" t="s">
        <v>72</v>
      </c>
      <c r="I12" s="8" t="s">
        <v>43</v>
      </c>
      <c r="J12" s="8" t="s">
        <v>41</v>
      </c>
      <c r="K12" s="8" t="s">
        <v>5696</v>
      </c>
      <c r="L12" s="8" t="s">
        <v>110</v>
      </c>
      <c r="M12" s="11" t="s">
        <v>1798</v>
      </c>
      <c r="N12" s="8">
        <v>52</v>
      </c>
      <c r="O12" s="8">
        <v>29</v>
      </c>
      <c r="P12" s="8">
        <v>23</v>
      </c>
      <c r="Q12" s="8">
        <v>0</v>
      </c>
      <c r="R12" s="8">
        <v>0</v>
      </c>
      <c r="S12" s="8">
        <v>14</v>
      </c>
      <c r="T12" s="8">
        <v>9</v>
      </c>
      <c r="U12" s="8">
        <v>6</v>
      </c>
      <c r="V12" s="8">
        <v>3</v>
      </c>
      <c r="W12" s="8">
        <v>32</v>
      </c>
      <c r="X12" s="8">
        <v>17</v>
      </c>
      <c r="Y12" s="8">
        <v>0</v>
      </c>
      <c r="Z12" s="8">
        <v>0</v>
      </c>
      <c r="AA12" s="8">
        <v>0</v>
      </c>
      <c r="AB12" s="8">
        <v>0</v>
      </c>
      <c r="AC12" s="19">
        <f t="shared" si="0"/>
        <v>0</v>
      </c>
      <c r="AD12" s="19">
        <f t="shared" si="1"/>
        <v>5</v>
      </c>
      <c r="AE12" s="19">
        <f t="shared" si="2"/>
        <v>3</v>
      </c>
      <c r="AF12" s="19">
        <f t="shared" si="3"/>
        <v>15</v>
      </c>
      <c r="AG12" s="19">
        <f t="shared" si="4"/>
        <v>0</v>
      </c>
      <c r="AH12" s="19">
        <f t="shared" si="5"/>
        <v>0</v>
      </c>
    </row>
    <row r="13" spans="1:34">
      <c r="A13" s="8" t="s">
        <v>1109</v>
      </c>
      <c r="B13" s="8" t="s">
        <v>2042</v>
      </c>
      <c r="C13" s="8" t="s">
        <v>3</v>
      </c>
      <c r="D13" s="8" t="s">
        <v>5</v>
      </c>
      <c r="E13" s="8" t="s">
        <v>41</v>
      </c>
      <c r="F13" s="8" t="s">
        <v>3</v>
      </c>
      <c r="G13" s="8" t="s">
        <v>7</v>
      </c>
      <c r="H13" s="8" t="s">
        <v>2044</v>
      </c>
      <c r="I13" s="8" t="s">
        <v>56</v>
      </c>
      <c r="J13" s="8" t="s">
        <v>41</v>
      </c>
      <c r="K13" s="8" t="s">
        <v>5696</v>
      </c>
      <c r="L13" s="8" t="s">
        <v>110</v>
      </c>
      <c r="M13" s="11" t="s">
        <v>2043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19">
        <f t="shared" si="0"/>
        <v>0</v>
      </c>
      <c r="AD13" s="19">
        <f t="shared" si="1"/>
        <v>0</v>
      </c>
      <c r="AE13" s="19">
        <f t="shared" si="2"/>
        <v>0</v>
      </c>
      <c r="AF13" s="19">
        <f t="shared" si="3"/>
        <v>0</v>
      </c>
      <c r="AG13" s="19">
        <f t="shared" si="4"/>
        <v>0</v>
      </c>
      <c r="AH13" s="19">
        <f t="shared" si="5"/>
        <v>0</v>
      </c>
    </row>
    <row r="14" spans="1:34">
      <c r="A14" s="8" t="s">
        <v>1114</v>
      </c>
      <c r="B14" s="8" t="s">
        <v>2045</v>
      </c>
      <c r="C14" s="8" t="s">
        <v>3</v>
      </c>
      <c r="D14" s="8" t="s">
        <v>5</v>
      </c>
      <c r="E14" s="8" t="s">
        <v>41</v>
      </c>
      <c r="F14" s="8" t="s">
        <v>3</v>
      </c>
      <c r="G14" s="8" t="s">
        <v>7</v>
      </c>
      <c r="H14" s="8" t="s">
        <v>72</v>
      </c>
      <c r="I14" s="8" t="s">
        <v>41</v>
      </c>
      <c r="J14" s="8" t="s">
        <v>41</v>
      </c>
      <c r="K14" s="8" t="s">
        <v>43</v>
      </c>
      <c r="L14" s="8" t="s">
        <v>110</v>
      </c>
      <c r="M14" s="11" t="s">
        <v>2046</v>
      </c>
      <c r="N14" s="8">
        <v>264</v>
      </c>
      <c r="O14" s="8">
        <v>185</v>
      </c>
      <c r="P14" s="8">
        <v>79</v>
      </c>
      <c r="Q14" s="8">
        <v>67</v>
      </c>
      <c r="R14" s="8">
        <v>41</v>
      </c>
      <c r="S14" s="8">
        <v>35</v>
      </c>
      <c r="T14" s="8">
        <v>29</v>
      </c>
      <c r="U14" s="8">
        <v>65</v>
      </c>
      <c r="V14" s="8">
        <v>47</v>
      </c>
      <c r="W14" s="8">
        <v>60</v>
      </c>
      <c r="X14" s="8">
        <v>38</v>
      </c>
      <c r="Y14" s="8">
        <v>37</v>
      </c>
      <c r="Z14" s="8">
        <v>30</v>
      </c>
      <c r="AA14" s="8">
        <v>0</v>
      </c>
      <c r="AB14" s="8">
        <v>0</v>
      </c>
      <c r="AC14" s="19">
        <f t="shared" si="0"/>
        <v>26</v>
      </c>
      <c r="AD14" s="19">
        <f t="shared" si="1"/>
        <v>6</v>
      </c>
      <c r="AE14" s="19">
        <f t="shared" si="2"/>
        <v>18</v>
      </c>
      <c r="AF14" s="19">
        <f t="shared" si="3"/>
        <v>22</v>
      </c>
      <c r="AG14" s="19">
        <f t="shared" si="4"/>
        <v>7</v>
      </c>
      <c r="AH14" s="19">
        <f t="shared" si="5"/>
        <v>0</v>
      </c>
    </row>
    <row r="15" spans="1:34">
      <c r="A15" s="8" t="s">
        <v>1732</v>
      </c>
      <c r="B15" s="8" t="s">
        <v>2048</v>
      </c>
      <c r="C15" s="8" t="s">
        <v>3</v>
      </c>
      <c r="D15" s="8" t="s">
        <v>5</v>
      </c>
      <c r="E15" s="8" t="s">
        <v>41</v>
      </c>
      <c r="F15" s="8" t="s">
        <v>3</v>
      </c>
      <c r="G15" s="8" t="s">
        <v>7</v>
      </c>
      <c r="H15" s="8" t="s">
        <v>1110</v>
      </c>
      <c r="I15" s="8" t="s">
        <v>41</v>
      </c>
      <c r="J15" s="8" t="s">
        <v>41</v>
      </c>
      <c r="K15" s="8" t="s">
        <v>56</v>
      </c>
      <c r="L15" s="8" t="s">
        <v>110</v>
      </c>
      <c r="M15" s="11" t="s">
        <v>2049</v>
      </c>
      <c r="N15" s="8">
        <v>491</v>
      </c>
      <c r="O15" s="8">
        <v>251</v>
      </c>
      <c r="P15" s="8">
        <v>240</v>
      </c>
      <c r="Q15" s="8">
        <v>110</v>
      </c>
      <c r="R15" s="8">
        <v>59</v>
      </c>
      <c r="S15" s="8">
        <v>89</v>
      </c>
      <c r="T15" s="8">
        <v>47</v>
      </c>
      <c r="U15" s="8">
        <v>75</v>
      </c>
      <c r="V15" s="8">
        <v>33</v>
      </c>
      <c r="W15" s="8">
        <v>122</v>
      </c>
      <c r="X15" s="8">
        <v>62</v>
      </c>
      <c r="Y15" s="8">
        <v>95</v>
      </c>
      <c r="Z15" s="8">
        <v>50</v>
      </c>
      <c r="AA15" s="8">
        <v>0</v>
      </c>
      <c r="AB15" s="8">
        <v>0</v>
      </c>
      <c r="AC15" s="19">
        <f t="shared" si="0"/>
        <v>51</v>
      </c>
      <c r="AD15" s="19">
        <f t="shared" si="1"/>
        <v>42</v>
      </c>
      <c r="AE15" s="19">
        <f t="shared" si="2"/>
        <v>42</v>
      </c>
      <c r="AF15" s="19">
        <f t="shared" si="3"/>
        <v>60</v>
      </c>
      <c r="AG15" s="19">
        <f t="shared" si="4"/>
        <v>45</v>
      </c>
      <c r="AH15" s="19">
        <f t="shared" si="5"/>
        <v>0</v>
      </c>
    </row>
    <row r="16" spans="1:34">
      <c r="A16" s="8" t="s">
        <v>1099</v>
      </c>
      <c r="B16" s="8" t="s">
        <v>2051</v>
      </c>
      <c r="C16" s="8" t="s">
        <v>957</v>
      </c>
      <c r="D16" s="8" t="s">
        <v>7</v>
      </c>
      <c r="E16" s="8" t="s">
        <v>41</v>
      </c>
      <c r="F16" s="8" t="s">
        <v>3</v>
      </c>
      <c r="G16" s="8" t="s">
        <v>9</v>
      </c>
      <c r="H16" s="8" t="s">
        <v>97</v>
      </c>
      <c r="I16" s="8" t="s">
        <v>41</v>
      </c>
      <c r="J16" s="8" t="s">
        <v>41</v>
      </c>
      <c r="K16" s="8" t="s">
        <v>43</v>
      </c>
      <c r="L16" s="8" t="s">
        <v>110</v>
      </c>
      <c r="M16" s="11" t="s">
        <v>4050</v>
      </c>
      <c r="N16" s="8">
        <v>476</v>
      </c>
      <c r="O16" s="8">
        <v>260</v>
      </c>
      <c r="P16" s="8">
        <v>216</v>
      </c>
      <c r="Q16" s="8">
        <v>159</v>
      </c>
      <c r="R16" s="8">
        <v>99</v>
      </c>
      <c r="S16" s="8">
        <v>94</v>
      </c>
      <c r="T16" s="8">
        <v>51</v>
      </c>
      <c r="U16" s="8">
        <v>97</v>
      </c>
      <c r="V16" s="8">
        <v>47</v>
      </c>
      <c r="W16" s="8">
        <v>61</v>
      </c>
      <c r="X16" s="8">
        <v>30</v>
      </c>
      <c r="Y16" s="8">
        <v>65</v>
      </c>
      <c r="Z16" s="8">
        <v>33</v>
      </c>
      <c r="AA16" s="8">
        <v>0</v>
      </c>
      <c r="AB16" s="8">
        <v>0</v>
      </c>
      <c r="AC16" s="19">
        <f t="shared" si="0"/>
        <v>60</v>
      </c>
      <c r="AD16" s="19">
        <f t="shared" si="1"/>
        <v>43</v>
      </c>
      <c r="AE16" s="19">
        <f t="shared" si="2"/>
        <v>50</v>
      </c>
      <c r="AF16" s="19">
        <f t="shared" si="3"/>
        <v>31</v>
      </c>
      <c r="AG16" s="19">
        <f t="shared" si="4"/>
        <v>32</v>
      </c>
      <c r="AH16" s="19">
        <f t="shared" si="5"/>
        <v>0</v>
      </c>
    </row>
    <row r="17" spans="1:34" s="20" customFormat="1">
      <c r="A17" s="8" t="s">
        <v>2052</v>
      </c>
      <c r="B17" s="8" t="s">
        <v>1992</v>
      </c>
      <c r="C17" s="8" t="s">
        <v>957</v>
      </c>
      <c r="D17" s="8" t="s">
        <v>3</v>
      </c>
      <c r="E17" s="8" t="s">
        <v>41</v>
      </c>
      <c r="F17" s="8" t="s">
        <v>3</v>
      </c>
      <c r="G17" s="8" t="s">
        <v>11</v>
      </c>
      <c r="H17" s="8" t="s">
        <v>2053</v>
      </c>
      <c r="I17" s="8" t="s">
        <v>43</v>
      </c>
      <c r="J17" s="8" t="s">
        <v>41</v>
      </c>
      <c r="K17" s="8" t="s">
        <v>5696</v>
      </c>
      <c r="L17" s="8" t="s">
        <v>110</v>
      </c>
      <c r="M17" s="11" t="s">
        <v>5453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19">
        <f t="shared" si="0"/>
        <v>0</v>
      </c>
      <c r="AD17" s="19">
        <f t="shared" si="1"/>
        <v>0</v>
      </c>
      <c r="AE17" s="19">
        <f t="shared" si="2"/>
        <v>0</v>
      </c>
      <c r="AF17" s="19">
        <f t="shared" si="3"/>
        <v>0</v>
      </c>
      <c r="AG17" s="19">
        <f t="shared" si="4"/>
        <v>0</v>
      </c>
      <c r="AH17" s="19">
        <f t="shared" si="5"/>
        <v>0</v>
      </c>
    </row>
    <row r="18" spans="1:34">
      <c r="A18" s="8" t="s">
        <v>59</v>
      </c>
      <c r="B18" s="8" t="s">
        <v>1992</v>
      </c>
      <c r="C18" s="8" t="s">
        <v>957</v>
      </c>
      <c r="D18" s="8" t="s">
        <v>3</v>
      </c>
      <c r="E18" s="8" t="s">
        <v>41</v>
      </c>
      <c r="F18" s="8" t="s">
        <v>3</v>
      </c>
      <c r="G18" s="8" t="s">
        <v>11</v>
      </c>
      <c r="H18" s="8" t="s">
        <v>105</v>
      </c>
      <c r="I18" s="8" t="s">
        <v>43</v>
      </c>
      <c r="J18" s="8" t="s">
        <v>41</v>
      </c>
      <c r="K18" s="8" t="s">
        <v>5696</v>
      </c>
      <c r="L18" s="8" t="s">
        <v>110</v>
      </c>
      <c r="M18" s="11" t="s">
        <v>5454</v>
      </c>
      <c r="N18" s="8">
        <v>58</v>
      </c>
      <c r="O18" s="8">
        <v>39</v>
      </c>
      <c r="P18" s="8">
        <v>19</v>
      </c>
      <c r="Q18" s="8">
        <v>16</v>
      </c>
      <c r="R18" s="8">
        <v>9</v>
      </c>
      <c r="S18" s="8">
        <v>14</v>
      </c>
      <c r="T18" s="8">
        <v>10</v>
      </c>
      <c r="U18" s="8">
        <v>15</v>
      </c>
      <c r="V18" s="8">
        <v>10</v>
      </c>
      <c r="W18" s="8">
        <v>11</v>
      </c>
      <c r="X18" s="8">
        <v>8</v>
      </c>
      <c r="Y18" s="8">
        <v>2</v>
      </c>
      <c r="Z18" s="8">
        <v>2</v>
      </c>
      <c r="AA18" s="8">
        <v>0</v>
      </c>
      <c r="AB18" s="8">
        <v>0</v>
      </c>
      <c r="AC18" s="19">
        <f t="shared" si="0"/>
        <v>7</v>
      </c>
      <c r="AD18" s="19">
        <f t="shared" si="1"/>
        <v>4</v>
      </c>
      <c r="AE18" s="19">
        <f t="shared" si="2"/>
        <v>5</v>
      </c>
      <c r="AF18" s="19">
        <f t="shared" si="3"/>
        <v>3</v>
      </c>
      <c r="AG18" s="19">
        <f t="shared" si="4"/>
        <v>0</v>
      </c>
      <c r="AH18" s="19">
        <f t="shared" si="5"/>
        <v>0</v>
      </c>
    </row>
    <row r="19" spans="1:34">
      <c r="A19" s="8" t="s">
        <v>61</v>
      </c>
      <c r="B19" s="8" t="s">
        <v>1992</v>
      </c>
      <c r="C19" s="8" t="s">
        <v>957</v>
      </c>
      <c r="D19" s="8" t="s">
        <v>3</v>
      </c>
      <c r="E19" s="8" t="s">
        <v>41</v>
      </c>
      <c r="F19" s="8" t="s">
        <v>3</v>
      </c>
      <c r="G19" s="8" t="s">
        <v>11</v>
      </c>
      <c r="H19" s="8" t="s">
        <v>770</v>
      </c>
      <c r="I19" s="8" t="s">
        <v>43</v>
      </c>
      <c r="J19" s="8" t="s">
        <v>41</v>
      </c>
      <c r="K19" s="8" t="s">
        <v>5696</v>
      </c>
      <c r="L19" s="8" t="s">
        <v>110</v>
      </c>
      <c r="M19" s="11" t="s">
        <v>60</v>
      </c>
      <c r="N19" s="8">
        <v>2</v>
      </c>
      <c r="O19" s="8">
        <v>2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1</v>
      </c>
      <c r="V19" s="8">
        <v>1</v>
      </c>
      <c r="W19" s="8">
        <v>0</v>
      </c>
      <c r="X19" s="8">
        <v>0</v>
      </c>
      <c r="Y19" s="8">
        <v>1</v>
      </c>
      <c r="Z19" s="8">
        <v>1</v>
      </c>
      <c r="AA19" s="8">
        <v>0</v>
      </c>
      <c r="AB19" s="8">
        <v>0</v>
      </c>
      <c r="AC19" s="19">
        <f t="shared" si="0"/>
        <v>0</v>
      </c>
      <c r="AD19" s="19">
        <f t="shared" si="1"/>
        <v>0</v>
      </c>
      <c r="AE19" s="19">
        <f t="shared" si="2"/>
        <v>0</v>
      </c>
      <c r="AF19" s="19">
        <f t="shared" si="3"/>
        <v>0</v>
      </c>
      <c r="AG19" s="19">
        <f t="shared" si="4"/>
        <v>0</v>
      </c>
      <c r="AH19" s="19">
        <f t="shared" si="5"/>
        <v>0</v>
      </c>
    </row>
    <row r="20" spans="1:34">
      <c r="A20" s="8" t="s">
        <v>2055</v>
      </c>
      <c r="B20" s="8" t="s">
        <v>1992</v>
      </c>
      <c r="C20" s="8" t="s">
        <v>3</v>
      </c>
      <c r="D20" s="8" t="s">
        <v>6</v>
      </c>
      <c r="E20" s="8" t="s">
        <v>41</v>
      </c>
      <c r="F20" s="8" t="s">
        <v>70</v>
      </c>
      <c r="G20" s="8" t="s">
        <v>5</v>
      </c>
      <c r="H20" s="8" t="s">
        <v>1936</v>
      </c>
      <c r="I20" s="8" t="s">
        <v>43</v>
      </c>
      <c r="J20" s="8" t="s">
        <v>41</v>
      </c>
      <c r="K20" s="8" t="s">
        <v>5696</v>
      </c>
      <c r="L20" s="8" t="s">
        <v>110</v>
      </c>
      <c r="M20" s="11" t="s">
        <v>850</v>
      </c>
      <c r="N20" s="8">
        <v>4</v>
      </c>
      <c r="O20" s="8">
        <v>4</v>
      </c>
      <c r="P20" s="8">
        <v>0</v>
      </c>
      <c r="Q20" s="8">
        <v>3</v>
      </c>
      <c r="R20" s="8">
        <v>3</v>
      </c>
      <c r="S20" s="8">
        <v>0</v>
      </c>
      <c r="T20" s="8">
        <v>0</v>
      </c>
      <c r="U20" s="8">
        <v>1</v>
      </c>
      <c r="V20" s="8">
        <v>1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19">
        <f t="shared" si="0"/>
        <v>0</v>
      </c>
      <c r="AD20" s="19">
        <f t="shared" si="1"/>
        <v>0</v>
      </c>
      <c r="AE20" s="19">
        <f t="shared" si="2"/>
        <v>0</v>
      </c>
      <c r="AF20" s="19">
        <f t="shared" si="3"/>
        <v>0</v>
      </c>
      <c r="AG20" s="19">
        <f t="shared" si="4"/>
        <v>0</v>
      </c>
      <c r="AH20" s="19">
        <f t="shared" si="5"/>
        <v>0</v>
      </c>
    </row>
    <row r="21" spans="1:34">
      <c r="A21" s="8" t="s">
        <v>63</v>
      </c>
      <c r="B21" s="8" t="s">
        <v>2056</v>
      </c>
      <c r="C21" s="8" t="s">
        <v>957</v>
      </c>
      <c r="D21" s="8" t="s">
        <v>3</v>
      </c>
      <c r="E21" s="8" t="s">
        <v>41</v>
      </c>
      <c r="F21" s="8" t="s">
        <v>3</v>
      </c>
      <c r="G21" s="8" t="s">
        <v>11</v>
      </c>
      <c r="H21" s="8" t="s">
        <v>2058</v>
      </c>
      <c r="I21" s="8" t="s">
        <v>41</v>
      </c>
      <c r="J21" s="8" t="s">
        <v>41</v>
      </c>
      <c r="K21" s="8" t="s">
        <v>56</v>
      </c>
      <c r="L21" s="8" t="s">
        <v>110</v>
      </c>
      <c r="M21" s="11" t="s">
        <v>2057</v>
      </c>
      <c r="N21" s="8">
        <v>470</v>
      </c>
      <c r="O21" s="8">
        <v>276</v>
      </c>
      <c r="P21" s="8">
        <v>194</v>
      </c>
      <c r="Q21" s="8">
        <v>103</v>
      </c>
      <c r="R21" s="8">
        <v>58</v>
      </c>
      <c r="S21" s="8">
        <v>81</v>
      </c>
      <c r="T21" s="8">
        <v>45</v>
      </c>
      <c r="U21" s="8">
        <v>96</v>
      </c>
      <c r="V21" s="8">
        <v>60</v>
      </c>
      <c r="W21" s="8">
        <v>128</v>
      </c>
      <c r="X21" s="8">
        <v>75</v>
      </c>
      <c r="Y21" s="8">
        <v>62</v>
      </c>
      <c r="Z21" s="8">
        <v>38</v>
      </c>
      <c r="AA21" s="8">
        <v>0</v>
      </c>
      <c r="AB21" s="8">
        <v>0</v>
      </c>
      <c r="AC21" s="19">
        <f t="shared" si="0"/>
        <v>45</v>
      </c>
      <c r="AD21" s="19">
        <f t="shared" si="1"/>
        <v>36</v>
      </c>
      <c r="AE21" s="19">
        <f t="shared" si="2"/>
        <v>36</v>
      </c>
      <c r="AF21" s="19">
        <f t="shared" si="3"/>
        <v>53</v>
      </c>
      <c r="AG21" s="19">
        <f t="shared" si="4"/>
        <v>24</v>
      </c>
      <c r="AH21" s="19">
        <f t="shared" si="5"/>
        <v>0</v>
      </c>
    </row>
    <row r="22" spans="1:34">
      <c r="A22" s="8" t="s">
        <v>1112</v>
      </c>
      <c r="B22" s="8" t="s">
        <v>1992</v>
      </c>
      <c r="C22" s="8" t="s">
        <v>957</v>
      </c>
      <c r="D22" s="8" t="s">
        <v>4</v>
      </c>
      <c r="E22" s="8" t="s">
        <v>41</v>
      </c>
      <c r="F22" s="8" t="s">
        <v>3</v>
      </c>
      <c r="G22" s="8" t="s">
        <v>12</v>
      </c>
      <c r="H22" s="8" t="s">
        <v>1721</v>
      </c>
      <c r="I22" s="8" t="s">
        <v>43</v>
      </c>
      <c r="J22" s="8" t="s">
        <v>41</v>
      </c>
      <c r="K22" s="8" t="s">
        <v>5696</v>
      </c>
      <c r="L22" s="8" t="s">
        <v>110</v>
      </c>
      <c r="M22" s="11" t="s">
        <v>4291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19">
        <f t="shared" si="0"/>
        <v>0</v>
      </c>
      <c r="AD22" s="19">
        <f t="shared" si="1"/>
        <v>0</v>
      </c>
      <c r="AE22" s="19">
        <f t="shared" si="2"/>
        <v>0</v>
      </c>
      <c r="AF22" s="19">
        <f t="shared" si="3"/>
        <v>0</v>
      </c>
      <c r="AG22" s="19">
        <f t="shared" si="4"/>
        <v>0</v>
      </c>
      <c r="AH22" s="19">
        <f t="shared" si="5"/>
        <v>0</v>
      </c>
    </row>
    <row r="23" spans="1:34">
      <c r="A23" s="8" t="s">
        <v>1116</v>
      </c>
      <c r="B23" s="8" t="s">
        <v>1992</v>
      </c>
      <c r="C23" s="8" t="s">
        <v>957</v>
      </c>
      <c r="D23" s="8" t="s">
        <v>4</v>
      </c>
      <c r="E23" s="8" t="s">
        <v>41</v>
      </c>
      <c r="F23" s="8" t="s">
        <v>3</v>
      </c>
      <c r="G23" s="8" t="s">
        <v>12</v>
      </c>
      <c r="H23" s="8" t="s">
        <v>1802</v>
      </c>
      <c r="I23" s="8" t="s">
        <v>43</v>
      </c>
      <c r="J23" s="8" t="s">
        <v>41</v>
      </c>
      <c r="K23" s="8" t="s">
        <v>5696</v>
      </c>
      <c r="L23" s="8" t="s">
        <v>110</v>
      </c>
      <c r="M23" s="11" t="s">
        <v>5455</v>
      </c>
      <c r="N23" s="8">
        <v>6</v>
      </c>
      <c r="O23" s="8">
        <v>5</v>
      </c>
      <c r="P23" s="8">
        <v>1</v>
      </c>
      <c r="Q23" s="8">
        <v>0</v>
      </c>
      <c r="R23" s="8">
        <v>0</v>
      </c>
      <c r="S23" s="8">
        <v>0</v>
      </c>
      <c r="T23" s="8">
        <v>0</v>
      </c>
      <c r="U23" s="8">
        <v>6</v>
      </c>
      <c r="V23" s="8">
        <v>5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19">
        <f t="shared" si="0"/>
        <v>0</v>
      </c>
      <c r="AD23" s="19">
        <f t="shared" si="1"/>
        <v>0</v>
      </c>
      <c r="AE23" s="19">
        <f t="shared" si="2"/>
        <v>1</v>
      </c>
      <c r="AF23" s="19">
        <f t="shared" si="3"/>
        <v>0</v>
      </c>
      <c r="AG23" s="19">
        <f t="shared" si="4"/>
        <v>0</v>
      </c>
      <c r="AH23" s="19">
        <f t="shared" si="5"/>
        <v>0</v>
      </c>
    </row>
    <row r="24" spans="1:34">
      <c r="A24" s="8" t="s">
        <v>1106</v>
      </c>
      <c r="B24" s="8" t="s">
        <v>2059</v>
      </c>
      <c r="C24" s="8" t="s">
        <v>957</v>
      </c>
      <c r="D24" s="8" t="s">
        <v>4</v>
      </c>
      <c r="E24" s="8" t="s">
        <v>41</v>
      </c>
      <c r="F24" s="8" t="s">
        <v>3</v>
      </c>
      <c r="G24" s="8" t="s">
        <v>12</v>
      </c>
      <c r="H24" s="8" t="s">
        <v>115</v>
      </c>
      <c r="I24" s="8" t="s">
        <v>41</v>
      </c>
      <c r="J24" s="8" t="s">
        <v>41</v>
      </c>
      <c r="K24" s="8" t="s">
        <v>43</v>
      </c>
      <c r="L24" s="8" t="s">
        <v>110</v>
      </c>
      <c r="M24" s="11" t="s">
        <v>5532</v>
      </c>
      <c r="N24" s="8">
        <v>676</v>
      </c>
      <c r="O24" s="8">
        <v>385</v>
      </c>
      <c r="P24" s="8">
        <v>291</v>
      </c>
      <c r="Q24" s="8">
        <v>211</v>
      </c>
      <c r="R24" s="8">
        <v>122</v>
      </c>
      <c r="S24" s="8">
        <v>125</v>
      </c>
      <c r="T24" s="8">
        <v>70</v>
      </c>
      <c r="U24" s="8">
        <v>99</v>
      </c>
      <c r="V24" s="8">
        <v>58</v>
      </c>
      <c r="W24" s="8">
        <v>167</v>
      </c>
      <c r="X24" s="8">
        <v>96</v>
      </c>
      <c r="Y24" s="8">
        <v>74</v>
      </c>
      <c r="Z24" s="8">
        <v>39</v>
      </c>
      <c r="AA24" s="8">
        <v>0</v>
      </c>
      <c r="AB24" s="8">
        <v>0</v>
      </c>
      <c r="AC24" s="19">
        <f t="shared" si="0"/>
        <v>89</v>
      </c>
      <c r="AD24" s="19">
        <f t="shared" si="1"/>
        <v>55</v>
      </c>
      <c r="AE24" s="19">
        <f t="shared" si="2"/>
        <v>41</v>
      </c>
      <c r="AF24" s="19">
        <f t="shared" si="3"/>
        <v>71</v>
      </c>
      <c r="AG24" s="19">
        <f t="shared" si="4"/>
        <v>35</v>
      </c>
      <c r="AH24" s="19">
        <f t="shared" si="5"/>
        <v>0</v>
      </c>
    </row>
    <row r="25" spans="1:34">
      <c r="A25" s="8" t="s">
        <v>1104</v>
      </c>
      <c r="B25" s="8" t="s">
        <v>1992</v>
      </c>
      <c r="C25" s="8" t="s">
        <v>3</v>
      </c>
      <c r="D25" s="8" t="s">
        <v>7</v>
      </c>
      <c r="E25" s="8" t="s">
        <v>41</v>
      </c>
      <c r="F25" s="8" t="s">
        <v>3</v>
      </c>
      <c r="G25" s="8" t="s">
        <v>13</v>
      </c>
      <c r="H25" s="8" t="s">
        <v>1722</v>
      </c>
      <c r="I25" s="8" t="s">
        <v>43</v>
      </c>
      <c r="J25" s="8" t="s">
        <v>41</v>
      </c>
      <c r="K25" s="8" t="s">
        <v>5696</v>
      </c>
      <c r="L25" s="8" t="s">
        <v>110</v>
      </c>
      <c r="M25" s="11" t="s">
        <v>1807</v>
      </c>
      <c r="N25" s="8">
        <v>12</v>
      </c>
      <c r="O25" s="8">
        <v>12</v>
      </c>
      <c r="P25" s="8">
        <v>0</v>
      </c>
      <c r="Q25" s="8">
        <v>1</v>
      </c>
      <c r="R25" s="8">
        <v>1</v>
      </c>
      <c r="S25" s="8">
        <v>0</v>
      </c>
      <c r="T25" s="8">
        <v>0</v>
      </c>
      <c r="U25" s="8">
        <v>1</v>
      </c>
      <c r="V25" s="8">
        <v>1</v>
      </c>
      <c r="W25" s="8">
        <v>4</v>
      </c>
      <c r="X25" s="8">
        <v>4</v>
      </c>
      <c r="Y25" s="8">
        <v>6</v>
      </c>
      <c r="Z25" s="8">
        <v>6</v>
      </c>
      <c r="AA25" s="8">
        <v>0</v>
      </c>
      <c r="AB25" s="8">
        <v>0</v>
      </c>
      <c r="AC25" s="19">
        <f t="shared" si="0"/>
        <v>0</v>
      </c>
      <c r="AD25" s="19">
        <f t="shared" si="1"/>
        <v>0</v>
      </c>
      <c r="AE25" s="19">
        <f t="shared" si="2"/>
        <v>0</v>
      </c>
      <c r="AF25" s="19">
        <f t="shared" si="3"/>
        <v>0</v>
      </c>
      <c r="AG25" s="19">
        <f t="shared" si="4"/>
        <v>0</v>
      </c>
      <c r="AH25" s="19">
        <f t="shared" si="5"/>
        <v>0</v>
      </c>
    </row>
    <row r="26" spans="1:34">
      <c r="A26" s="8" t="s">
        <v>1111</v>
      </c>
      <c r="B26" s="8" t="s">
        <v>2061</v>
      </c>
      <c r="C26" s="8" t="s">
        <v>3</v>
      </c>
      <c r="D26" s="8" t="s">
        <v>7</v>
      </c>
      <c r="E26" s="8" t="s">
        <v>41</v>
      </c>
      <c r="F26" s="8" t="s">
        <v>3</v>
      </c>
      <c r="G26" s="8" t="s">
        <v>13</v>
      </c>
      <c r="H26" s="8" t="s">
        <v>149</v>
      </c>
      <c r="I26" s="8" t="s">
        <v>41</v>
      </c>
      <c r="J26" s="8" t="s">
        <v>41</v>
      </c>
      <c r="K26" s="8" t="s">
        <v>56</v>
      </c>
      <c r="L26" s="8" t="s">
        <v>110</v>
      </c>
      <c r="M26" s="11" t="s">
        <v>2062</v>
      </c>
      <c r="N26" s="8">
        <v>607</v>
      </c>
      <c r="O26" s="8">
        <v>346</v>
      </c>
      <c r="P26" s="8">
        <v>261</v>
      </c>
      <c r="Q26" s="8">
        <v>150</v>
      </c>
      <c r="R26" s="8">
        <v>87</v>
      </c>
      <c r="S26" s="8">
        <v>112</v>
      </c>
      <c r="T26" s="8">
        <v>70</v>
      </c>
      <c r="U26" s="8">
        <v>161</v>
      </c>
      <c r="V26" s="8">
        <v>86</v>
      </c>
      <c r="W26" s="8">
        <v>125</v>
      </c>
      <c r="X26" s="8">
        <v>70</v>
      </c>
      <c r="Y26" s="8">
        <v>59</v>
      </c>
      <c r="Z26" s="8">
        <v>33</v>
      </c>
      <c r="AA26" s="8">
        <v>0</v>
      </c>
      <c r="AB26" s="8">
        <v>0</v>
      </c>
      <c r="AC26" s="19">
        <f t="shared" si="0"/>
        <v>63</v>
      </c>
      <c r="AD26" s="19">
        <f t="shared" si="1"/>
        <v>42</v>
      </c>
      <c r="AE26" s="19">
        <f t="shared" si="2"/>
        <v>75</v>
      </c>
      <c r="AF26" s="19">
        <f t="shared" si="3"/>
        <v>55</v>
      </c>
      <c r="AG26" s="19">
        <f t="shared" si="4"/>
        <v>26</v>
      </c>
      <c r="AH26" s="19">
        <f t="shared" si="5"/>
        <v>0</v>
      </c>
    </row>
    <row r="27" spans="1:34">
      <c r="A27" s="8" t="s">
        <v>1103</v>
      </c>
      <c r="B27" s="8" t="s">
        <v>2064</v>
      </c>
      <c r="C27" s="8" t="s">
        <v>3</v>
      </c>
      <c r="D27" s="8" t="s">
        <v>7</v>
      </c>
      <c r="E27" s="8" t="s">
        <v>41</v>
      </c>
      <c r="F27" s="8" t="s">
        <v>3</v>
      </c>
      <c r="G27" s="8" t="s">
        <v>13</v>
      </c>
      <c r="H27" s="8" t="s">
        <v>151</v>
      </c>
      <c r="I27" s="8" t="s">
        <v>41</v>
      </c>
      <c r="J27" s="8" t="s">
        <v>41</v>
      </c>
      <c r="K27" s="8" t="s">
        <v>43</v>
      </c>
      <c r="L27" s="8" t="s">
        <v>110</v>
      </c>
      <c r="M27" s="11" t="s">
        <v>2065</v>
      </c>
      <c r="N27" s="8">
        <v>454</v>
      </c>
      <c r="O27" s="8">
        <v>252</v>
      </c>
      <c r="P27" s="8">
        <v>202</v>
      </c>
      <c r="Q27" s="8">
        <v>125</v>
      </c>
      <c r="R27" s="8">
        <v>65</v>
      </c>
      <c r="S27" s="8">
        <v>90</v>
      </c>
      <c r="T27" s="8">
        <v>48</v>
      </c>
      <c r="U27" s="8">
        <v>76</v>
      </c>
      <c r="V27" s="8">
        <v>44</v>
      </c>
      <c r="W27" s="8">
        <v>119</v>
      </c>
      <c r="X27" s="8">
        <v>68</v>
      </c>
      <c r="Y27" s="8">
        <v>44</v>
      </c>
      <c r="Z27" s="8">
        <v>27</v>
      </c>
      <c r="AA27" s="8">
        <v>0</v>
      </c>
      <c r="AB27" s="8">
        <v>0</v>
      </c>
      <c r="AC27" s="19">
        <f t="shared" si="0"/>
        <v>60</v>
      </c>
      <c r="AD27" s="19">
        <f t="shared" si="1"/>
        <v>42</v>
      </c>
      <c r="AE27" s="19">
        <f t="shared" si="2"/>
        <v>32</v>
      </c>
      <c r="AF27" s="19">
        <f t="shared" si="3"/>
        <v>51</v>
      </c>
      <c r="AG27" s="19">
        <f t="shared" si="4"/>
        <v>17</v>
      </c>
      <c r="AH27" s="19">
        <f t="shared" si="5"/>
        <v>0</v>
      </c>
    </row>
    <row r="28" spans="1:34">
      <c r="A28" s="8" t="s">
        <v>944</v>
      </c>
      <c r="B28" s="8" t="s">
        <v>2067</v>
      </c>
      <c r="C28" s="8" t="s">
        <v>3</v>
      </c>
      <c r="D28" s="8" t="s">
        <v>3</v>
      </c>
      <c r="E28" s="8" t="s">
        <v>41</v>
      </c>
      <c r="F28" s="8" t="s">
        <v>3</v>
      </c>
      <c r="G28" s="8" t="s">
        <v>16</v>
      </c>
      <c r="H28" s="8" t="s">
        <v>1723</v>
      </c>
      <c r="I28" s="8" t="s">
        <v>41</v>
      </c>
      <c r="J28" s="8" t="s">
        <v>41</v>
      </c>
      <c r="K28" s="8" t="s">
        <v>56</v>
      </c>
      <c r="L28" s="8" t="s">
        <v>110</v>
      </c>
      <c r="M28" s="11" t="s">
        <v>2068</v>
      </c>
      <c r="N28" s="8">
        <v>410</v>
      </c>
      <c r="O28" s="8">
        <v>197</v>
      </c>
      <c r="P28" s="8">
        <v>213</v>
      </c>
      <c r="Q28" s="8">
        <v>156</v>
      </c>
      <c r="R28" s="8">
        <v>77</v>
      </c>
      <c r="S28" s="8">
        <v>53</v>
      </c>
      <c r="T28" s="8">
        <v>19</v>
      </c>
      <c r="U28" s="8">
        <v>136</v>
      </c>
      <c r="V28" s="8">
        <v>67</v>
      </c>
      <c r="W28" s="8">
        <v>40</v>
      </c>
      <c r="X28" s="8">
        <v>20</v>
      </c>
      <c r="Y28" s="8">
        <v>25</v>
      </c>
      <c r="Z28" s="8">
        <v>14</v>
      </c>
      <c r="AA28" s="8">
        <v>0</v>
      </c>
      <c r="AB28" s="8">
        <v>0</v>
      </c>
      <c r="AC28" s="19">
        <f t="shared" si="0"/>
        <v>79</v>
      </c>
      <c r="AD28" s="19">
        <f t="shared" si="1"/>
        <v>34</v>
      </c>
      <c r="AE28" s="19">
        <f t="shared" si="2"/>
        <v>69</v>
      </c>
      <c r="AF28" s="19">
        <f t="shared" si="3"/>
        <v>20</v>
      </c>
      <c r="AG28" s="19">
        <f t="shared" si="4"/>
        <v>11</v>
      </c>
      <c r="AH28" s="19">
        <f t="shared" si="5"/>
        <v>0</v>
      </c>
    </row>
    <row r="29" spans="1:34">
      <c r="A29" s="8" t="s">
        <v>1115</v>
      </c>
      <c r="B29" s="8" t="s">
        <v>1992</v>
      </c>
      <c r="C29" s="8" t="s">
        <v>5</v>
      </c>
      <c r="D29" s="8" t="s">
        <v>6</v>
      </c>
      <c r="E29" s="8" t="s">
        <v>43</v>
      </c>
      <c r="F29" s="8" t="s">
        <v>3</v>
      </c>
      <c r="G29" s="8" t="s">
        <v>11</v>
      </c>
      <c r="H29" s="8" t="s">
        <v>4321</v>
      </c>
      <c r="I29" s="8" t="s">
        <v>43</v>
      </c>
      <c r="J29" s="8" t="s">
        <v>41</v>
      </c>
      <c r="K29" s="8" t="s">
        <v>5696</v>
      </c>
      <c r="L29" s="8" t="s">
        <v>110</v>
      </c>
      <c r="M29" s="11" t="s">
        <v>4292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19">
        <f t="shared" si="0"/>
        <v>0</v>
      </c>
      <c r="AD29" s="19">
        <f t="shared" si="1"/>
        <v>0</v>
      </c>
      <c r="AE29" s="19">
        <f t="shared" si="2"/>
        <v>0</v>
      </c>
      <c r="AF29" s="19">
        <f t="shared" si="3"/>
        <v>0</v>
      </c>
      <c r="AG29" s="19">
        <f t="shared" si="4"/>
        <v>0</v>
      </c>
      <c r="AH29" s="19">
        <f t="shared" si="5"/>
        <v>0</v>
      </c>
    </row>
    <row r="30" spans="1:34">
      <c r="A30" s="8" t="s">
        <v>938</v>
      </c>
      <c r="B30" s="8" t="s">
        <v>1992</v>
      </c>
      <c r="C30" s="8" t="s">
        <v>957</v>
      </c>
      <c r="D30" s="8" t="s">
        <v>5</v>
      </c>
      <c r="E30" s="8" t="s">
        <v>41</v>
      </c>
      <c r="F30" s="8" t="s">
        <v>4</v>
      </c>
      <c r="G30" s="8" t="s">
        <v>3</v>
      </c>
      <c r="H30" s="8" t="s">
        <v>166</v>
      </c>
      <c r="I30" s="8" t="s">
        <v>43</v>
      </c>
      <c r="J30" s="8" t="s">
        <v>41</v>
      </c>
      <c r="K30" s="8" t="s">
        <v>5696</v>
      </c>
      <c r="L30" s="8" t="s">
        <v>110</v>
      </c>
      <c r="M30" s="11" t="s">
        <v>1808</v>
      </c>
      <c r="N30" s="8">
        <v>17</v>
      </c>
      <c r="O30" s="8">
        <v>10</v>
      </c>
      <c r="P30" s="8">
        <v>7</v>
      </c>
      <c r="Q30" s="8">
        <v>1</v>
      </c>
      <c r="R30" s="8">
        <v>0</v>
      </c>
      <c r="S30" s="8">
        <v>2</v>
      </c>
      <c r="T30" s="8">
        <v>1</v>
      </c>
      <c r="U30" s="8">
        <v>2</v>
      </c>
      <c r="V30" s="8">
        <v>2</v>
      </c>
      <c r="W30" s="8">
        <v>12</v>
      </c>
      <c r="X30" s="8">
        <v>7</v>
      </c>
      <c r="Y30" s="8">
        <v>0</v>
      </c>
      <c r="Z30" s="8">
        <v>0</v>
      </c>
      <c r="AA30" s="8">
        <v>0</v>
      </c>
      <c r="AB30" s="8">
        <v>0</v>
      </c>
      <c r="AC30" s="19">
        <f t="shared" si="0"/>
        <v>1</v>
      </c>
      <c r="AD30" s="19">
        <f t="shared" si="1"/>
        <v>1</v>
      </c>
      <c r="AE30" s="19">
        <f t="shared" si="2"/>
        <v>0</v>
      </c>
      <c r="AF30" s="19">
        <f t="shared" si="3"/>
        <v>5</v>
      </c>
      <c r="AG30" s="19">
        <f t="shared" si="4"/>
        <v>0</v>
      </c>
      <c r="AH30" s="19">
        <f t="shared" si="5"/>
        <v>0</v>
      </c>
    </row>
    <row r="31" spans="1:34">
      <c r="A31" s="8" t="s">
        <v>1117</v>
      </c>
      <c r="B31" s="8" t="s">
        <v>2069</v>
      </c>
      <c r="C31" s="8" t="s">
        <v>957</v>
      </c>
      <c r="D31" s="8" t="s">
        <v>5</v>
      </c>
      <c r="E31" s="8" t="s">
        <v>41</v>
      </c>
      <c r="F31" s="8" t="s">
        <v>4</v>
      </c>
      <c r="G31" s="8" t="s">
        <v>4</v>
      </c>
      <c r="H31" s="8" t="s">
        <v>497</v>
      </c>
      <c r="I31" s="8" t="s">
        <v>41</v>
      </c>
      <c r="J31" s="8" t="s">
        <v>41</v>
      </c>
      <c r="K31" s="8" t="s">
        <v>56</v>
      </c>
      <c r="L31" s="8" t="s">
        <v>110</v>
      </c>
      <c r="M31" s="11" t="s">
        <v>4051</v>
      </c>
      <c r="N31" s="8">
        <v>817</v>
      </c>
      <c r="O31" s="8">
        <v>437</v>
      </c>
      <c r="P31" s="8">
        <v>380</v>
      </c>
      <c r="Q31" s="8">
        <v>263</v>
      </c>
      <c r="R31" s="8">
        <v>145</v>
      </c>
      <c r="S31" s="8">
        <v>136</v>
      </c>
      <c r="T31" s="8">
        <v>80</v>
      </c>
      <c r="U31" s="8">
        <v>119</v>
      </c>
      <c r="V31" s="8">
        <v>54</v>
      </c>
      <c r="W31" s="8">
        <v>199</v>
      </c>
      <c r="X31" s="8">
        <v>103</v>
      </c>
      <c r="Y31" s="8">
        <v>100</v>
      </c>
      <c r="Z31" s="8">
        <v>55</v>
      </c>
      <c r="AA31" s="8">
        <v>0</v>
      </c>
      <c r="AB31" s="8">
        <v>0</v>
      </c>
      <c r="AC31" s="19">
        <f t="shared" si="0"/>
        <v>118</v>
      </c>
      <c r="AD31" s="19">
        <f t="shared" si="1"/>
        <v>56</v>
      </c>
      <c r="AE31" s="19">
        <f t="shared" si="2"/>
        <v>65</v>
      </c>
      <c r="AF31" s="19">
        <f t="shared" si="3"/>
        <v>96</v>
      </c>
      <c r="AG31" s="19">
        <f t="shared" si="4"/>
        <v>45</v>
      </c>
      <c r="AH31" s="19">
        <f t="shared" si="5"/>
        <v>0</v>
      </c>
    </row>
    <row r="32" spans="1:34">
      <c r="A32" s="8" t="s">
        <v>1132</v>
      </c>
      <c r="B32" s="8" t="s">
        <v>2070</v>
      </c>
      <c r="C32" s="8" t="s">
        <v>752</v>
      </c>
      <c r="D32" s="8" t="s">
        <v>3</v>
      </c>
      <c r="E32" s="8" t="s">
        <v>41</v>
      </c>
      <c r="F32" s="8" t="s">
        <v>5</v>
      </c>
      <c r="G32" s="8" t="s">
        <v>17</v>
      </c>
      <c r="H32" s="8" t="s">
        <v>192</v>
      </c>
      <c r="I32" s="8" t="s">
        <v>41</v>
      </c>
      <c r="J32" s="8" t="s">
        <v>41</v>
      </c>
      <c r="K32" s="8" t="s">
        <v>41</v>
      </c>
      <c r="L32" s="8" t="s">
        <v>110</v>
      </c>
      <c r="M32" s="11" t="s">
        <v>2071</v>
      </c>
      <c r="N32" s="8">
        <v>388</v>
      </c>
      <c r="O32" s="8">
        <v>209</v>
      </c>
      <c r="P32" s="8">
        <v>179</v>
      </c>
      <c r="Q32" s="8">
        <v>83</v>
      </c>
      <c r="R32" s="8">
        <v>45</v>
      </c>
      <c r="S32" s="8">
        <v>79</v>
      </c>
      <c r="T32" s="8">
        <v>40</v>
      </c>
      <c r="U32" s="8">
        <v>79</v>
      </c>
      <c r="V32" s="8">
        <v>50</v>
      </c>
      <c r="W32" s="8">
        <v>86</v>
      </c>
      <c r="X32" s="8">
        <v>44</v>
      </c>
      <c r="Y32" s="8">
        <v>61</v>
      </c>
      <c r="Z32" s="8">
        <v>30</v>
      </c>
      <c r="AA32" s="8">
        <v>0</v>
      </c>
      <c r="AB32" s="8">
        <v>0</v>
      </c>
      <c r="AC32" s="19">
        <f t="shared" si="0"/>
        <v>38</v>
      </c>
      <c r="AD32" s="19">
        <f t="shared" si="1"/>
        <v>39</v>
      </c>
      <c r="AE32" s="19">
        <f t="shared" si="2"/>
        <v>29</v>
      </c>
      <c r="AF32" s="19">
        <f t="shared" si="3"/>
        <v>42</v>
      </c>
      <c r="AG32" s="19">
        <f t="shared" si="4"/>
        <v>31</v>
      </c>
      <c r="AH32" s="19">
        <f t="shared" si="5"/>
        <v>0</v>
      </c>
    </row>
    <row r="33" spans="1:34">
      <c r="A33" s="8" t="s">
        <v>1786</v>
      </c>
      <c r="B33" s="8" t="s">
        <v>2073</v>
      </c>
      <c r="C33" s="8" t="s">
        <v>752</v>
      </c>
      <c r="D33" s="8" t="s">
        <v>9</v>
      </c>
      <c r="E33" s="8" t="s">
        <v>41</v>
      </c>
      <c r="F33" s="8" t="s">
        <v>5</v>
      </c>
      <c r="G33" s="8" t="s">
        <v>3</v>
      </c>
      <c r="H33" s="8" t="s">
        <v>189</v>
      </c>
      <c r="I33" s="8" t="s">
        <v>41</v>
      </c>
      <c r="J33" s="8" t="s">
        <v>41</v>
      </c>
      <c r="K33" s="8" t="s">
        <v>43</v>
      </c>
      <c r="L33" s="8" t="s">
        <v>110</v>
      </c>
      <c r="M33" s="11" t="s">
        <v>2074</v>
      </c>
      <c r="N33" s="8">
        <v>537</v>
      </c>
      <c r="O33" s="8">
        <v>302</v>
      </c>
      <c r="P33" s="8">
        <v>235</v>
      </c>
      <c r="Q33" s="8">
        <v>130</v>
      </c>
      <c r="R33" s="8">
        <v>75</v>
      </c>
      <c r="S33" s="8">
        <v>134</v>
      </c>
      <c r="T33" s="8">
        <v>73</v>
      </c>
      <c r="U33" s="8">
        <v>90</v>
      </c>
      <c r="V33" s="8">
        <v>54</v>
      </c>
      <c r="W33" s="8">
        <v>107</v>
      </c>
      <c r="X33" s="8">
        <v>60</v>
      </c>
      <c r="Y33" s="8">
        <v>76</v>
      </c>
      <c r="Z33" s="8">
        <v>40</v>
      </c>
      <c r="AA33" s="8">
        <v>0</v>
      </c>
      <c r="AB33" s="8">
        <v>0</v>
      </c>
      <c r="AC33" s="19">
        <f t="shared" si="0"/>
        <v>55</v>
      </c>
      <c r="AD33" s="19">
        <f t="shared" si="1"/>
        <v>61</v>
      </c>
      <c r="AE33" s="19">
        <f t="shared" si="2"/>
        <v>36</v>
      </c>
      <c r="AF33" s="19">
        <f t="shared" si="3"/>
        <v>47</v>
      </c>
      <c r="AG33" s="19">
        <f t="shared" si="4"/>
        <v>36</v>
      </c>
      <c r="AH33" s="19">
        <f t="shared" si="5"/>
        <v>0</v>
      </c>
    </row>
    <row r="34" spans="1:34">
      <c r="A34" s="8" t="s">
        <v>1122</v>
      </c>
      <c r="B34" s="8" t="s">
        <v>2075</v>
      </c>
      <c r="C34" s="8" t="s">
        <v>752</v>
      </c>
      <c r="D34" s="8" t="s">
        <v>3</v>
      </c>
      <c r="E34" s="8" t="s">
        <v>41</v>
      </c>
      <c r="F34" s="8" t="s">
        <v>5</v>
      </c>
      <c r="G34" s="8" t="s">
        <v>3</v>
      </c>
      <c r="H34" s="8" t="s">
        <v>47</v>
      </c>
      <c r="I34" s="8" t="s">
        <v>56</v>
      </c>
      <c r="J34" s="8" t="s">
        <v>41</v>
      </c>
      <c r="K34" s="8" t="s">
        <v>41</v>
      </c>
      <c r="L34" s="8" t="s">
        <v>110</v>
      </c>
      <c r="M34" s="11" t="s">
        <v>2076</v>
      </c>
      <c r="N34" s="8">
        <v>84</v>
      </c>
      <c r="O34" s="8">
        <v>31</v>
      </c>
      <c r="P34" s="8">
        <v>53</v>
      </c>
      <c r="Q34" s="8">
        <v>27</v>
      </c>
      <c r="R34" s="8">
        <v>11</v>
      </c>
      <c r="S34" s="8">
        <v>12</v>
      </c>
      <c r="T34" s="8">
        <v>8</v>
      </c>
      <c r="U34" s="8">
        <v>24</v>
      </c>
      <c r="V34" s="8">
        <v>7</v>
      </c>
      <c r="W34" s="8">
        <v>8</v>
      </c>
      <c r="X34" s="8">
        <v>2</v>
      </c>
      <c r="Y34" s="8">
        <v>13</v>
      </c>
      <c r="Z34" s="8">
        <v>3</v>
      </c>
      <c r="AA34" s="8">
        <v>0</v>
      </c>
      <c r="AB34" s="8">
        <v>0</v>
      </c>
      <c r="AC34" s="19">
        <f t="shared" si="0"/>
        <v>16</v>
      </c>
      <c r="AD34" s="19">
        <f t="shared" si="1"/>
        <v>4</v>
      </c>
      <c r="AE34" s="19">
        <f t="shared" si="2"/>
        <v>17</v>
      </c>
      <c r="AF34" s="19">
        <f t="shared" si="3"/>
        <v>6</v>
      </c>
      <c r="AG34" s="19">
        <f t="shared" si="4"/>
        <v>10</v>
      </c>
      <c r="AH34" s="19">
        <f t="shared" si="5"/>
        <v>0</v>
      </c>
    </row>
    <row r="35" spans="1:34">
      <c r="A35" s="8" t="s">
        <v>1097</v>
      </c>
      <c r="B35" s="8" t="s">
        <v>2078</v>
      </c>
      <c r="C35" s="8" t="s">
        <v>752</v>
      </c>
      <c r="D35" s="8" t="s">
        <v>9</v>
      </c>
      <c r="E35" s="8" t="s">
        <v>41</v>
      </c>
      <c r="F35" s="8" t="s">
        <v>5</v>
      </c>
      <c r="G35" s="8" t="s">
        <v>3</v>
      </c>
      <c r="H35" s="8" t="s">
        <v>47</v>
      </c>
      <c r="I35" s="8" t="s">
        <v>41</v>
      </c>
      <c r="J35" s="8" t="s">
        <v>41</v>
      </c>
      <c r="K35" s="8" t="s">
        <v>56</v>
      </c>
      <c r="L35" s="8" t="s">
        <v>110</v>
      </c>
      <c r="M35" s="11" t="s">
        <v>2079</v>
      </c>
      <c r="N35" s="8">
        <v>393</v>
      </c>
      <c r="O35" s="8">
        <v>190</v>
      </c>
      <c r="P35" s="8">
        <v>203</v>
      </c>
      <c r="Q35" s="8">
        <v>84</v>
      </c>
      <c r="R35" s="8">
        <v>40</v>
      </c>
      <c r="S35" s="8">
        <v>90</v>
      </c>
      <c r="T35" s="8">
        <v>41</v>
      </c>
      <c r="U35" s="8">
        <v>84</v>
      </c>
      <c r="V35" s="8">
        <v>44</v>
      </c>
      <c r="W35" s="8">
        <v>73</v>
      </c>
      <c r="X35" s="8">
        <v>37</v>
      </c>
      <c r="Y35" s="8">
        <v>62</v>
      </c>
      <c r="Z35" s="8">
        <v>28</v>
      </c>
      <c r="AA35" s="8">
        <v>0</v>
      </c>
      <c r="AB35" s="8">
        <v>0</v>
      </c>
      <c r="AC35" s="19">
        <f t="shared" si="0"/>
        <v>44</v>
      </c>
      <c r="AD35" s="19">
        <f t="shared" si="1"/>
        <v>49</v>
      </c>
      <c r="AE35" s="19">
        <f t="shared" si="2"/>
        <v>40</v>
      </c>
      <c r="AF35" s="19">
        <f t="shared" si="3"/>
        <v>36</v>
      </c>
      <c r="AG35" s="19">
        <f t="shared" si="4"/>
        <v>34</v>
      </c>
      <c r="AH35" s="19">
        <f t="shared" si="5"/>
        <v>0</v>
      </c>
    </row>
    <row r="36" spans="1:34">
      <c r="A36" s="8" t="s">
        <v>1927</v>
      </c>
      <c r="B36" s="8" t="s">
        <v>2081</v>
      </c>
      <c r="C36" s="8" t="s">
        <v>752</v>
      </c>
      <c r="D36" s="8" t="s">
        <v>4</v>
      </c>
      <c r="E36" s="8" t="s">
        <v>41</v>
      </c>
      <c r="F36" s="8" t="s">
        <v>5</v>
      </c>
      <c r="G36" s="8" t="s">
        <v>4</v>
      </c>
      <c r="H36" s="8" t="s">
        <v>49</v>
      </c>
      <c r="I36" s="8" t="s">
        <v>41</v>
      </c>
      <c r="J36" s="8" t="s">
        <v>41</v>
      </c>
      <c r="K36" s="8" t="s">
        <v>43</v>
      </c>
      <c r="L36" s="8" t="s">
        <v>110</v>
      </c>
      <c r="M36" s="11" t="s">
        <v>2082</v>
      </c>
      <c r="N36" s="8">
        <v>723</v>
      </c>
      <c r="O36" s="8">
        <v>428</v>
      </c>
      <c r="P36" s="8">
        <v>295</v>
      </c>
      <c r="Q36" s="8">
        <v>169</v>
      </c>
      <c r="R36" s="8">
        <v>95</v>
      </c>
      <c r="S36" s="8">
        <v>213</v>
      </c>
      <c r="T36" s="8">
        <v>130</v>
      </c>
      <c r="U36" s="8">
        <v>136</v>
      </c>
      <c r="V36" s="8">
        <v>85</v>
      </c>
      <c r="W36" s="8">
        <v>158</v>
      </c>
      <c r="X36" s="8">
        <v>100</v>
      </c>
      <c r="Y36" s="8">
        <v>47</v>
      </c>
      <c r="Z36" s="8">
        <v>18</v>
      </c>
      <c r="AA36" s="8">
        <v>0</v>
      </c>
      <c r="AB36" s="8">
        <v>0</v>
      </c>
      <c r="AC36" s="19">
        <f t="shared" si="0"/>
        <v>74</v>
      </c>
      <c r="AD36" s="19">
        <f t="shared" si="1"/>
        <v>83</v>
      </c>
      <c r="AE36" s="19">
        <f t="shared" si="2"/>
        <v>51</v>
      </c>
      <c r="AF36" s="19">
        <f t="shared" si="3"/>
        <v>58</v>
      </c>
      <c r="AG36" s="19">
        <f t="shared" si="4"/>
        <v>29</v>
      </c>
      <c r="AH36" s="19">
        <f t="shared" si="5"/>
        <v>0</v>
      </c>
    </row>
    <row r="37" spans="1:34">
      <c r="A37" s="8" t="s">
        <v>75</v>
      </c>
      <c r="B37" s="8" t="s">
        <v>2084</v>
      </c>
      <c r="C37" s="8" t="s">
        <v>752</v>
      </c>
      <c r="D37" s="8" t="s">
        <v>3</v>
      </c>
      <c r="E37" s="8" t="s">
        <v>41</v>
      </c>
      <c r="F37" s="8" t="s">
        <v>5</v>
      </c>
      <c r="G37" s="8" t="s">
        <v>7</v>
      </c>
      <c r="H37" s="8" t="s">
        <v>132</v>
      </c>
      <c r="I37" s="8" t="s">
        <v>41</v>
      </c>
      <c r="J37" s="8" t="s">
        <v>41</v>
      </c>
      <c r="K37" s="8" t="s">
        <v>43</v>
      </c>
      <c r="L37" s="8" t="s">
        <v>110</v>
      </c>
      <c r="M37" s="11" t="s">
        <v>2085</v>
      </c>
      <c r="N37" s="8">
        <v>373</v>
      </c>
      <c r="O37" s="8">
        <v>203</v>
      </c>
      <c r="P37" s="8">
        <v>170</v>
      </c>
      <c r="Q37" s="8">
        <v>148</v>
      </c>
      <c r="R37" s="8">
        <v>88</v>
      </c>
      <c r="S37" s="8">
        <v>82</v>
      </c>
      <c r="T37" s="8">
        <v>48</v>
      </c>
      <c r="U37" s="8">
        <v>52</v>
      </c>
      <c r="V37" s="8">
        <v>27</v>
      </c>
      <c r="W37" s="8">
        <v>91</v>
      </c>
      <c r="X37" s="8">
        <v>40</v>
      </c>
      <c r="Y37" s="8">
        <v>0</v>
      </c>
      <c r="Z37" s="8">
        <v>0</v>
      </c>
      <c r="AA37" s="8">
        <v>0</v>
      </c>
      <c r="AB37" s="8">
        <v>0</v>
      </c>
      <c r="AC37" s="19">
        <f t="shared" si="0"/>
        <v>60</v>
      </c>
      <c r="AD37" s="19">
        <f t="shared" si="1"/>
        <v>34</v>
      </c>
      <c r="AE37" s="19">
        <f t="shared" si="2"/>
        <v>25</v>
      </c>
      <c r="AF37" s="19">
        <f t="shared" si="3"/>
        <v>51</v>
      </c>
      <c r="AG37" s="19">
        <f t="shared" si="4"/>
        <v>0</v>
      </c>
      <c r="AH37" s="19">
        <f t="shared" si="5"/>
        <v>0</v>
      </c>
    </row>
    <row r="38" spans="1:34">
      <c r="A38" s="8" t="s">
        <v>1733</v>
      </c>
      <c r="B38" s="8" t="s">
        <v>2087</v>
      </c>
      <c r="C38" s="8" t="s">
        <v>4</v>
      </c>
      <c r="D38" s="8" t="s">
        <v>3</v>
      </c>
      <c r="E38" s="8" t="s">
        <v>41</v>
      </c>
      <c r="F38" s="8" t="s">
        <v>6</v>
      </c>
      <c r="G38" s="8" t="s">
        <v>3</v>
      </c>
      <c r="H38" s="8" t="s">
        <v>230</v>
      </c>
      <c r="I38" s="8" t="s">
        <v>41</v>
      </c>
      <c r="J38" s="8" t="s">
        <v>41</v>
      </c>
      <c r="K38" s="8" t="s">
        <v>43</v>
      </c>
      <c r="L38" s="8" t="s">
        <v>110</v>
      </c>
      <c r="M38" s="11" t="s">
        <v>2088</v>
      </c>
      <c r="N38" s="8">
        <v>298</v>
      </c>
      <c r="O38" s="8">
        <v>144</v>
      </c>
      <c r="P38" s="8">
        <v>154</v>
      </c>
      <c r="Q38" s="8">
        <v>53</v>
      </c>
      <c r="R38" s="8">
        <v>27</v>
      </c>
      <c r="S38" s="8">
        <v>31</v>
      </c>
      <c r="T38" s="8">
        <v>16</v>
      </c>
      <c r="U38" s="8">
        <v>81</v>
      </c>
      <c r="V38" s="8">
        <v>31</v>
      </c>
      <c r="W38" s="8">
        <v>96</v>
      </c>
      <c r="X38" s="8">
        <v>47</v>
      </c>
      <c r="Y38" s="8">
        <v>37</v>
      </c>
      <c r="Z38" s="8">
        <v>23</v>
      </c>
      <c r="AA38" s="8">
        <v>0</v>
      </c>
      <c r="AB38" s="8">
        <v>0</v>
      </c>
      <c r="AC38" s="19">
        <f t="shared" si="0"/>
        <v>26</v>
      </c>
      <c r="AD38" s="19">
        <f t="shared" si="1"/>
        <v>15</v>
      </c>
      <c r="AE38" s="19">
        <f t="shared" si="2"/>
        <v>50</v>
      </c>
      <c r="AF38" s="19">
        <f t="shared" si="3"/>
        <v>49</v>
      </c>
      <c r="AG38" s="19">
        <f t="shared" si="4"/>
        <v>14</v>
      </c>
      <c r="AH38" s="19">
        <f t="shared" si="5"/>
        <v>0</v>
      </c>
    </row>
    <row r="39" spans="1:34">
      <c r="A39" s="8" t="s">
        <v>84</v>
      </c>
      <c r="B39" s="8" t="s">
        <v>2090</v>
      </c>
      <c r="C39" s="8" t="s">
        <v>955</v>
      </c>
      <c r="D39" s="8" t="s">
        <v>3</v>
      </c>
      <c r="E39" s="8" t="s">
        <v>41</v>
      </c>
      <c r="F39" s="8" t="s">
        <v>7</v>
      </c>
      <c r="G39" s="8" t="s">
        <v>3</v>
      </c>
      <c r="H39" s="8" t="s">
        <v>507</v>
      </c>
      <c r="I39" s="8" t="s">
        <v>41</v>
      </c>
      <c r="J39" s="8" t="s">
        <v>41</v>
      </c>
      <c r="K39" s="8" t="s">
        <v>43</v>
      </c>
      <c r="L39" s="8" t="s">
        <v>110</v>
      </c>
      <c r="M39" s="11" t="s">
        <v>2091</v>
      </c>
      <c r="N39" s="8">
        <v>150</v>
      </c>
      <c r="O39" s="8">
        <v>91</v>
      </c>
      <c r="P39" s="8">
        <v>59</v>
      </c>
      <c r="Q39" s="8">
        <v>11</v>
      </c>
      <c r="R39" s="8">
        <v>9</v>
      </c>
      <c r="S39" s="8">
        <v>11</v>
      </c>
      <c r="T39" s="8">
        <v>7</v>
      </c>
      <c r="U39" s="8">
        <v>13</v>
      </c>
      <c r="V39" s="8">
        <v>8</v>
      </c>
      <c r="W39" s="8">
        <v>78</v>
      </c>
      <c r="X39" s="8">
        <v>42</v>
      </c>
      <c r="Y39" s="8">
        <v>37</v>
      </c>
      <c r="Z39" s="8">
        <v>25</v>
      </c>
      <c r="AA39" s="8">
        <v>0</v>
      </c>
      <c r="AB39" s="8">
        <v>0</v>
      </c>
      <c r="AC39" s="19">
        <f t="shared" si="0"/>
        <v>2</v>
      </c>
      <c r="AD39" s="19">
        <f t="shared" si="1"/>
        <v>4</v>
      </c>
      <c r="AE39" s="19">
        <f t="shared" si="2"/>
        <v>5</v>
      </c>
      <c r="AF39" s="19">
        <f t="shared" si="3"/>
        <v>36</v>
      </c>
      <c r="AG39" s="19">
        <f t="shared" si="4"/>
        <v>12</v>
      </c>
      <c r="AH39" s="19">
        <f t="shared" si="5"/>
        <v>0</v>
      </c>
    </row>
    <row r="40" spans="1:34">
      <c r="A40" s="8" t="s">
        <v>1089</v>
      </c>
      <c r="B40" s="8" t="s">
        <v>2093</v>
      </c>
      <c r="C40" s="8" t="s">
        <v>752</v>
      </c>
      <c r="D40" s="8" t="s">
        <v>5</v>
      </c>
      <c r="E40" s="8" t="s">
        <v>41</v>
      </c>
      <c r="F40" s="8" t="s">
        <v>8</v>
      </c>
      <c r="G40" s="8" t="s">
        <v>3</v>
      </c>
      <c r="H40" s="8" t="s">
        <v>2095</v>
      </c>
      <c r="I40" s="8" t="s">
        <v>41</v>
      </c>
      <c r="J40" s="8" t="s">
        <v>41</v>
      </c>
      <c r="K40" s="8" t="s">
        <v>56</v>
      </c>
      <c r="L40" s="8" t="s">
        <v>110</v>
      </c>
      <c r="M40" s="11" t="s">
        <v>2094</v>
      </c>
      <c r="N40" s="8">
        <v>797</v>
      </c>
      <c r="O40" s="8">
        <v>447</v>
      </c>
      <c r="P40" s="8">
        <v>350</v>
      </c>
      <c r="Q40" s="8">
        <v>242</v>
      </c>
      <c r="R40" s="8">
        <v>126</v>
      </c>
      <c r="S40" s="8">
        <v>132</v>
      </c>
      <c r="T40" s="8">
        <v>82</v>
      </c>
      <c r="U40" s="8">
        <v>153</v>
      </c>
      <c r="V40" s="8">
        <v>74</v>
      </c>
      <c r="W40" s="8">
        <v>149</v>
      </c>
      <c r="X40" s="8">
        <v>89</v>
      </c>
      <c r="Y40" s="8">
        <v>115</v>
      </c>
      <c r="Z40" s="8">
        <v>72</v>
      </c>
      <c r="AA40" s="8">
        <v>6</v>
      </c>
      <c r="AB40" s="8">
        <v>4</v>
      </c>
      <c r="AC40" s="19">
        <f t="shared" si="0"/>
        <v>116</v>
      </c>
      <c r="AD40" s="19">
        <f t="shared" si="1"/>
        <v>50</v>
      </c>
      <c r="AE40" s="19">
        <f t="shared" si="2"/>
        <v>79</v>
      </c>
      <c r="AF40" s="19">
        <f t="shared" si="3"/>
        <v>60</v>
      </c>
      <c r="AG40" s="19">
        <f t="shared" si="4"/>
        <v>43</v>
      </c>
      <c r="AH40" s="19">
        <f t="shared" si="5"/>
        <v>2</v>
      </c>
    </row>
    <row r="41" spans="1:34">
      <c r="A41" s="8" t="s">
        <v>73</v>
      </c>
      <c r="B41" s="8" t="s">
        <v>2097</v>
      </c>
      <c r="C41" s="8" t="s">
        <v>752</v>
      </c>
      <c r="D41" s="8" t="s">
        <v>5</v>
      </c>
      <c r="E41" s="8" t="s">
        <v>41</v>
      </c>
      <c r="F41" s="8" t="s">
        <v>8</v>
      </c>
      <c r="G41" s="8" t="s">
        <v>6</v>
      </c>
      <c r="H41" s="8" t="s">
        <v>210</v>
      </c>
      <c r="I41" s="8" t="s">
        <v>41</v>
      </c>
      <c r="J41" s="8" t="s">
        <v>43</v>
      </c>
      <c r="K41" s="8" t="s">
        <v>5696</v>
      </c>
      <c r="L41" s="8" t="s">
        <v>110</v>
      </c>
      <c r="M41" s="11" t="s">
        <v>2098</v>
      </c>
      <c r="N41" s="8">
        <v>178</v>
      </c>
      <c r="O41" s="8">
        <v>108</v>
      </c>
      <c r="P41" s="8">
        <v>70</v>
      </c>
      <c r="Q41" s="8">
        <v>28</v>
      </c>
      <c r="R41" s="8">
        <v>20</v>
      </c>
      <c r="S41" s="8">
        <v>23</v>
      </c>
      <c r="T41" s="8">
        <v>14</v>
      </c>
      <c r="U41" s="8">
        <v>18</v>
      </c>
      <c r="V41" s="8">
        <v>8</v>
      </c>
      <c r="W41" s="8">
        <v>48</v>
      </c>
      <c r="X41" s="8">
        <v>29</v>
      </c>
      <c r="Y41" s="8">
        <v>61</v>
      </c>
      <c r="Z41" s="8">
        <v>37</v>
      </c>
      <c r="AA41" s="8">
        <v>0</v>
      </c>
      <c r="AB41" s="8">
        <v>0</v>
      </c>
      <c r="AC41" s="19">
        <f t="shared" si="0"/>
        <v>8</v>
      </c>
      <c r="AD41" s="19">
        <f t="shared" si="1"/>
        <v>9</v>
      </c>
      <c r="AE41" s="19">
        <f t="shared" si="2"/>
        <v>10</v>
      </c>
      <c r="AF41" s="19">
        <f t="shared" si="3"/>
        <v>19</v>
      </c>
      <c r="AG41" s="19">
        <f t="shared" si="4"/>
        <v>24</v>
      </c>
      <c r="AH41" s="19">
        <f t="shared" si="5"/>
        <v>0</v>
      </c>
    </row>
    <row r="42" spans="1:34">
      <c r="A42" s="8" t="s">
        <v>88</v>
      </c>
      <c r="B42" s="8" t="s">
        <v>2099</v>
      </c>
      <c r="C42" s="8" t="s">
        <v>4</v>
      </c>
      <c r="D42" s="8" t="s">
        <v>7</v>
      </c>
      <c r="E42" s="8" t="s">
        <v>41</v>
      </c>
      <c r="F42" s="8" t="s">
        <v>9</v>
      </c>
      <c r="G42" s="8" t="s">
        <v>3</v>
      </c>
      <c r="H42" s="8" t="s">
        <v>336</v>
      </c>
      <c r="I42" s="8" t="s">
        <v>41</v>
      </c>
      <c r="J42" s="8" t="s">
        <v>41</v>
      </c>
      <c r="K42" s="8" t="s">
        <v>43</v>
      </c>
      <c r="L42" s="8" t="s">
        <v>110</v>
      </c>
      <c r="M42" s="11" t="s">
        <v>2100</v>
      </c>
      <c r="N42" s="8">
        <v>106</v>
      </c>
      <c r="O42" s="8">
        <v>71</v>
      </c>
      <c r="P42" s="8">
        <v>35</v>
      </c>
      <c r="Q42" s="8">
        <v>18</v>
      </c>
      <c r="R42" s="8">
        <v>10</v>
      </c>
      <c r="S42" s="8">
        <v>22</v>
      </c>
      <c r="T42" s="8">
        <v>16</v>
      </c>
      <c r="U42" s="8">
        <v>35</v>
      </c>
      <c r="V42" s="8">
        <v>25</v>
      </c>
      <c r="W42" s="8">
        <v>10</v>
      </c>
      <c r="X42" s="8">
        <v>6</v>
      </c>
      <c r="Y42" s="8">
        <v>21</v>
      </c>
      <c r="Z42" s="8">
        <v>14</v>
      </c>
      <c r="AA42" s="8">
        <v>0</v>
      </c>
      <c r="AB42" s="8">
        <v>0</v>
      </c>
      <c r="AC42" s="19">
        <f t="shared" si="0"/>
        <v>8</v>
      </c>
      <c r="AD42" s="19">
        <f t="shared" si="1"/>
        <v>6</v>
      </c>
      <c r="AE42" s="19">
        <f t="shared" si="2"/>
        <v>10</v>
      </c>
      <c r="AF42" s="19">
        <f t="shared" si="3"/>
        <v>4</v>
      </c>
      <c r="AG42" s="19">
        <f t="shared" si="4"/>
        <v>7</v>
      </c>
      <c r="AH42" s="19">
        <f t="shared" si="5"/>
        <v>0</v>
      </c>
    </row>
    <row r="43" spans="1:34">
      <c r="A43" s="8" t="s">
        <v>1125</v>
      </c>
      <c r="B43" s="8" t="s">
        <v>2103</v>
      </c>
      <c r="C43" s="8" t="s">
        <v>956</v>
      </c>
      <c r="D43" s="8" t="s">
        <v>3</v>
      </c>
      <c r="E43" s="8" t="s">
        <v>41</v>
      </c>
      <c r="F43" s="8" t="s">
        <v>11</v>
      </c>
      <c r="G43" s="8" t="s">
        <v>3</v>
      </c>
      <c r="H43" s="8" t="s">
        <v>224</v>
      </c>
      <c r="I43" s="8" t="s">
        <v>56</v>
      </c>
      <c r="J43" s="8" t="s">
        <v>41</v>
      </c>
      <c r="K43" s="8" t="s">
        <v>5696</v>
      </c>
      <c r="L43" s="8" t="s">
        <v>110</v>
      </c>
      <c r="M43" s="11" t="s">
        <v>2104</v>
      </c>
      <c r="N43" s="8">
        <v>160</v>
      </c>
      <c r="O43" s="8">
        <v>76</v>
      </c>
      <c r="P43" s="8">
        <v>84</v>
      </c>
      <c r="Q43" s="8">
        <v>41</v>
      </c>
      <c r="R43" s="8">
        <v>21</v>
      </c>
      <c r="S43" s="8">
        <v>35</v>
      </c>
      <c r="T43" s="8">
        <v>15</v>
      </c>
      <c r="U43" s="8">
        <v>21</v>
      </c>
      <c r="V43" s="8">
        <v>11</v>
      </c>
      <c r="W43" s="8">
        <v>32</v>
      </c>
      <c r="X43" s="8">
        <v>13</v>
      </c>
      <c r="Y43" s="8">
        <v>31</v>
      </c>
      <c r="Z43" s="8">
        <v>16</v>
      </c>
      <c r="AA43" s="8">
        <v>0</v>
      </c>
      <c r="AB43" s="8">
        <v>0</v>
      </c>
      <c r="AC43" s="19">
        <f t="shared" si="0"/>
        <v>20</v>
      </c>
      <c r="AD43" s="19">
        <f t="shared" si="1"/>
        <v>20</v>
      </c>
      <c r="AE43" s="19">
        <f t="shared" si="2"/>
        <v>10</v>
      </c>
      <c r="AF43" s="19">
        <f t="shared" si="3"/>
        <v>19</v>
      </c>
      <c r="AG43" s="19">
        <f t="shared" si="4"/>
        <v>15</v>
      </c>
      <c r="AH43" s="19">
        <f t="shared" si="5"/>
        <v>0</v>
      </c>
    </row>
    <row r="44" spans="1:34">
      <c r="A44" s="8" t="s">
        <v>77</v>
      </c>
      <c r="B44" s="8" t="s">
        <v>2107</v>
      </c>
      <c r="C44" s="8" t="s">
        <v>956</v>
      </c>
      <c r="D44" s="8" t="s">
        <v>3</v>
      </c>
      <c r="E44" s="8" t="s">
        <v>41</v>
      </c>
      <c r="F44" s="8" t="s">
        <v>11</v>
      </c>
      <c r="G44" s="8" t="s">
        <v>3</v>
      </c>
      <c r="H44" s="8" t="s">
        <v>768</v>
      </c>
      <c r="I44" s="8" t="s">
        <v>41</v>
      </c>
      <c r="J44" s="8" t="s">
        <v>41</v>
      </c>
      <c r="K44" s="8" t="s">
        <v>56</v>
      </c>
      <c r="L44" s="8" t="s">
        <v>110</v>
      </c>
      <c r="M44" s="11" t="s">
        <v>2108</v>
      </c>
      <c r="N44" s="8">
        <v>695</v>
      </c>
      <c r="O44" s="8">
        <v>381</v>
      </c>
      <c r="P44" s="8">
        <v>314</v>
      </c>
      <c r="Q44" s="8">
        <v>181</v>
      </c>
      <c r="R44" s="8">
        <v>91</v>
      </c>
      <c r="S44" s="8">
        <v>159</v>
      </c>
      <c r="T44" s="8">
        <v>84</v>
      </c>
      <c r="U44" s="8">
        <v>153</v>
      </c>
      <c r="V44" s="8">
        <v>101</v>
      </c>
      <c r="W44" s="8">
        <v>118</v>
      </c>
      <c r="X44" s="8">
        <v>58</v>
      </c>
      <c r="Y44" s="8">
        <v>84</v>
      </c>
      <c r="Z44" s="8">
        <v>47</v>
      </c>
      <c r="AA44" s="8">
        <v>0</v>
      </c>
      <c r="AB44" s="8">
        <v>0</v>
      </c>
      <c r="AC44" s="19">
        <f t="shared" si="0"/>
        <v>90</v>
      </c>
      <c r="AD44" s="19">
        <f t="shared" si="1"/>
        <v>75</v>
      </c>
      <c r="AE44" s="19">
        <f t="shared" si="2"/>
        <v>52</v>
      </c>
      <c r="AF44" s="19">
        <f t="shared" si="3"/>
        <v>60</v>
      </c>
      <c r="AG44" s="19">
        <f t="shared" si="4"/>
        <v>37</v>
      </c>
      <c r="AH44" s="19">
        <f t="shared" si="5"/>
        <v>0</v>
      </c>
    </row>
    <row r="45" spans="1:34">
      <c r="A45" s="8" t="s">
        <v>1095</v>
      </c>
      <c r="B45" s="8" t="s">
        <v>1992</v>
      </c>
      <c r="C45" s="8" t="s">
        <v>3</v>
      </c>
      <c r="D45" s="8" t="s">
        <v>5</v>
      </c>
      <c r="E45" s="8" t="s">
        <v>41</v>
      </c>
      <c r="F45" s="8" t="s">
        <v>70</v>
      </c>
      <c r="G45" s="8" t="s">
        <v>5</v>
      </c>
      <c r="H45" s="8" t="s">
        <v>1936</v>
      </c>
      <c r="I45" s="8" t="s">
        <v>43</v>
      </c>
      <c r="J45" s="8" t="s">
        <v>41</v>
      </c>
      <c r="K45" s="8" t="s">
        <v>5696</v>
      </c>
      <c r="L45" s="8" t="s">
        <v>110</v>
      </c>
      <c r="M45" s="11" t="s">
        <v>1928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19">
        <f t="shared" si="0"/>
        <v>0</v>
      </c>
      <c r="AD45" s="19">
        <f t="shared" si="1"/>
        <v>0</v>
      </c>
      <c r="AE45" s="19">
        <f t="shared" si="2"/>
        <v>0</v>
      </c>
      <c r="AF45" s="19">
        <f t="shared" si="3"/>
        <v>0</v>
      </c>
      <c r="AG45" s="19">
        <f t="shared" si="4"/>
        <v>0</v>
      </c>
      <c r="AH45" s="19">
        <f t="shared" si="5"/>
        <v>0</v>
      </c>
    </row>
    <row r="46" spans="1:34">
      <c r="A46" s="8" t="s">
        <v>1096</v>
      </c>
      <c r="B46" s="8" t="s">
        <v>2112</v>
      </c>
      <c r="C46" s="8" t="s">
        <v>956</v>
      </c>
      <c r="D46" s="8" t="s">
        <v>4</v>
      </c>
      <c r="E46" s="8" t="s">
        <v>41</v>
      </c>
      <c r="F46" s="8" t="s">
        <v>11</v>
      </c>
      <c r="G46" s="8" t="s">
        <v>7</v>
      </c>
      <c r="H46" s="8" t="s">
        <v>2113</v>
      </c>
      <c r="I46" s="8" t="s">
        <v>41</v>
      </c>
      <c r="J46" s="8" t="s">
        <v>41</v>
      </c>
      <c r="K46" s="8" t="s">
        <v>43</v>
      </c>
      <c r="L46" s="8" t="s">
        <v>110</v>
      </c>
      <c r="M46" s="11" t="s">
        <v>4052</v>
      </c>
      <c r="N46" s="8">
        <v>325</v>
      </c>
      <c r="O46" s="8">
        <v>176</v>
      </c>
      <c r="P46" s="8">
        <v>149</v>
      </c>
      <c r="Q46" s="8">
        <v>104</v>
      </c>
      <c r="R46" s="8">
        <v>60</v>
      </c>
      <c r="S46" s="8">
        <v>85</v>
      </c>
      <c r="T46" s="8">
        <v>47</v>
      </c>
      <c r="U46" s="8">
        <v>43</v>
      </c>
      <c r="V46" s="8">
        <v>18</v>
      </c>
      <c r="W46" s="8">
        <v>55</v>
      </c>
      <c r="X46" s="8">
        <v>29</v>
      </c>
      <c r="Y46" s="8">
        <v>38</v>
      </c>
      <c r="Z46" s="8">
        <v>22</v>
      </c>
      <c r="AA46" s="8">
        <v>0</v>
      </c>
      <c r="AB46" s="8">
        <v>0</v>
      </c>
      <c r="AC46" s="19">
        <f t="shared" si="0"/>
        <v>44</v>
      </c>
      <c r="AD46" s="19">
        <f t="shared" si="1"/>
        <v>38</v>
      </c>
      <c r="AE46" s="19">
        <f t="shared" si="2"/>
        <v>25</v>
      </c>
      <c r="AF46" s="19">
        <f t="shared" si="3"/>
        <v>26</v>
      </c>
      <c r="AG46" s="19">
        <f t="shared" si="4"/>
        <v>16</v>
      </c>
      <c r="AH46" s="19">
        <f t="shared" si="5"/>
        <v>0</v>
      </c>
    </row>
    <row r="47" spans="1:34">
      <c r="A47" s="8" t="s">
        <v>1098</v>
      </c>
      <c r="B47" s="8" t="s">
        <v>2115</v>
      </c>
      <c r="C47" s="8" t="s">
        <v>957</v>
      </c>
      <c r="D47" s="8" t="s">
        <v>6</v>
      </c>
      <c r="E47" s="8" t="s">
        <v>41</v>
      </c>
      <c r="F47" s="8" t="s">
        <v>12</v>
      </c>
      <c r="G47" s="8" t="s">
        <v>6</v>
      </c>
      <c r="H47" s="8" t="s">
        <v>4114</v>
      </c>
      <c r="I47" s="8" t="s">
        <v>41</v>
      </c>
      <c r="J47" s="8" t="s">
        <v>41</v>
      </c>
      <c r="K47" s="8" t="s">
        <v>56</v>
      </c>
      <c r="L47" s="8" t="s">
        <v>110</v>
      </c>
      <c r="M47" s="11" t="s">
        <v>2116</v>
      </c>
      <c r="N47" s="8">
        <v>593</v>
      </c>
      <c r="O47" s="8">
        <v>328</v>
      </c>
      <c r="P47" s="8">
        <v>265</v>
      </c>
      <c r="Q47" s="8">
        <v>188</v>
      </c>
      <c r="R47" s="8">
        <v>99</v>
      </c>
      <c r="S47" s="8">
        <v>86</v>
      </c>
      <c r="T47" s="8">
        <v>56</v>
      </c>
      <c r="U47" s="8">
        <v>72</v>
      </c>
      <c r="V47" s="8">
        <v>45</v>
      </c>
      <c r="W47" s="8">
        <v>170</v>
      </c>
      <c r="X47" s="8">
        <v>83</v>
      </c>
      <c r="Y47" s="8">
        <v>77</v>
      </c>
      <c r="Z47" s="8">
        <v>45</v>
      </c>
      <c r="AA47" s="8">
        <v>0</v>
      </c>
      <c r="AB47" s="8">
        <v>0</v>
      </c>
      <c r="AC47" s="19">
        <f t="shared" si="0"/>
        <v>89</v>
      </c>
      <c r="AD47" s="19">
        <f t="shared" si="1"/>
        <v>30</v>
      </c>
      <c r="AE47" s="19">
        <f t="shared" si="2"/>
        <v>27</v>
      </c>
      <c r="AF47" s="19">
        <f t="shared" si="3"/>
        <v>87</v>
      </c>
      <c r="AG47" s="19">
        <f t="shared" si="4"/>
        <v>32</v>
      </c>
      <c r="AH47" s="19">
        <f t="shared" si="5"/>
        <v>0</v>
      </c>
    </row>
    <row r="48" spans="1:34">
      <c r="A48" s="8" t="s">
        <v>939</v>
      </c>
      <c r="B48" s="8" t="s">
        <v>2118</v>
      </c>
      <c r="C48" s="8" t="s">
        <v>3</v>
      </c>
      <c r="D48" s="8" t="s">
        <v>8</v>
      </c>
      <c r="E48" s="8" t="s">
        <v>41</v>
      </c>
      <c r="F48" s="8" t="s">
        <v>13</v>
      </c>
      <c r="G48" s="8" t="s">
        <v>7</v>
      </c>
      <c r="H48" s="8" t="s">
        <v>137</v>
      </c>
      <c r="I48" s="8" t="s">
        <v>41</v>
      </c>
      <c r="J48" s="8" t="s">
        <v>41</v>
      </c>
      <c r="K48" s="8" t="s">
        <v>56</v>
      </c>
      <c r="L48" s="8" t="s">
        <v>110</v>
      </c>
      <c r="M48" s="11" t="s">
        <v>2119</v>
      </c>
      <c r="N48" s="8">
        <v>631</v>
      </c>
      <c r="O48" s="8">
        <v>346</v>
      </c>
      <c r="P48" s="8">
        <v>285</v>
      </c>
      <c r="Q48" s="8">
        <v>230</v>
      </c>
      <c r="R48" s="8">
        <v>130</v>
      </c>
      <c r="S48" s="8">
        <v>170</v>
      </c>
      <c r="T48" s="8">
        <v>91</v>
      </c>
      <c r="U48" s="8">
        <v>114</v>
      </c>
      <c r="V48" s="8">
        <v>47</v>
      </c>
      <c r="W48" s="8">
        <v>55</v>
      </c>
      <c r="X48" s="8">
        <v>37</v>
      </c>
      <c r="Y48" s="8">
        <v>62</v>
      </c>
      <c r="Z48" s="8">
        <v>41</v>
      </c>
      <c r="AA48" s="8">
        <v>0</v>
      </c>
      <c r="AB48" s="8">
        <v>0</v>
      </c>
      <c r="AC48" s="19">
        <f t="shared" si="0"/>
        <v>100</v>
      </c>
      <c r="AD48" s="19">
        <f t="shared" si="1"/>
        <v>79</v>
      </c>
      <c r="AE48" s="19">
        <f t="shared" si="2"/>
        <v>67</v>
      </c>
      <c r="AF48" s="19">
        <f t="shared" si="3"/>
        <v>18</v>
      </c>
      <c r="AG48" s="19">
        <f t="shared" si="4"/>
        <v>21</v>
      </c>
      <c r="AH48" s="19">
        <f t="shared" si="5"/>
        <v>0</v>
      </c>
    </row>
    <row r="49" spans="1:34">
      <c r="A49" s="8" t="s">
        <v>1100</v>
      </c>
      <c r="B49" s="8" t="s">
        <v>2121</v>
      </c>
      <c r="C49" s="8" t="s">
        <v>956</v>
      </c>
      <c r="D49" s="8" t="s">
        <v>8</v>
      </c>
      <c r="E49" s="8" t="s">
        <v>41</v>
      </c>
      <c r="F49" s="8" t="s">
        <v>16</v>
      </c>
      <c r="G49" s="8" t="s">
        <v>3</v>
      </c>
      <c r="H49" s="8" t="s">
        <v>140</v>
      </c>
      <c r="I49" s="8" t="s">
        <v>41</v>
      </c>
      <c r="J49" s="8" t="s">
        <v>41</v>
      </c>
      <c r="K49" s="8" t="s">
        <v>56</v>
      </c>
      <c r="L49" s="8" t="s">
        <v>110</v>
      </c>
      <c r="M49" s="11" t="s">
        <v>2122</v>
      </c>
      <c r="N49" s="8">
        <v>383</v>
      </c>
      <c r="O49" s="8">
        <v>226</v>
      </c>
      <c r="P49" s="8">
        <v>157</v>
      </c>
      <c r="Q49" s="8">
        <v>120</v>
      </c>
      <c r="R49" s="8">
        <v>75</v>
      </c>
      <c r="S49" s="8">
        <v>120</v>
      </c>
      <c r="T49" s="8">
        <v>74</v>
      </c>
      <c r="U49" s="8">
        <v>43</v>
      </c>
      <c r="V49" s="8">
        <v>29</v>
      </c>
      <c r="W49" s="8">
        <v>64</v>
      </c>
      <c r="X49" s="8">
        <v>31</v>
      </c>
      <c r="Y49" s="8">
        <v>36</v>
      </c>
      <c r="Z49" s="8">
        <v>17</v>
      </c>
      <c r="AA49" s="8">
        <v>0</v>
      </c>
      <c r="AB49" s="8">
        <v>0</v>
      </c>
      <c r="AC49" s="19">
        <f t="shared" si="0"/>
        <v>45</v>
      </c>
      <c r="AD49" s="19">
        <f t="shared" si="1"/>
        <v>46</v>
      </c>
      <c r="AE49" s="19">
        <f t="shared" si="2"/>
        <v>14</v>
      </c>
      <c r="AF49" s="19">
        <f t="shared" si="3"/>
        <v>33</v>
      </c>
      <c r="AG49" s="19">
        <f t="shared" si="4"/>
        <v>19</v>
      </c>
      <c r="AH49" s="19">
        <f t="shared" si="5"/>
        <v>0</v>
      </c>
    </row>
    <row r="50" spans="1:34">
      <c r="A50" s="8" t="s">
        <v>1101</v>
      </c>
      <c r="B50" s="8" t="s">
        <v>2124</v>
      </c>
      <c r="C50" s="8" t="s">
        <v>956</v>
      </c>
      <c r="D50" s="8" t="s">
        <v>8</v>
      </c>
      <c r="E50" s="8" t="s">
        <v>41</v>
      </c>
      <c r="F50" s="8" t="s">
        <v>16</v>
      </c>
      <c r="G50" s="8" t="s">
        <v>4</v>
      </c>
      <c r="H50" s="8" t="s">
        <v>116</v>
      </c>
      <c r="I50" s="8" t="s">
        <v>56</v>
      </c>
      <c r="J50" s="8" t="s">
        <v>41</v>
      </c>
      <c r="K50" s="8" t="s">
        <v>5696</v>
      </c>
      <c r="L50" s="8" t="s">
        <v>110</v>
      </c>
      <c r="M50" s="11" t="s">
        <v>1932</v>
      </c>
      <c r="N50" s="8">
        <v>17</v>
      </c>
      <c r="O50" s="8">
        <v>10</v>
      </c>
      <c r="P50" s="8">
        <v>7</v>
      </c>
      <c r="Q50" s="8">
        <v>3</v>
      </c>
      <c r="R50" s="8">
        <v>2</v>
      </c>
      <c r="S50" s="8">
        <v>3</v>
      </c>
      <c r="T50" s="8">
        <v>3</v>
      </c>
      <c r="U50" s="8">
        <v>7</v>
      </c>
      <c r="V50" s="8">
        <v>2</v>
      </c>
      <c r="W50" s="8">
        <v>4</v>
      </c>
      <c r="X50" s="8">
        <v>3</v>
      </c>
      <c r="Y50" s="8">
        <v>0</v>
      </c>
      <c r="Z50" s="8">
        <v>0</v>
      </c>
      <c r="AA50" s="8">
        <v>0</v>
      </c>
      <c r="AB50" s="8">
        <v>0</v>
      </c>
      <c r="AC50" s="19">
        <f t="shared" si="0"/>
        <v>1</v>
      </c>
      <c r="AD50" s="19">
        <f t="shared" si="1"/>
        <v>0</v>
      </c>
      <c r="AE50" s="19">
        <f t="shared" si="2"/>
        <v>5</v>
      </c>
      <c r="AF50" s="19">
        <f t="shared" si="3"/>
        <v>1</v>
      </c>
      <c r="AG50" s="19">
        <f t="shared" si="4"/>
        <v>0</v>
      </c>
      <c r="AH50" s="19">
        <f t="shared" si="5"/>
        <v>0</v>
      </c>
    </row>
    <row r="51" spans="1:34">
      <c r="A51" s="8" t="s">
        <v>892</v>
      </c>
      <c r="B51" s="8" t="s">
        <v>2126</v>
      </c>
      <c r="C51" s="8" t="s">
        <v>956</v>
      </c>
      <c r="D51" s="8" t="s">
        <v>6</v>
      </c>
      <c r="E51" s="8" t="s">
        <v>41</v>
      </c>
      <c r="F51" s="8" t="s">
        <v>18</v>
      </c>
      <c r="G51" s="8" t="s">
        <v>3</v>
      </c>
      <c r="H51" s="8" t="s">
        <v>2127</v>
      </c>
      <c r="I51" s="8" t="s">
        <v>41</v>
      </c>
      <c r="J51" s="8" t="s">
        <v>41</v>
      </c>
      <c r="K51" s="8" t="s">
        <v>43</v>
      </c>
      <c r="L51" s="8" t="s">
        <v>110</v>
      </c>
      <c r="M51" s="11" t="s">
        <v>4053</v>
      </c>
      <c r="N51" s="8">
        <v>181</v>
      </c>
      <c r="O51" s="8">
        <v>98</v>
      </c>
      <c r="P51" s="8">
        <v>83</v>
      </c>
      <c r="Q51" s="8">
        <v>43</v>
      </c>
      <c r="R51" s="8">
        <v>22</v>
      </c>
      <c r="S51" s="8">
        <v>58</v>
      </c>
      <c r="T51" s="8">
        <v>38</v>
      </c>
      <c r="U51" s="8">
        <v>33</v>
      </c>
      <c r="V51" s="8">
        <v>15</v>
      </c>
      <c r="W51" s="8">
        <v>29</v>
      </c>
      <c r="X51" s="8">
        <v>15</v>
      </c>
      <c r="Y51" s="8">
        <v>18</v>
      </c>
      <c r="Z51" s="8">
        <v>8</v>
      </c>
      <c r="AA51" s="8">
        <v>0</v>
      </c>
      <c r="AB51" s="8">
        <v>0</v>
      </c>
      <c r="AC51" s="19">
        <f t="shared" si="0"/>
        <v>21</v>
      </c>
      <c r="AD51" s="19">
        <f t="shared" si="1"/>
        <v>20</v>
      </c>
      <c r="AE51" s="19">
        <f t="shared" si="2"/>
        <v>18</v>
      </c>
      <c r="AF51" s="19">
        <f t="shared" si="3"/>
        <v>14</v>
      </c>
      <c r="AG51" s="19">
        <f t="shared" si="4"/>
        <v>10</v>
      </c>
      <c r="AH51" s="19">
        <f t="shared" si="5"/>
        <v>0</v>
      </c>
    </row>
    <row r="52" spans="1:34">
      <c r="A52" s="8" t="s">
        <v>893</v>
      </c>
      <c r="B52" s="8" t="s">
        <v>1992</v>
      </c>
      <c r="C52" s="8" t="s">
        <v>956</v>
      </c>
      <c r="D52" s="8" t="s">
        <v>7</v>
      </c>
      <c r="E52" s="8" t="s">
        <v>110</v>
      </c>
      <c r="F52" s="8" t="s">
        <v>5</v>
      </c>
      <c r="G52" s="8" t="s">
        <v>5</v>
      </c>
      <c r="H52" s="8" t="s">
        <v>512</v>
      </c>
      <c r="I52" s="8" t="s">
        <v>43</v>
      </c>
      <c r="J52" s="8" t="s">
        <v>41</v>
      </c>
      <c r="K52" s="8" t="s">
        <v>5696</v>
      </c>
      <c r="L52" s="8" t="s">
        <v>110</v>
      </c>
      <c r="M52" s="11" t="s">
        <v>2129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19">
        <f t="shared" si="0"/>
        <v>0</v>
      </c>
      <c r="AD52" s="19">
        <f t="shared" si="1"/>
        <v>0</v>
      </c>
      <c r="AE52" s="19">
        <f t="shared" si="2"/>
        <v>0</v>
      </c>
      <c r="AF52" s="19">
        <f t="shared" si="3"/>
        <v>0</v>
      </c>
      <c r="AG52" s="19">
        <f t="shared" si="4"/>
        <v>0</v>
      </c>
      <c r="AH52" s="19">
        <f t="shared" si="5"/>
        <v>0</v>
      </c>
    </row>
    <row r="53" spans="1:34">
      <c r="A53" s="8" t="s">
        <v>1113</v>
      </c>
      <c r="B53" s="8" t="s">
        <v>1992</v>
      </c>
      <c r="C53" s="8" t="s">
        <v>956</v>
      </c>
      <c r="D53" s="8" t="s">
        <v>7</v>
      </c>
      <c r="E53" s="8" t="s">
        <v>41</v>
      </c>
      <c r="F53" s="8" t="s">
        <v>118</v>
      </c>
      <c r="G53" s="8" t="s">
        <v>3</v>
      </c>
      <c r="H53" s="8" t="s">
        <v>1741</v>
      </c>
      <c r="I53" s="8" t="s">
        <v>43</v>
      </c>
      <c r="J53" s="8" t="s">
        <v>41</v>
      </c>
      <c r="K53" s="8" t="s">
        <v>5696</v>
      </c>
      <c r="L53" s="8" t="s">
        <v>110</v>
      </c>
      <c r="M53" s="11" t="s">
        <v>4293</v>
      </c>
      <c r="N53" s="8">
        <v>13</v>
      </c>
      <c r="O53" s="8">
        <v>11</v>
      </c>
      <c r="P53" s="8">
        <v>2</v>
      </c>
      <c r="Q53" s="8">
        <v>5</v>
      </c>
      <c r="R53" s="8">
        <v>5</v>
      </c>
      <c r="S53" s="8">
        <v>1</v>
      </c>
      <c r="T53" s="8">
        <v>1</v>
      </c>
      <c r="U53" s="8">
        <v>2</v>
      </c>
      <c r="V53" s="8">
        <v>2</v>
      </c>
      <c r="W53" s="8">
        <v>0</v>
      </c>
      <c r="X53" s="8">
        <v>0</v>
      </c>
      <c r="Y53" s="8">
        <v>5</v>
      </c>
      <c r="Z53" s="8">
        <v>3</v>
      </c>
      <c r="AA53" s="8">
        <v>0</v>
      </c>
      <c r="AB53" s="8">
        <v>0</v>
      </c>
      <c r="AC53" s="19">
        <f t="shared" si="0"/>
        <v>0</v>
      </c>
      <c r="AD53" s="19">
        <f t="shared" si="1"/>
        <v>0</v>
      </c>
      <c r="AE53" s="19">
        <f t="shared" si="2"/>
        <v>0</v>
      </c>
      <c r="AF53" s="19">
        <f t="shared" si="3"/>
        <v>0</v>
      </c>
      <c r="AG53" s="19">
        <f t="shared" si="4"/>
        <v>2</v>
      </c>
      <c r="AH53" s="19">
        <f t="shared" si="5"/>
        <v>0</v>
      </c>
    </row>
    <row r="54" spans="1:34">
      <c r="A54" s="8" t="s">
        <v>2132</v>
      </c>
      <c r="B54" s="8" t="s">
        <v>1992</v>
      </c>
      <c r="C54" s="8" t="s">
        <v>956</v>
      </c>
      <c r="D54" s="8" t="s">
        <v>5</v>
      </c>
      <c r="E54" s="8" t="s">
        <v>56</v>
      </c>
      <c r="F54" s="8" t="s">
        <v>5</v>
      </c>
      <c r="G54" s="8" t="s">
        <v>3</v>
      </c>
      <c r="H54" s="8" t="s">
        <v>1882</v>
      </c>
      <c r="I54" s="8" t="s">
        <v>43</v>
      </c>
      <c r="J54" s="8" t="s">
        <v>41</v>
      </c>
      <c r="K54" s="8" t="s">
        <v>5696</v>
      </c>
      <c r="L54" s="8" t="s">
        <v>110</v>
      </c>
      <c r="M54" s="11" t="s">
        <v>3477</v>
      </c>
      <c r="N54" s="8">
        <v>23</v>
      </c>
      <c r="O54" s="8">
        <v>14</v>
      </c>
      <c r="P54" s="8">
        <v>9</v>
      </c>
      <c r="Q54" s="8">
        <v>8</v>
      </c>
      <c r="R54" s="8">
        <v>4</v>
      </c>
      <c r="S54" s="8">
        <v>2</v>
      </c>
      <c r="T54" s="8">
        <v>1</v>
      </c>
      <c r="U54" s="8">
        <v>2</v>
      </c>
      <c r="V54" s="8">
        <v>2</v>
      </c>
      <c r="W54" s="8">
        <v>8</v>
      </c>
      <c r="X54" s="8">
        <v>6</v>
      </c>
      <c r="Y54" s="8">
        <v>3</v>
      </c>
      <c r="Z54" s="8">
        <v>1</v>
      </c>
      <c r="AA54" s="8">
        <v>0</v>
      </c>
      <c r="AB54" s="8">
        <v>0</v>
      </c>
      <c r="AC54" s="19">
        <f t="shared" si="0"/>
        <v>4</v>
      </c>
      <c r="AD54" s="19">
        <f t="shared" si="1"/>
        <v>1</v>
      </c>
      <c r="AE54" s="19">
        <f t="shared" si="2"/>
        <v>0</v>
      </c>
      <c r="AF54" s="19">
        <f t="shared" si="3"/>
        <v>2</v>
      </c>
      <c r="AG54" s="19">
        <f t="shared" si="4"/>
        <v>2</v>
      </c>
      <c r="AH54" s="19">
        <f t="shared" si="5"/>
        <v>0</v>
      </c>
    </row>
    <row r="55" spans="1:34">
      <c r="A55" s="8" t="s">
        <v>108</v>
      </c>
      <c r="B55" s="8" t="s">
        <v>1992</v>
      </c>
      <c r="C55" s="8" t="s">
        <v>956</v>
      </c>
      <c r="D55" s="8" t="s">
        <v>7</v>
      </c>
      <c r="E55" s="8" t="s">
        <v>41</v>
      </c>
      <c r="F55" s="8" t="s">
        <v>118</v>
      </c>
      <c r="G55" s="8" t="s">
        <v>3</v>
      </c>
      <c r="H55" s="8" t="s">
        <v>1741</v>
      </c>
      <c r="I55" s="8" t="s">
        <v>43</v>
      </c>
      <c r="J55" s="8" t="s">
        <v>41</v>
      </c>
      <c r="K55" s="8" t="s">
        <v>5696</v>
      </c>
      <c r="L55" s="8" t="s">
        <v>110</v>
      </c>
      <c r="M55" s="11" t="s">
        <v>2135</v>
      </c>
      <c r="N55" s="8">
        <v>28</v>
      </c>
      <c r="O55" s="8">
        <v>14</v>
      </c>
      <c r="P55" s="8">
        <v>14</v>
      </c>
      <c r="Q55" s="8">
        <v>2</v>
      </c>
      <c r="R55" s="8">
        <v>0</v>
      </c>
      <c r="S55" s="8">
        <v>0</v>
      </c>
      <c r="T55" s="8">
        <v>0</v>
      </c>
      <c r="U55" s="8">
        <v>7</v>
      </c>
      <c r="V55" s="8">
        <v>3</v>
      </c>
      <c r="W55" s="8">
        <v>13</v>
      </c>
      <c r="X55" s="8">
        <v>8</v>
      </c>
      <c r="Y55" s="8">
        <v>6</v>
      </c>
      <c r="Z55" s="8">
        <v>3</v>
      </c>
      <c r="AA55" s="8">
        <v>0</v>
      </c>
      <c r="AB55" s="8">
        <v>0</v>
      </c>
      <c r="AC55" s="19">
        <f t="shared" si="0"/>
        <v>2</v>
      </c>
      <c r="AD55" s="19">
        <f t="shared" si="1"/>
        <v>0</v>
      </c>
      <c r="AE55" s="19">
        <f t="shared" si="2"/>
        <v>4</v>
      </c>
      <c r="AF55" s="19">
        <f t="shared" si="3"/>
        <v>5</v>
      </c>
      <c r="AG55" s="19">
        <f t="shared" si="4"/>
        <v>3</v>
      </c>
      <c r="AH55" s="19">
        <f t="shared" si="5"/>
        <v>0</v>
      </c>
    </row>
    <row r="56" spans="1:34">
      <c r="A56" s="8" t="s">
        <v>1734</v>
      </c>
      <c r="B56" s="8" t="s">
        <v>2137</v>
      </c>
      <c r="C56" s="8" t="s">
        <v>956</v>
      </c>
      <c r="D56" s="8" t="s">
        <v>7</v>
      </c>
      <c r="E56" s="8" t="s">
        <v>41</v>
      </c>
      <c r="F56" s="8" t="s">
        <v>118</v>
      </c>
      <c r="G56" s="8" t="s">
        <v>3</v>
      </c>
      <c r="H56" s="8" t="s">
        <v>1741</v>
      </c>
      <c r="I56" s="8" t="s">
        <v>41</v>
      </c>
      <c r="J56" s="8" t="s">
        <v>41</v>
      </c>
      <c r="K56" s="8" t="s">
        <v>41</v>
      </c>
      <c r="L56" s="8" t="s">
        <v>110</v>
      </c>
      <c r="M56" s="11" t="s">
        <v>2138</v>
      </c>
      <c r="N56" s="8">
        <v>22</v>
      </c>
      <c r="O56" s="8">
        <v>19</v>
      </c>
      <c r="P56" s="8">
        <v>3</v>
      </c>
      <c r="Q56" s="8">
        <v>2</v>
      </c>
      <c r="R56" s="8">
        <v>2</v>
      </c>
      <c r="S56" s="8">
        <v>2</v>
      </c>
      <c r="T56" s="8">
        <v>2</v>
      </c>
      <c r="U56" s="8">
        <v>9</v>
      </c>
      <c r="V56" s="8">
        <v>8</v>
      </c>
      <c r="W56" s="8">
        <v>9</v>
      </c>
      <c r="X56" s="8">
        <v>7</v>
      </c>
      <c r="Y56" s="8">
        <v>0</v>
      </c>
      <c r="Z56" s="8">
        <v>0</v>
      </c>
      <c r="AA56" s="8">
        <v>0</v>
      </c>
      <c r="AB56" s="8">
        <v>0</v>
      </c>
      <c r="AC56" s="19">
        <f t="shared" si="0"/>
        <v>0</v>
      </c>
      <c r="AD56" s="19">
        <f t="shared" si="1"/>
        <v>0</v>
      </c>
      <c r="AE56" s="19">
        <f t="shared" si="2"/>
        <v>1</v>
      </c>
      <c r="AF56" s="19">
        <f t="shared" si="3"/>
        <v>2</v>
      </c>
      <c r="AG56" s="19">
        <f t="shared" si="4"/>
        <v>0</v>
      </c>
      <c r="AH56" s="19">
        <f t="shared" si="5"/>
        <v>0</v>
      </c>
    </row>
    <row r="57" spans="1:34">
      <c r="A57" s="8" t="s">
        <v>98</v>
      </c>
      <c r="B57" s="8" t="s">
        <v>2140</v>
      </c>
      <c r="C57" s="8" t="s">
        <v>956</v>
      </c>
      <c r="D57" s="8" t="s">
        <v>7</v>
      </c>
      <c r="E57" s="8" t="s">
        <v>41</v>
      </c>
      <c r="F57" s="8" t="s">
        <v>118</v>
      </c>
      <c r="G57" s="8" t="s">
        <v>3</v>
      </c>
      <c r="H57" s="8" t="s">
        <v>239</v>
      </c>
      <c r="I57" s="8" t="s">
        <v>56</v>
      </c>
      <c r="J57" s="8" t="s">
        <v>41</v>
      </c>
      <c r="K57" s="8" t="s">
        <v>5696</v>
      </c>
      <c r="L57" s="8" t="s">
        <v>110</v>
      </c>
      <c r="M57" s="11" t="s">
        <v>2141</v>
      </c>
      <c r="N57" s="8">
        <v>70</v>
      </c>
      <c r="O57" s="8">
        <v>28</v>
      </c>
      <c r="P57" s="8">
        <v>42</v>
      </c>
      <c r="Q57" s="8">
        <v>20</v>
      </c>
      <c r="R57" s="8">
        <v>8</v>
      </c>
      <c r="S57" s="8">
        <v>21</v>
      </c>
      <c r="T57" s="8">
        <v>8</v>
      </c>
      <c r="U57" s="8">
        <v>17</v>
      </c>
      <c r="V57" s="8">
        <v>9</v>
      </c>
      <c r="W57" s="8">
        <v>8</v>
      </c>
      <c r="X57" s="8">
        <v>2</v>
      </c>
      <c r="Y57" s="8">
        <v>4</v>
      </c>
      <c r="Z57" s="8">
        <v>1</v>
      </c>
      <c r="AA57" s="8">
        <v>0</v>
      </c>
      <c r="AB57" s="8">
        <v>0</v>
      </c>
      <c r="AC57" s="19">
        <f t="shared" si="0"/>
        <v>12</v>
      </c>
      <c r="AD57" s="19">
        <f t="shared" si="1"/>
        <v>13</v>
      </c>
      <c r="AE57" s="19">
        <f t="shared" si="2"/>
        <v>8</v>
      </c>
      <c r="AF57" s="19">
        <f t="shared" si="3"/>
        <v>6</v>
      </c>
      <c r="AG57" s="19">
        <f t="shared" si="4"/>
        <v>3</v>
      </c>
      <c r="AH57" s="19">
        <f t="shared" si="5"/>
        <v>0</v>
      </c>
    </row>
    <row r="58" spans="1:34">
      <c r="A58" s="8" t="s">
        <v>95</v>
      </c>
      <c r="B58" s="8" t="s">
        <v>2143</v>
      </c>
      <c r="C58" s="8" t="s">
        <v>956</v>
      </c>
      <c r="D58" s="8" t="s">
        <v>7</v>
      </c>
      <c r="E58" s="8" t="s">
        <v>41</v>
      </c>
      <c r="F58" s="8" t="s">
        <v>118</v>
      </c>
      <c r="G58" s="8" t="s">
        <v>3</v>
      </c>
      <c r="H58" s="8" t="s">
        <v>89</v>
      </c>
      <c r="I58" s="8" t="s">
        <v>41</v>
      </c>
      <c r="J58" s="8" t="s">
        <v>41</v>
      </c>
      <c r="K58" s="8" t="s">
        <v>43</v>
      </c>
      <c r="L58" s="8" t="s">
        <v>110</v>
      </c>
      <c r="M58" s="11" t="s">
        <v>2144</v>
      </c>
      <c r="N58" s="8">
        <v>371</v>
      </c>
      <c r="O58" s="8">
        <v>208</v>
      </c>
      <c r="P58" s="8">
        <v>163</v>
      </c>
      <c r="Q58" s="8">
        <v>60</v>
      </c>
      <c r="R58" s="8">
        <v>30</v>
      </c>
      <c r="S58" s="8">
        <v>71</v>
      </c>
      <c r="T58" s="8">
        <v>45</v>
      </c>
      <c r="U58" s="8">
        <v>78</v>
      </c>
      <c r="V58" s="8">
        <v>41</v>
      </c>
      <c r="W58" s="8">
        <v>108</v>
      </c>
      <c r="X58" s="8">
        <v>60</v>
      </c>
      <c r="Y58" s="8">
        <v>54</v>
      </c>
      <c r="Z58" s="8">
        <v>32</v>
      </c>
      <c r="AA58" s="8">
        <v>0</v>
      </c>
      <c r="AB58" s="8">
        <v>0</v>
      </c>
      <c r="AC58" s="19">
        <f t="shared" si="0"/>
        <v>30</v>
      </c>
      <c r="AD58" s="19">
        <f t="shared" si="1"/>
        <v>26</v>
      </c>
      <c r="AE58" s="19">
        <f t="shared" si="2"/>
        <v>37</v>
      </c>
      <c r="AF58" s="19">
        <f t="shared" si="3"/>
        <v>48</v>
      </c>
      <c r="AG58" s="19">
        <f t="shared" si="4"/>
        <v>22</v>
      </c>
      <c r="AH58" s="19">
        <f t="shared" si="5"/>
        <v>0</v>
      </c>
    </row>
    <row r="59" spans="1:34">
      <c r="A59" s="8" t="s">
        <v>114</v>
      </c>
      <c r="B59" s="8" t="s">
        <v>1992</v>
      </c>
      <c r="C59" s="8" t="s">
        <v>956</v>
      </c>
      <c r="D59" s="8" t="s">
        <v>5</v>
      </c>
      <c r="E59" s="8" t="s">
        <v>41</v>
      </c>
      <c r="F59" s="8" t="s">
        <v>107</v>
      </c>
      <c r="G59" s="8" t="s">
        <v>3</v>
      </c>
      <c r="H59" s="8" t="s">
        <v>236</v>
      </c>
      <c r="I59" s="8" t="s">
        <v>43</v>
      </c>
      <c r="J59" s="8" t="s">
        <v>41</v>
      </c>
      <c r="K59" s="8" t="s">
        <v>5696</v>
      </c>
      <c r="L59" s="8" t="s">
        <v>110</v>
      </c>
      <c r="M59" s="11" t="s">
        <v>2147</v>
      </c>
      <c r="N59" s="8">
        <v>86</v>
      </c>
      <c r="O59" s="8">
        <v>58</v>
      </c>
      <c r="P59" s="8">
        <v>28</v>
      </c>
      <c r="Q59" s="8">
        <v>14</v>
      </c>
      <c r="R59" s="8">
        <v>9</v>
      </c>
      <c r="S59" s="8">
        <v>18</v>
      </c>
      <c r="T59" s="8">
        <v>15</v>
      </c>
      <c r="U59" s="8">
        <v>18</v>
      </c>
      <c r="V59" s="8">
        <v>10</v>
      </c>
      <c r="W59" s="8">
        <v>19</v>
      </c>
      <c r="X59" s="8">
        <v>12</v>
      </c>
      <c r="Y59" s="8">
        <v>17</v>
      </c>
      <c r="Z59" s="8">
        <v>12</v>
      </c>
      <c r="AA59" s="8">
        <v>0</v>
      </c>
      <c r="AB59" s="8">
        <v>0</v>
      </c>
      <c r="AC59" s="19">
        <f t="shared" si="0"/>
        <v>5</v>
      </c>
      <c r="AD59" s="19">
        <f t="shared" si="1"/>
        <v>3</v>
      </c>
      <c r="AE59" s="19">
        <f t="shared" si="2"/>
        <v>8</v>
      </c>
      <c r="AF59" s="19">
        <f t="shared" si="3"/>
        <v>7</v>
      </c>
      <c r="AG59" s="19">
        <f t="shared" si="4"/>
        <v>5</v>
      </c>
      <c r="AH59" s="19">
        <f t="shared" si="5"/>
        <v>0</v>
      </c>
    </row>
    <row r="60" spans="1:34">
      <c r="A60" s="8" t="s">
        <v>86</v>
      </c>
      <c r="B60" s="8" t="s">
        <v>1992</v>
      </c>
      <c r="C60" s="8" t="s">
        <v>9</v>
      </c>
      <c r="D60" s="8" t="s">
        <v>7</v>
      </c>
      <c r="E60" s="8" t="s">
        <v>110</v>
      </c>
      <c r="F60" s="8" t="s">
        <v>5</v>
      </c>
      <c r="G60" s="8" t="s">
        <v>5</v>
      </c>
      <c r="H60" s="8" t="s">
        <v>49</v>
      </c>
      <c r="I60" s="8" t="s">
        <v>43</v>
      </c>
      <c r="J60" s="8" t="s">
        <v>41</v>
      </c>
      <c r="K60" s="8" t="s">
        <v>5696</v>
      </c>
      <c r="L60" s="8" t="s">
        <v>110</v>
      </c>
      <c r="M60" s="11" t="s">
        <v>4905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19">
        <f t="shared" si="0"/>
        <v>0</v>
      </c>
      <c r="AD60" s="19">
        <f t="shared" si="1"/>
        <v>0</v>
      </c>
      <c r="AE60" s="19">
        <f t="shared" si="2"/>
        <v>0</v>
      </c>
      <c r="AF60" s="19">
        <f t="shared" si="3"/>
        <v>0</v>
      </c>
      <c r="AG60" s="19">
        <f t="shared" si="4"/>
        <v>0</v>
      </c>
      <c r="AH60" s="19">
        <f t="shared" si="5"/>
        <v>0</v>
      </c>
    </row>
    <row r="61" spans="1:34">
      <c r="A61" s="8" t="s">
        <v>90</v>
      </c>
      <c r="B61" s="8" t="s">
        <v>1992</v>
      </c>
      <c r="C61" s="8" t="s">
        <v>956</v>
      </c>
      <c r="D61" s="8" t="s">
        <v>5</v>
      </c>
      <c r="E61" s="8" t="s">
        <v>41</v>
      </c>
      <c r="F61" s="8" t="s">
        <v>107</v>
      </c>
      <c r="G61" s="8" t="s">
        <v>4</v>
      </c>
      <c r="H61" s="8" t="s">
        <v>285</v>
      </c>
      <c r="I61" s="8" t="s">
        <v>43</v>
      </c>
      <c r="J61" s="8" t="s">
        <v>41</v>
      </c>
      <c r="K61" s="8" t="s">
        <v>5696</v>
      </c>
      <c r="L61" s="8" t="s">
        <v>110</v>
      </c>
      <c r="M61" s="11" t="s">
        <v>2148</v>
      </c>
      <c r="N61" s="8">
        <v>21</v>
      </c>
      <c r="O61" s="8">
        <v>14</v>
      </c>
      <c r="P61" s="8">
        <v>7</v>
      </c>
      <c r="Q61" s="8">
        <v>6</v>
      </c>
      <c r="R61" s="8">
        <v>3</v>
      </c>
      <c r="S61" s="8">
        <v>5</v>
      </c>
      <c r="T61" s="8">
        <v>3</v>
      </c>
      <c r="U61" s="8">
        <v>0</v>
      </c>
      <c r="V61" s="8">
        <v>0</v>
      </c>
      <c r="W61" s="8">
        <v>7</v>
      </c>
      <c r="X61" s="8">
        <v>5</v>
      </c>
      <c r="Y61" s="8">
        <v>3</v>
      </c>
      <c r="Z61" s="8">
        <v>3</v>
      </c>
      <c r="AA61" s="8">
        <v>0</v>
      </c>
      <c r="AB61" s="8">
        <v>0</v>
      </c>
      <c r="AC61" s="19">
        <f t="shared" si="0"/>
        <v>3</v>
      </c>
      <c r="AD61" s="19">
        <f t="shared" si="1"/>
        <v>2</v>
      </c>
      <c r="AE61" s="19">
        <f t="shared" si="2"/>
        <v>0</v>
      </c>
      <c r="AF61" s="19">
        <f t="shared" si="3"/>
        <v>2</v>
      </c>
      <c r="AG61" s="19">
        <f t="shared" si="4"/>
        <v>0</v>
      </c>
      <c r="AH61" s="19">
        <f t="shared" si="5"/>
        <v>0</v>
      </c>
    </row>
    <row r="62" spans="1:34">
      <c r="A62" s="8" t="s">
        <v>120</v>
      </c>
      <c r="B62" s="8" t="s">
        <v>1992</v>
      </c>
      <c r="C62" s="8" t="s">
        <v>956</v>
      </c>
      <c r="D62" s="8" t="s">
        <v>5</v>
      </c>
      <c r="E62" s="8" t="s">
        <v>41</v>
      </c>
      <c r="F62" s="8" t="s">
        <v>107</v>
      </c>
      <c r="G62" s="8" t="s">
        <v>3</v>
      </c>
      <c r="H62" s="8" t="s">
        <v>276</v>
      </c>
      <c r="I62" s="8" t="s">
        <v>43</v>
      </c>
      <c r="J62" s="8" t="s">
        <v>41</v>
      </c>
      <c r="K62" s="8" t="s">
        <v>5696</v>
      </c>
      <c r="L62" s="8" t="s">
        <v>110</v>
      </c>
      <c r="M62" s="11" t="s">
        <v>4691</v>
      </c>
      <c r="N62" s="8">
        <v>34</v>
      </c>
      <c r="O62" s="8">
        <v>23</v>
      </c>
      <c r="P62" s="8">
        <v>11</v>
      </c>
      <c r="Q62" s="8">
        <v>7</v>
      </c>
      <c r="R62" s="8">
        <v>6</v>
      </c>
      <c r="S62" s="8">
        <v>4</v>
      </c>
      <c r="T62" s="8">
        <v>3</v>
      </c>
      <c r="U62" s="8">
        <v>6</v>
      </c>
      <c r="V62" s="8">
        <v>3</v>
      </c>
      <c r="W62" s="8">
        <v>9</v>
      </c>
      <c r="X62" s="8">
        <v>7</v>
      </c>
      <c r="Y62" s="8">
        <v>8</v>
      </c>
      <c r="Z62" s="8">
        <v>4</v>
      </c>
      <c r="AA62" s="8">
        <v>0</v>
      </c>
      <c r="AB62" s="8">
        <v>0</v>
      </c>
      <c r="AC62" s="19">
        <f t="shared" si="0"/>
        <v>1</v>
      </c>
      <c r="AD62" s="19">
        <f t="shared" si="1"/>
        <v>1</v>
      </c>
      <c r="AE62" s="19">
        <f t="shared" si="2"/>
        <v>3</v>
      </c>
      <c r="AF62" s="19">
        <f t="shared" si="3"/>
        <v>2</v>
      </c>
      <c r="AG62" s="19">
        <f t="shared" si="4"/>
        <v>4</v>
      </c>
      <c r="AH62" s="19">
        <f t="shared" si="5"/>
        <v>0</v>
      </c>
    </row>
    <row r="63" spans="1:34">
      <c r="A63" s="8" t="s">
        <v>92</v>
      </c>
      <c r="B63" s="8" t="s">
        <v>2150</v>
      </c>
      <c r="C63" s="8" t="s">
        <v>956</v>
      </c>
      <c r="D63" s="8" t="s">
        <v>5</v>
      </c>
      <c r="E63" s="8" t="s">
        <v>41</v>
      </c>
      <c r="F63" s="8" t="s">
        <v>107</v>
      </c>
      <c r="G63" s="8" t="s">
        <v>3</v>
      </c>
      <c r="H63" s="8" t="s">
        <v>236</v>
      </c>
      <c r="I63" s="8" t="s">
        <v>41</v>
      </c>
      <c r="J63" s="8" t="s">
        <v>41</v>
      </c>
      <c r="K63" s="8" t="s">
        <v>56</v>
      </c>
      <c r="L63" s="8" t="s">
        <v>110</v>
      </c>
      <c r="M63" s="11" t="s">
        <v>2151</v>
      </c>
      <c r="N63" s="8">
        <v>269</v>
      </c>
      <c r="O63" s="8">
        <v>141</v>
      </c>
      <c r="P63" s="8">
        <v>128</v>
      </c>
      <c r="Q63" s="8">
        <v>45</v>
      </c>
      <c r="R63" s="8">
        <v>19</v>
      </c>
      <c r="S63" s="8">
        <v>42</v>
      </c>
      <c r="T63" s="8">
        <v>19</v>
      </c>
      <c r="U63" s="8">
        <v>78</v>
      </c>
      <c r="V63" s="8">
        <v>47</v>
      </c>
      <c r="W63" s="8">
        <v>55</v>
      </c>
      <c r="X63" s="8">
        <v>23</v>
      </c>
      <c r="Y63" s="8">
        <v>49</v>
      </c>
      <c r="Z63" s="8">
        <v>33</v>
      </c>
      <c r="AA63" s="8">
        <v>0</v>
      </c>
      <c r="AB63" s="8">
        <v>0</v>
      </c>
      <c r="AC63" s="19">
        <f t="shared" si="0"/>
        <v>26</v>
      </c>
      <c r="AD63" s="19">
        <f t="shared" si="1"/>
        <v>23</v>
      </c>
      <c r="AE63" s="19">
        <f t="shared" si="2"/>
        <v>31</v>
      </c>
      <c r="AF63" s="19">
        <f t="shared" si="3"/>
        <v>32</v>
      </c>
      <c r="AG63" s="19">
        <f t="shared" si="4"/>
        <v>16</v>
      </c>
      <c r="AH63" s="19">
        <f t="shared" si="5"/>
        <v>0</v>
      </c>
    </row>
    <row r="64" spans="1:34">
      <c r="A64" s="8" t="s">
        <v>100</v>
      </c>
      <c r="B64" s="8" t="s">
        <v>2153</v>
      </c>
      <c r="C64" s="8" t="s">
        <v>956</v>
      </c>
      <c r="D64" s="8" t="s">
        <v>5</v>
      </c>
      <c r="E64" s="8" t="s">
        <v>41</v>
      </c>
      <c r="F64" s="8" t="s">
        <v>107</v>
      </c>
      <c r="G64" s="8" t="s">
        <v>4</v>
      </c>
      <c r="H64" s="8" t="s">
        <v>289</v>
      </c>
      <c r="I64" s="8" t="s">
        <v>41</v>
      </c>
      <c r="J64" s="8" t="s">
        <v>41</v>
      </c>
      <c r="K64" s="8" t="s">
        <v>43</v>
      </c>
      <c r="L64" s="8" t="s">
        <v>110</v>
      </c>
      <c r="M64" s="11" t="s">
        <v>2154</v>
      </c>
      <c r="N64" s="8">
        <v>197</v>
      </c>
      <c r="O64" s="8">
        <v>135</v>
      </c>
      <c r="P64" s="8">
        <v>62</v>
      </c>
      <c r="Q64" s="8">
        <v>41</v>
      </c>
      <c r="R64" s="8">
        <v>23</v>
      </c>
      <c r="S64" s="8">
        <v>42</v>
      </c>
      <c r="T64" s="8">
        <v>24</v>
      </c>
      <c r="U64" s="8">
        <v>61</v>
      </c>
      <c r="V64" s="8">
        <v>58</v>
      </c>
      <c r="W64" s="8">
        <v>53</v>
      </c>
      <c r="X64" s="8">
        <v>30</v>
      </c>
      <c r="Y64" s="8">
        <v>0</v>
      </c>
      <c r="Z64" s="8">
        <v>0</v>
      </c>
      <c r="AA64" s="8">
        <v>0</v>
      </c>
      <c r="AB64" s="8">
        <v>0</v>
      </c>
      <c r="AC64" s="19">
        <f t="shared" si="0"/>
        <v>18</v>
      </c>
      <c r="AD64" s="19">
        <f t="shared" si="1"/>
        <v>18</v>
      </c>
      <c r="AE64" s="19">
        <f t="shared" si="2"/>
        <v>3</v>
      </c>
      <c r="AF64" s="19">
        <f t="shared" si="3"/>
        <v>23</v>
      </c>
      <c r="AG64" s="19">
        <f t="shared" si="4"/>
        <v>0</v>
      </c>
      <c r="AH64" s="19">
        <f t="shared" si="5"/>
        <v>0</v>
      </c>
    </row>
    <row r="65" spans="1:34">
      <c r="A65" s="8" t="s">
        <v>124</v>
      </c>
      <c r="B65" s="8" t="s">
        <v>2155</v>
      </c>
      <c r="C65" s="8" t="s">
        <v>956</v>
      </c>
      <c r="D65" s="8" t="s">
        <v>5</v>
      </c>
      <c r="E65" s="8" t="s">
        <v>41</v>
      </c>
      <c r="F65" s="8" t="s">
        <v>107</v>
      </c>
      <c r="G65" s="8" t="s">
        <v>5</v>
      </c>
      <c r="H65" s="8" t="s">
        <v>103</v>
      </c>
      <c r="I65" s="8" t="s">
        <v>41</v>
      </c>
      <c r="J65" s="8" t="s">
        <v>41</v>
      </c>
      <c r="K65" s="8" t="s">
        <v>43</v>
      </c>
      <c r="L65" s="8" t="s">
        <v>110</v>
      </c>
      <c r="M65" s="11" t="s">
        <v>2156</v>
      </c>
      <c r="N65" s="8">
        <v>174</v>
      </c>
      <c r="O65" s="8">
        <v>102</v>
      </c>
      <c r="P65" s="8">
        <v>72</v>
      </c>
      <c r="Q65" s="8">
        <v>41</v>
      </c>
      <c r="R65" s="8">
        <v>22</v>
      </c>
      <c r="S65" s="8">
        <v>37</v>
      </c>
      <c r="T65" s="8">
        <v>24</v>
      </c>
      <c r="U65" s="8">
        <v>22</v>
      </c>
      <c r="V65" s="8">
        <v>13</v>
      </c>
      <c r="W65" s="8">
        <v>28</v>
      </c>
      <c r="X65" s="8">
        <v>17</v>
      </c>
      <c r="Y65" s="8">
        <v>46</v>
      </c>
      <c r="Z65" s="8">
        <v>26</v>
      </c>
      <c r="AA65" s="8">
        <v>0</v>
      </c>
      <c r="AB65" s="8">
        <v>0</v>
      </c>
      <c r="AC65" s="19">
        <f t="shared" si="0"/>
        <v>19</v>
      </c>
      <c r="AD65" s="19">
        <f t="shared" si="1"/>
        <v>13</v>
      </c>
      <c r="AE65" s="19">
        <f t="shared" si="2"/>
        <v>9</v>
      </c>
      <c r="AF65" s="19">
        <f t="shared" si="3"/>
        <v>11</v>
      </c>
      <c r="AG65" s="19">
        <f t="shared" si="4"/>
        <v>20</v>
      </c>
      <c r="AH65" s="19">
        <f t="shared" si="5"/>
        <v>0</v>
      </c>
    </row>
    <row r="66" spans="1:34">
      <c r="A66" s="8" t="s">
        <v>951</v>
      </c>
      <c r="B66" s="8" t="s">
        <v>2159</v>
      </c>
      <c r="C66" s="8" t="s">
        <v>3</v>
      </c>
      <c r="D66" s="8" t="s">
        <v>6</v>
      </c>
      <c r="E66" s="8" t="s">
        <v>41</v>
      </c>
      <c r="F66" s="8" t="s">
        <v>70</v>
      </c>
      <c r="G66" s="8" t="s">
        <v>3</v>
      </c>
      <c r="H66" s="8" t="s">
        <v>653</v>
      </c>
      <c r="I66" s="8" t="s">
        <v>41</v>
      </c>
      <c r="J66" s="8" t="s">
        <v>41</v>
      </c>
      <c r="K66" s="8" t="s">
        <v>43</v>
      </c>
      <c r="L66" s="8" t="s">
        <v>110</v>
      </c>
      <c r="M66" s="11" t="s">
        <v>2160</v>
      </c>
      <c r="N66" s="8">
        <v>341</v>
      </c>
      <c r="O66" s="8">
        <v>189</v>
      </c>
      <c r="P66" s="8">
        <v>152</v>
      </c>
      <c r="Q66" s="8">
        <v>84</v>
      </c>
      <c r="R66" s="8">
        <v>50</v>
      </c>
      <c r="S66" s="8">
        <v>107</v>
      </c>
      <c r="T66" s="8">
        <v>59</v>
      </c>
      <c r="U66" s="8">
        <v>80</v>
      </c>
      <c r="V66" s="8">
        <v>33</v>
      </c>
      <c r="W66" s="8">
        <v>46</v>
      </c>
      <c r="X66" s="8">
        <v>30</v>
      </c>
      <c r="Y66" s="8">
        <v>24</v>
      </c>
      <c r="Z66" s="8">
        <v>17</v>
      </c>
      <c r="AA66" s="8">
        <v>0</v>
      </c>
      <c r="AB66" s="8">
        <v>0</v>
      </c>
      <c r="AC66" s="19">
        <f t="shared" si="0"/>
        <v>34</v>
      </c>
      <c r="AD66" s="19">
        <f t="shared" si="1"/>
        <v>48</v>
      </c>
      <c r="AE66" s="19">
        <f t="shared" si="2"/>
        <v>47</v>
      </c>
      <c r="AF66" s="19">
        <f t="shared" si="3"/>
        <v>16</v>
      </c>
      <c r="AG66" s="19">
        <f t="shared" si="4"/>
        <v>7</v>
      </c>
      <c r="AH66" s="19">
        <f t="shared" si="5"/>
        <v>0</v>
      </c>
    </row>
    <row r="67" spans="1:34">
      <c r="A67" s="8" t="s">
        <v>950</v>
      </c>
      <c r="B67" s="8" t="s">
        <v>2162</v>
      </c>
      <c r="C67" s="8" t="s">
        <v>3</v>
      </c>
      <c r="D67" s="8" t="s">
        <v>6</v>
      </c>
      <c r="E67" s="8" t="s">
        <v>41</v>
      </c>
      <c r="F67" s="8" t="s">
        <v>70</v>
      </c>
      <c r="G67" s="8" t="s">
        <v>4</v>
      </c>
      <c r="H67" s="8" t="s">
        <v>1176</v>
      </c>
      <c r="I67" s="8" t="s">
        <v>41</v>
      </c>
      <c r="J67" s="8" t="s">
        <v>41</v>
      </c>
      <c r="K67" s="8" t="s">
        <v>41</v>
      </c>
      <c r="L67" s="8" t="s">
        <v>110</v>
      </c>
      <c r="M67" s="11" t="s">
        <v>2163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19">
        <f t="shared" si="0"/>
        <v>0</v>
      </c>
      <c r="AD67" s="19">
        <f t="shared" si="1"/>
        <v>0</v>
      </c>
      <c r="AE67" s="19">
        <f t="shared" si="2"/>
        <v>0</v>
      </c>
      <c r="AF67" s="19">
        <f t="shared" si="3"/>
        <v>0</v>
      </c>
      <c r="AG67" s="19">
        <f t="shared" si="4"/>
        <v>0</v>
      </c>
      <c r="AH67" s="19">
        <f t="shared" si="5"/>
        <v>0</v>
      </c>
    </row>
    <row r="68" spans="1:34">
      <c r="A68" s="8" t="s">
        <v>1093</v>
      </c>
      <c r="B68" s="8" t="s">
        <v>2165</v>
      </c>
      <c r="C68" s="8" t="s">
        <v>118</v>
      </c>
      <c r="D68" s="8" t="s">
        <v>3</v>
      </c>
      <c r="E68" s="8" t="s">
        <v>41</v>
      </c>
      <c r="F68" s="8" t="s">
        <v>388</v>
      </c>
      <c r="G68" s="8" t="s">
        <v>3</v>
      </c>
      <c r="H68" s="8" t="s">
        <v>2167</v>
      </c>
      <c r="I68" s="8" t="s">
        <v>41</v>
      </c>
      <c r="J68" s="8" t="s">
        <v>41</v>
      </c>
      <c r="K68" s="8" t="s">
        <v>56</v>
      </c>
      <c r="L68" s="8" t="s">
        <v>110</v>
      </c>
      <c r="M68" s="11" t="s">
        <v>2166</v>
      </c>
      <c r="N68" s="8">
        <v>181</v>
      </c>
      <c r="O68" s="8">
        <v>109</v>
      </c>
      <c r="P68" s="8">
        <v>72</v>
      </c>
      <c r="Q68" s="8">
        <v>22</v>
      </c>
      <c r="R68" s="8">
        <v>13</v>
      </c>
      <c r="S68" s="8">
        <v>32</v>
      </c>
      <c r="T68" s="8">
        <v>15</v>
      </c>
      <c r="U68" s="8">
        <v>16</v>
      </c>
      <c r="V68" s="8">
        <v>11</v>
      </c>
      <c r="W68" s="8">
        <v>77</v>
      </c>
      <c r="X68" s="8">
        <v>51</v>
      </c>
      <c r="Y68" s="8">
        <v>34</v>
      </c>
      <c r="Z68" s="8">
        <v>19</v>
      </c>
      <c r="AA68" s="8">
        <v>0</v>
      </c>
      <c r="AB68" s="8">
        <v>0</v>
      </c>
      <c r="AC68" s="19">
        <f t="shared" ref="AC68:AC131" si="6">+Q68-R68</f>
        <v>9</v>
      </c>
      <c r="AD68" s="19">
        <f t="shared" ref="AD68:AD131" si="7">+S68-T68</f>
        <v>17</v>
      </c>
      <c r="AE68" s="19">
        <f t="shared" ref="AE68:AE131" si="8">+U68-V68</f>
        <v>5</v>
      </c>
      <c r="AF68" s="19">
        <f t="shared" ref="AF68:AF131" si="9">+W68-X68</f>
        <v>26</v>
      </c>
      <c r="AG68" s="19">
        <f t="shared" ref="AG68:AG131" si="10">+Y68-Z68</f>
        <v>15</v>
      </c>
      <c r="AH68" s="19">
        <f t="shared" ref="AH68:AH131" si="11">+AA68-AB68</f>
        <v>0</v>
      </c>
    </row>
    <row r="69" spans="1:34">
      <c r="A69" s="8" t="s">
        <v>1139</v>
      </c>
      <c r="B69" s="8" t="s">
        <v>1992</v>
      </c>
      <c r="C69" s="8" t="s">
        <v>957</v>
      </c>
      <c r="D69" s="8" t="s">
        <v>4</v>
      </c>
      <c r="E69" s="8" t="s">
        <v>41</v>
      </c>
      <c r="F69" s="8" t="s">
        <v>3</v>
      </c>
      <c r="G69" s="8" t="s">
        <v>12</v>
      </c>
      <c r="H69" s="8" t="s">
        <v>115</v>
      </c>
      <c r="I69" s="8" t="s">
        <v>43</v>
      </c>
      <c r="J69" s="8" t="s">
        <v>41</v>
      </c>
      <c r="K69" s="8" t="s">
        <v>5696</v>
      </c>
      <c r="L69" s="8" t="s">
        <v>110</v>
      </c>
      <c r="M69" s="11" t="s">
        <v>2168</v>
      </c>
      <c r="N69" s="8">
        <v>2</v>
      </c>
      <c r="O69" s="8">
        <v>0</v>
      </c>
      <c r="P69" s="8">
        <v>2</v>
      </c>
      <c r="Q69" s="8">
        <v>0</v>
      </c>
      <c r="R69" s="8">
        <v>0</v>
      </c>
      <c r="S69" s="8">
        <v>0</v>
      </c>
      <c r="T69" s="8">
        <v>0</v>
      </c>
      <c r="U69" s="8">
        <v>1</v>
      </c>
      <c r="V69" s="8">
        <v>0</v>
      </c>
      <c r="W69" s="8">
        <v>1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19">
        <f t="shared" si="6"/>
        <v>0</v>
      </c>
      <c r="AD69" s="19">
        <f t="shared" si="7"/>
        <v>0</v>
      </c>
      <c r="AE69" s="19">
        <f t="shared" si="8"/>
        <v>1</v>
      </c>
      <c r="AF69" s="19">
        <f t="shared" si="9"/>
        <v>1</v>
      </c>
      <c r="AG69" s="19">
        <f t="shared" si="10"/>
        <v>0</v>
      </c>
      <c r="AH69" s="19">
        <f t="shared" si="11"/>
        <v>0</v>
      </c>
    </row>
    <row r="70" spans="1:34">
      <c r="A70" s="8" t="s">
        <v>1123</v>
      </c>
      <c r="B70" s="8" t="s">
        <v>1992</v>
      </c>
      <c r="C70" s="8" t="s">
        <v>5</v>
      </c>
      <c r="D70" s="8" t="s">
        <v>4</v>
      </c>
      <c r="E70" s="8" t="s">
        <v>43</v>
      </c>
      <c r="F70" s="8" t="s">
        <v>3</v>
      </c>
      <c r="G70" s="8" t="s">
        <v>3</v>
      </c>
      <c r="H70" s="8" t="s">
        <v>1761</v>
      </c>
      <c r="I70" s="8" t="s">
        <v>43</v>
      </c>
      <c r="J70" s="8" t="s">
        <v>41</v>
      </c>
      <c r="K70" s="8" t="s">
        <v>5696</v>
      </c>
      <c r="L70" s="8" t="s">
        <v>110</v>
      </c>
      <c r="M70" s="11" t="s">
        <v>2170</v>
      </c>
      <c r="N70" s="8">
        <v>1</v>
      </c>
      <c r="O70" s="8">
        <v>1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1</v>
      </c>
      <c r="X70" s="8">
        <v>1</v>
      </c>
      <c r="Y70" s="8">
        <v>0</v>
      </c>
      <c r="Z70" s="8">
        <v>0</v>
      </c>
      <c r="AA70" s="8">
        <v>0</v>
      </c>
      <c r="AB70" s="8">
        <v>0</v>
      </c>
      <c r="AC70" s="19">
        <f t="shared" si="6"/>
        <v>0</v>
      </c>
      <c r="AD70" s="19">
        <f t="shared" si="7"/>
        <v>0</v>
      </c>
      <c r="AE70" s="19">
        <f t="shared" si="8"/>
        <v>0</v>
      </c>
      <c r="AF70" s="19">
        <f t="shared" si="9"/>
        <v>0</v>
      </c>
      <c r="AG70" s="19">
        <f t="shared" si="10"/>
        <v>0</v>
      </c>
      <c r="AH70" s="19">
        <f t="shared" si="11"/>
        <v>0</v>
      </c>
    </row>
    <row r="71" spans="1:34">
      <c r="A71" s="8" t="s">
        <v>1119</v>
      </c>
      <c r="B71" s="8" t="s">
        <v>2171</v>
      </c>
      <c r="C71" s="8" t="s">
        <v>5</v>
      </c>
      <c r="D71" s="8" t="s">
        <v>4</v>
      </c>
      <c r="E71" s="8" t="s">
        <v>43</v>
      </c>
      <c r="F71" s="8" t="s">
        <v>3</v>
      </c>
      <c r="G71" s="8" t="s">
        <v>3</v>
      </c>
      <c r="H71" s="8" t="s">
        <v>764</v>
      </c>
      <c r="I71" s="8" t="s">
        <v>41</v>
      </c>
      <c r="J71" s="8" t="s">
        <v>41</v>
      </c>
      <c r="K71" s="8" t="s">
        <v>41</v>
      </c>
      <c r="L71" s="8" t="s">
        <v>110</v>
      </c>
      <c r="M71" s="11" t="s">
        <v>2172</v>
      </c>
      <c r="N71" s="8">
        <v>298</v>
      </c>
      <c r="O71" s="8">
        <v>176</v>
      </c>
      <c r="P71" s="8">
        <v>122</v>
      </c>
      <c r="Q71" s="8">
        <v>64</v>
      </c>
      <c r="R71" s="8">
        <v>33</v>
      </c>
      <c r="S71" s="8">
        <v>117</v>
      </c>
      <c r="T71" s="8">
        <v>66</v>
      </c>
      <c r="U71" s="8">
        <v>32</v>
      </c>
      <c r="V71" s="8">
        <v>19</v>
      </c>
      <c r="W71" s="8">
        <v>83</v>
      </c>
      <c r="X71" s="8">
        <v>58</v>
      </c>
      <c r="Y71" s="8">
        <v>2</v>
      </c>
      <c r="Z71" s="8">
        <v>0</v>
      </c>
      <c r="AA71" s="8">
        <v>0</v>
      </c>
      <c r="AB71" s="8">
        <v>0</v>
      </c>
      <c r="AC71" s="19">
        <f t="shared" si="6"/>
        <v>31</v>
      </c>
      <c r="AD71" s="19">
        <f t="shared" si="7"/>
        <v>51</v>
      </c>
      <c r="AE71" s="19">
        <f t="shared" si="8"/>
        <v>13</v>
      </c>
      <c r="AF71" s="19">
        <f t="shared" si="9"/>
        <v>25</v>
      </c>
      <c r="AG71" s="19">
        <f t="shared" si="10"/>
        <v>2</v>
      </c>
      <c r="AH71" s="19">
        <f t="shared" si="11"/>
        <v>0</v>
      </c>
    </row>
    <row r="72" spans="1:34">
      <c r="A72" s="8" t="s">
        <v>1118</v>
      </c>
      <c r="B72" s="8" t="s">
        <v>2174</v>
      </c>
      <c r="C72" s="8" t="s">
        <v>5</v>
      </c>
      <c r="D72" s="8" t="s">
        <v>4</v>
      </c>
      <c r="E72" s="8" t="s">
        <v>43</v>
      </c>
      <c r="F72" s="8" t="s">
        <v>3</v>
      </c>
      <c r="G72" s="8" t="s">
        <v>3</v>
      </c>
      <c r="H72" s="8" t="s">
        <v>1726</v>
      </c>
      <c r="I72" s="8" t="s">
        <v>41</v>
      </c>
      <c r="J72" s="8" t="s">
        <v>41</v>
      </c>
      <c r="K72" s="8" t="s">
        <v>43</v>
      </c>
      <c r="L72" s="8" t="s">
        <v>110</v>
      </c>
      <c r="M72" s="11" t="s">
        <v>2175</v>
      </c>
      <c r="N72" s="8">
        <v>69</v>
      </c>
      <c r="O72" s="8">
        <v>33</v>
      </c>
      <c r="P72" s="8">
        <v>36</v>
      </c>
      <c r="Q72" s="8">
        <v>20</v>
      </c>
      <c r="R72" s="8">
        <v>7</v>
      </c>
      <c r="S72" s="8">
        <v>6</v>
      </c>
      <c r="T72" s="8">
        <v>3</v>
      </c>
      <c r="U72" s="8">
        <v>15</v>
      </c>
      <c r="V72" s="8">
        <v>7</v>
      </c>
      <c r="W72" s="8">
        <v>19</v>
      </c>
      <c r="X72" s="8">
        <v>9</v>
      </c>
      <c r="Y72" s="8">
        <v>9</v>
      </c>
      <c r="Z72" s="8">
        <v>7</v>
      </c>
      <c r="AA72" s="8">
        <v>0</v>
      </c>
      <c r="AB72" s="8">
        <v>0</v>
      </c>
      <c r="AC72" s="19">
        <f t="shared" si="6"/>
        <v>13</v>
      </c>
      <c r="AD72" s="19">
        <f t="shared" si="7"/>
        <v>3</v>
      </c>
      <c r="AE72" s="19">
        <f t="shared" si="8"/>
        <v>8</v>
      </c>
      <c r="AF72" s="19">
        <f t="shared" si="9"/>
        <v>10</v>
      </c>
      <c r="AG72" s="19">
        <f t="shared" si="10"/>
        <v>2</v>
      </c>
      <c r="AH72" s="19">
        <f t="shared" si="11"/>
        <v>0</v>
      </c>
    </row>
    <row r="73" spans="1:34">
      <c r="A73" s="8" t="s">
        <v>150</v>
      </c>
      <c r="B73" s="8" t="s">
        <v>2177</v>
      </c>
      <c r="C73" s="8" t="s">
        <v>5</v>
      </c>
      <c r="D73" s="8" t="s">
        <v>4</v>
      </c>
      <c r="E73" s="8" t="s">
        <v>43</v>
      </c>
      <c r="F73" s="8" t="s">
        <v>3</v>
      </c>
      <c r="G73" s="8" t="s">
        <v>6</v>
      </c>
      <c r="H73" s="8" t="s">
        <v>611</v>
      </c>
      <c r="I73" s="8" t="s">
        <v>41</v>
      </c>
      <c r="J73" s="8" t="s">
        <v>41</v>
      </c>
      <c r="K73" s="8" t="s">
        <v>43</v>
      </c>
      <c r="L73" s="8" t="s">
        <v>110</v>
      </c>
      <c r="M73" s="11" t="s">
        <v>2178</v>
      </c>
      <c r="N73" s="8">
        <v>456</v>
      </c>
      <c r="O73" s="8">
        <v>238</v>
      </c>
      <c r="P73" s="8">
        <v>218</v>
      </c>
      <c r="Q73" s="8">
        <v>152</v>
      </c>
      <c r="R73" s="8">
        <v>82</v>
      </c>
      <c r="S73" s="8">
        <v>95</v>
      </c>
      <c r="T73" s="8">
        <v>48</v>
      </c>
      <c r="U73" s="8">
        <v>60</v>
      </c>
      <c r="V73" s="8">
        <v>34</v>
      </c>
      <c r="W73" s="8">
        <v>114</v>
      </c>
      <c r="X73" s="8">
        <v>56</v>
      </c>
      <c r="Y73" s="8">
        <v>35</v>
      </c>
      <c r="Z73" s="8">
        <v>18</v>
      </c>
      <c r="AA73" s="8">
        <v>0</v>
      </c>
      <c r="AB73" s="8">
        <v>0</v>
      </c>
      <c r="AC73" s="19">
        <f t="shared" si="6"/>
        <v>70</v>
      </c>
      <c r="AD73" s="19">
        <f t="shared" si="7"/>
        <v>47</v>
      </c>
      <c r="AE73" s="19">
        <f t="shared" si="8"/>
        <v>26</v>
      </c>
      <c r="AF73" s="19">
        <f t="shared" si="9"/>
        <v>58</v>
      </c>
      <c r="AG73" s="19">
        <f t="shared" si="10"/>
        <v>17</v>
      </c>
      <c r="AH73" s="19">
        <f t="shared" si="11"/>
        <v>0</v>
      </c>
    </row>
    <row r="74" spans="1:34">
      <c r="A74" s="8" t="s">
        <v>52</v>
      </c>
      <c r="B74" s="8" t="s">
        <v>2180</v>
      </c>
      <c r="C74" s="8" t="s">
        <v>5</v>
      </c>
      <c r="D74" s="8" t="s">
        <v>3</v>
      </c>
      <c r="E74" s="8" t="s">
        <v>43</v>
      </c>
      <c r="F74" s="8" t="s">
        <v>3</v>
      </c>
      <c r="G74" s="8" t="s">
        <v>3</v>
      </c>
      <c r="H74" s="8" t="s">
        <v>601</v>
      </c>
      <c r="I74" s="8" t="s">
        <v>41</v>
      </c>
      <c r="J74" s="8" t="s">
        <v>41</v>
      </c>
      <c r="K74" s="8" t="s">
        <v>56</v>
      </c>
      <c r="L74" s="8" t="s">
        <v>110</v>
      </c>
      <c r="M74" s="11" t="s">
        <v>2181</v>
      </c>
      <c r="N74" s="8">
        <v>815</v>
      </c>
      <c r="O74" s="8">
        <v>538</v>
      </c>
      <c r="P74" s="8">
        <v>277</v>
      </c>
      <c r="Q74" s="8">
        <v>306</v>
      </c>
      <c r="R74" s="8">
        <v>169</v>
      </c>
      <c r="S74" s="8">
        <v>282</v>
      </c>
      <c r="T74" s="8">
        <v>226</v>
      </c>
      <c r="U74" s="8">
        <v>168</v>
      </c>
      <c r="V74" s="8">
        <v>109</v>
      </c>
      <c r="W74" s="8">
        <v>51</v>
      </c>
      <c r="X74" s="8">
        <v>30</v>
      </c>
      <c r="Y74" s="8">
        <v>8</v>
      </c>
      <c r="Z74" s="8">
        <v>4</v>
      </c>
      <c r="AA74" s="8">
        <v>0</v>
      </c>
      <c r="AB74" s="8">
        <v>0</v>
      </c>
      <c r="AC74" s="19">
        <f t="shared" si="6"/>
        <v>137</v>
      </c>
      <c r="AD74" s="19">
        <f t="shared" si="7"/>
        <v>56</v>
      </c>
      <c r="AE74" s="19">
        <f t="shared" si="8"/>
        <v>59</v>
      </c>
      <c r="AF74" s="19">
        <f t="shared" si="9"/>
        <v>21</v>
      </c>
      <c r="AG74" s="19">
        <f t="shared" si="10"/>
        <v>4</v>
      </c>
      <c r="AH74" s="19">
        <f t="shared" si="11"/>
        <v>0</v>
      </c>
    </row>
    <row r="75" spans="1:34">
      <c r="A75" s="8" t="s">
        <v>152</v>
      </c>
      <c r="B75" s="8" t="s">
        <v>2184</v>
      </c>
      <c r="C75" s="8" t="s">
        <v>5</v>
      </c>
      <c r="D75" s="8" t="s">
        <v>7</v>
      </c>
      <c r="E75" s="8" t="s">
        <v>43</v>
      </c>
      <c r="F75" s="8" t="s">
        <v>3</v>
      </c>
      <c r="G75" s="8" t="s">
        <v>4</v>
      </c>
      <c r="H75" s="8" t="s">
        <v>42</v>
      </c>
      <c r="I75" s="8" t="s">
        <v>41</v>
      </c>
      <c r="J75" s="8" t="s">
        <v>41</v>
      </c>
      <c r="K75" s="8" t="s">
        <v>43</v>
      </c>
      <c r="L75" s="8" t="s">
        <v>110</v>
      </c>
      <c r="M75" s="11" t="s">
        <v>2185</v>
      </c>
      <c r="N75" s="8">
        <v>435</v>
      </c>
      <c r="O75" s="8">
        <v>241</v>
      </c>
      <c r="P75" s="8">
        <v>194</v>
      </c>
      <c r="Q75" s="8">
        <v>148</v>
      </c>
      <c r="R75" s="8">
        <v>75</v>
      </c>
      <c r="S75" s="8">
        <v>85</v>
      </c>
      <c r="T75" s="8">
        <v>50</v>
      </c>
      <c r="U75" s="8">
        <v>89</v>
      </c>
      <c r="V75" s="8">
        <v>57</v>
      </c>
      <c r="W75" s="8">
        <v>86</v>
      </c>
      <c r="X75" s="8">
        <v>43</v>
      </c>
      <c r="Y75" s="8">
        <v>27</v>
      </c>
      <c r="Z75" s="8">
        <v>16</v>
      </c>
      <c r="AA75" s="8">
        <v>0</v>
      </c>
      <c r="AB75" s="8">
        <v>0</v>
      </c>
      <c r="AC75" s="19">
        <f t="shared" si="6"/>
        <v>73</v>
      </c>
      <c r="AD75" s="19">
        <f t="shared" si="7"/>
        <v>35</v>
      </c>
      <c r="AE75" s="19">
        <f t="shared" si="8"/>
        <v>32</v>
      </c>
      <c r="AF75" s="19">
        <f t="shared" si="9"/>
        <v>43</v>
      </c>
      <c r="AG75" s="19">
        <f t="shared" si="10"/>
        <v>11</v>
      </c>
      <c r="AH75" s="19">
        <f t="shared" si="11"/>
        <v>0</v>
      </c>
    </row>
    <row r="76" spans="1:34">
      <c r="A76" s="8" t="s">
        <v>122</v>
      </c>
      <c r="B76" s="8" t="s">
        <v>1992</v>
      </c>
      <c r="C76" s="8" t="s">
        <v>5</v>
      </c>
      <c r="D76" s="8" t="s">
        <v>5</v>
      </c>
      <c r="E76" s="8" t="s">
        <v>43</v>
      </c>
      <c r="F76" s="8" t="s">
        <v>3</v>
      </c>
      <c r="G76" s="8" t="s">
        <v>8</v>
      </c>
      <c r="H76" s="8" t="s">
        <v>652</v>
      </c>
      <c r="I76" s="8" t="s">
        <v>43</v>
      </c>
      <c r="J76" s="8" t="s">
        <v>41</v>
      </c>
      <c r="K76" s="8" t="s">
        <v>5696</v>
      </c>
      <c r="L76" s="8" t="s">
        <v>110</v>
      </c>
      <c r="M76" s="11" t="s">
        <v>4692</v>
      </c>
      <c r="N76" s="8">
        <v>52</v>
      </c>
      <c r="O76" s="8">
        <v>31</v>
      </c>
      <c r="P76" s="8">
        <v>21</v>
      </c>
      <c r="Q76" s="8">
        <v>7</v>
      </c>
      <c r="R76" s="8">
        <v>3</v>
      </c>
      <c r="S76" s="8">
        <v>7</v>
      </c>
      <c r="T76" s="8">
        <v>4</v>
      </c>
      <c r="U76" s="8">
        <v>7</v>
      </c>
      <c r="V76" s="8">
        <v>6</v>
      </c>
      <c r="W76" s="8">
        <v>22</v>
      </c>
      <c r="X76" s="8">
        <v>10</v>
      </c>
      <c r="Y76" s="8">
        <v>9</v>
      </c>
      <c r="Z76" s="8">
        <v>8</v>
      </c>
      <c r="AA76" s="8">
        <v>0</v>
      </c>
      <c r="AB76" s="8">
        <v>0</v>
      </c>
      <c r="AC76" s="19">
        <f t="shared" si="6"/>
        <v>4</v>
      </c>
      <c r="AD76" s="19">
        <f t="shared" si="7"/>
        <v>3</v>
      </c>
      <c r="AE76" s="19">
        <f t="shared" si="8"/>
        <v>1</v>
      </c>
      <c r="AF76" s="19">
        <f t="shared" si="9"/>
        <v>12</v>
      </c>
      <c r="AG76" s="19">
        <f t="shared" si="10"/>
        <v>1</v>
      </c>
      <c r="AH76" s="19">
        <f t="shared" si="11"/>
        <v>0</v>
      </c>
    </row>
    <row r="77" spans="1:34">
      <c r="A77" s="8" t="s">
        <v>155</v>
      </c>
      <c r="B77" s="8" t="s">
        <v>2188</v>
      </c>
      <c r="C77" s="8" t="s">
        <v>5</v>
      </c>
      <c r="D77" s="8" t="s">
        <v>5</v>
      </c>
      <c r="E77" s="8" t="s">
        <v>43</v>
      </c>
      <c r="F77" s="8" t="s">
        <v>3</v>
      </c>
      <c r="G77" s="8" t="s">
        <v>8</v>
      </c>
      <c r="H77" s="8" t="s">
        <v>365</v>
      </c>
      <c r="I77" s="8" t="s">
        <v>41</v>
      </c>
      <c r="J77" s="8" t="s">
        <v>41</v>
      </c>
      <c r="K77" s="8" t="s">
        <v>43</v>
      </c>
      <c r="L77" s="8" t="s">
        <v>110</v>
      </c>
      <c r="M77" s="11" t="s">
        <v>2189</v>
      </c>
      <c r="N77" s="8">
        <v>252</v>
      </c>
      <c r="O77" s="8">
        <v>155</v>
      </c>
      <c r="P77" s="8">
        <v>97</v>
      </c>
      <c r="Q77" s="8">
        <v>79</v>
      </c>
      <c r="R77" s="8">
        <v>41</v>
      </c>
      <c r="S77" s="8">
        <v>40</v>
      </c>
      <c r="T77" s="8">
        <v>27</v>
      </c>
      <c r="U77" s="8">
        <v>49</v>
      </c>
      <c r="V77" s="8">
        <v>38</v>
      </c>
      <c r="W77" s="8">
        <v>55</v>
      </c>
      <c r="X77" s="8">
        <v>33</v>
      </c>
      <c r="Y77" s="8">
        <v>29</v>
      </c>
      <c r="Z77" s="8">
        <v>16</v>
      </c>
      <c r="AA77" s="8">
        <v>0</v>
      </c>
      <c r="AB77" s="8">
        <v>0</v>
      </c>
      <c r="AC77" s="19">
        <f t="shared" si="6"/>
        <v>38</v>
      </c>
      <c r="AD77" s="19">
        <f t="shared" si="7"/>
        <v>13</v>
      </c>
      <c r="AE77" s="19">
        <f t="shared" si="8"/>
        <v>11</v>
      </c>
      <c r="AF77" s="19">
        <f t="shared" si="9"/>
        <v>22</v>
      </c>
      <c r="AG77" s="19">
        <f t="shared" si="10"/>
        <v>13</v>
      </c>
      <c r="AH77" s="19">
        <f t="shared" si="11"/>
        <v>0</v>
      </c>
    </row>
    <row r="78" spans="1:34">
      <c r="A78" s="8" t="s">
        <v>1120</v>
      </c>
      <c r="B78" s="8" t="s">
        <v>1992</v>
      </c>
      <c r="C78" s="8" t="s">
        <v>5</v>
      </c>
      <c r="D78" s="8" t="s">
        <v>6</v>
      </c>
      <c r="E78" s="8" t="s">
        <v>43</v>
      </c>
      <c r="F78" s="8" t="s">
        <v>3</v>
      </c>
      <c r="G78" s="8" t="s">
        <v>11</v>
      </c>
      <c r="H78" s="8" t="s">
        <v>814</v>
      </c>
      <c r="I78" s="8" t="s">
        <v>43</v>
      </c>
      <c r="J78" s="8" t="s">
        <v>41</v>
      </c>
      <c r="K78" s="8" t="s">
        <v>5696</v>
      </c>
      <c r="L78" s="8" t="s">
        <v>110</v>
      </c>
      <c r="M78" s="11" t="s">
        <v>2190</v>
      </c>
      <c r="N78" s="8">
        <v>20</v>
      </c>
      <c r="O78" s="8">
        <v>11</v>
      </c>
      <c r="P78" s="8">
        <v>9</v>
      </c>
      <c r="Q78" s="8">
        <v>2</v>
      </c>
      <c r="R78" s="8">
        <v>0</v>
      </c>
      <c r="S78" s="8">
        <v>4</v>
      </c>
      <c r="T78" s="8">
        <v>2</v>
      </c>
      <c r="U78" s="8">
        <v>3</v>
      </c>
      <c r="V78" s="8">
        <v>0</v>
      </c>
      <c r="W78" s="8">
        <v>7</v>
      </c>
      <c r="X78" s="8">
        <v>6</v>
      </c>
      <c r="Y78" s="8">
        <v>4</v>
      </c>
      <c r="Z78" s="8">
        <v>3</v>
      </c>
      <c r="AA78" s="8">
        <v>0</v>
      </c>
      <c r="AB78" s="8">
        <v>0</v>
      </c>
      <c r="AC78" s="19">
        <f t="shared" si="6"/>
        <v>2</v>
      </c>
      <c r="AD78" s="19">
        <f t="shared" si="7"/>
        <v>2</v>
      </c>
      <c r="AE78" s="19">
        <f t="shared" si="8"/>
        <v>3</v>
      </c>
      <c r="AF78" s="19">
        <f t="shared" si="9"/>
        <v>1</v>
      </c>
      <c r="AG78" s="19">
        <f t="shared" si="10"/>
        <v>1</v>
      </c>
      <c r="AH78" s="19">
        <f t="shared" si="11"/>
        <v>0</v>
      </c>
    </row>
    <row r="79" spans="1:34">
      <c r="A79" s="8" t="s">
        <v>1133</v>
      </c>
      <c r="B79" s="8" t="s">
        <v>2193</v>
      </c>
      <c r="C79" s="8" t="s">
        <v>5</v>
      </c>
      <c r="D79" s="8" t="s">
        <v>6</v>
      </c>
      <c r="E79" s="8" t="s">
        <v>43</v>
      </c>
      <c r="F79" s="8" t="s">
        <v>3</v>
      </c>
      <c r="G79" s="8" t="s">
        <v>11</v>
      </c>
      <c r="H79" s="8" t="s">
        <v>89</v>
      </c>
      <c r="I79" s="8" t="s">
        <v>41</v>
      </c>
      <c r="J79" s="8" t="s">
        <v>41</v>
      </c>
      <c r="K79" s="8" t="s">
        <v>56</v>
      </c>
      <c r="L79" s="8" t="s">
        <v>110</v>
      </c>
      <c r="M79" s="11" t="s">
        <v>2194</v>
      </c>
      <c r="N79" s="8">
        <v>256</v>
      </c>
      <c r="O79" s="8">
        <v>128</v>
      </c>
      <c r="P79" s="8">
        <v>128</v>
      </c>
      <c r="Q79" s="8">
        <v>53</v>
      </c>
      <c r="R79" s="8">
        <v>20</v>
      </c>
      <c r="S79" s="8">
        <v>79</v>
      </c>
      <c r="T79" s="8">
        <v>44</v>
      </c>
      <c r="U79" s="8">
        <v>39</v>
      </c>
      <c r="V79" s="8">
        <v>24</v>
      </c>
      <c r="W79" s="8">
        <v>61</v>
      </c>
      <c r="X79" s="8">
        <v>30</v>
      </c>
      <c r="Y79" s="8">
        <v>24</v>
      </c>
      <c r="Z79" s="8">
        <v>10</v>
      </c>
      <c r="AA79" s="8">
        <v>0</v>
      </c>
      <c r="AB79" s="8">
        <v>0</v>
      </c>
      <c r="AC79" s="19">
        <f t="shared" si="6"/>
        <v>33</v>
      </c>
      <c r="AD79" s="19">
        <f t="shared" si="7"/>
        <v>35</v>
      </c>
      <c r="AE79" s="19">
        <f t="shared" si="8"/>
        <v>15</v>
      </c>
      <c r="AF79" s="19">
        <f t="shared" si="9"/>
        <v>31</v>
      </c>
      <c r="AG79" s="19">
        <f t="shared" si="10"/>
        <v>14</v>
      </c>
      <c r="AH79" s="19">
        <f t="shared" si="11"/>
        <v>0</v>
      </c>
    </row>
    <row r="80" spans="1:34">
      <c r="A80" s="8" t="s">
        <v>1130</v>
      </c>
      <c r="B80" s="8" t="s">
        <v>2196</v>
      </c>
      <c r="C80" s="8" t="s">
        <v>5</v>
      </c>
      <c r="D80" s="8" t="s">
        <v>7</v>
      </c>
      <c r="E80" s="8" t="s">
        <v>43</v>
      </c>
      <c r="F80" s="8" t="s">
        <v>3</v>
      </c>
      <c r="G80" s="8" t="s">
        <v>16</v>
      </c>
      <c r="H80" s="8" t="s">
        <v>613</v>
      </c>
      <c r="I80" s="8" t="s">
        <v>41</v>
      </c>
      <c r="J80" s="8" t="s">
        <v>41</v>
      </c>
      <c r="K80" s="8" t="s">
        <v>41</v>
      </c>
      <c r="L80" s="8" t="s">
        <v>110</v>
      </c>
      <c r="M80" s="11" t="s">
        <v>2197</v>
      </c>
      <c r="N80" s="8">
        <v>221</v>
      </c>
      <c r="O80" s="8">
        <v>134</v>
      </c>
      <c r="P80" s="8">
        <v>87</v>
      </c>
      <c r="Q80" s="8">
        <v>46</v>
      </c>
      <c r="R80" s="8">
        <v>29</v>
      </c>
      <c r="S80" s="8">
        <v>48</v>
      </c>
      <c r="T80" s="8">
        <v>33</v>
      </c>
      <c r="U80" s="8">
        <v>46</v>
      </c>
      <c r="V80" s="8">
        <v>26</v>
      </c>
      <c r="W80" s="8">
        <v>39</v>
      </c>
      <c r="X80" s="8">
        <v>22</v>
      </c>
      <c r="Y80" s="8">
        <v>42</v>
      </c>
      <c r="Z80" s="8">
        <v>24</v>
      </c>
      <c r="AA80" s="8">
        <v>0</v>
      </c>
      <c r="AB80" s="8">
        <v>0</v>
      </c>
      <c r="AC80" s="19">
        <f t="shared" si="6"/>
        <v>17</v>
      </c>
      <c r="AD80" s="19">
        <f t="shared" si="7"/>
        <v>15</v>
      </c>
      <c r="AE80" s="19">
        <f t="shared" si="8"/>
        <v>20</v>
      </c>
      <c r="AF80" s="19">
        <f t="shared" si="9"/>
        <v>17</v>
      </c>
      <c r="AG80" s="19">
        <f t="shared" si="10"/>
        <v>18</v>
      </c>
      <c r="AH80" s="19">
        <f t="shared" si="11"/>
        <v>0</v>
      </c>
    </row>
    <row r="81" spans="1:34">
      <c r="A81" s="8" t="s">
        <v>160</v>
      </c>
      <c r="B81" s="8" t="s">
        <v>2199</v>
      </c>
      <c r="C81" s="8" t="s">
        <v>6</v>
      </c>
      <c r="D81" s="8" t="s">
        <v>3</v>
      </c>
      <c r="E81" s="8" t="s">
        <v>43</v>
      </c>
      <c r="F81" s="8" t="s">
        <v>4</v>
      </c>
      <c r="G81" s="8" t="s">
        <v>3</v>
      </c>
      <c r="H81" s="8" t="s">
        <v>3795</v>
      </c>
      <c r="I81" s="8" t="s">
        <v>56</v>
      </c>
      <c r="J81" s="8" t="s">
        <v>41</v>
      </c>
      <c r="K81" s="8" t="s">
        <v>5696</v>
      </c>
      <c r="L81" s="8" t="s">
        <v>110</v>
      </c>
      <c r="M81" s="11" t="s">
        <v>4054</v>
      </c>
      <c r="N81" s="8">
        <v>49</v>
      </c>
      <c r="O81" s="8">
        <v>27</v>
      </c>
      <c r="P81" s="8">
        <v>22</v>
      </c>
      <c r="Q81" s="8">
        <v>10</v>
      </c>
      <c r="R81" s="8">
        <v>3</v>
      </c>
      <c r="S81" s="8">
        <v>7</v>
      </c>
      <c r="T81" s="8">
        <v>3</v>
      </c>
      <c r="U81" s="8">
        <v>21</v>
      </c>
      <c r="V81" s="8">
        <v>13</v>
      </c>
      <c r="W81" s="8">
        <v>9</v>
      </c>
      <c r="X81" s="8">
        <v>6</v>
      </c>
      <c r="Y81" s="8">
        <v>2</v>
      </c>
      <c r="Z81" s="8">
        <v>2</v>
      </c>
      <c r="AA81" s="8">
        <v>0</v>
      </c>
      <c r="AB81" s="8">
        <v>0</v>
      </c>
      <c r="AC81" s="19">
        <f t="shared" si="6"/>
        <v>7</v>
      </c>
      <c r="AD81" s="19">
        <f t="shared" si="7"/>
        <v>4</v>
      </c>
      <c r="AE81" s="19">
        <f t="shared" si="8"/>
        <v>8</v>
      </c>
      <c r="AF81" s="19">
        <f t="shared" si="9"/>
        <v>3</v>
      </c>
      <c r="AG81" s="19">
        <f t="shared" si="10"/>
        <v>0</v>
      </c>
      <c r="AH81" s="19">
        <f t="shared" si="11"/>
        <v>0</v>
      </c>
    </row>
    <row r="82" spans="1:34">
      <c r="A82" s="8" t="s">
        <v>1094</v>
      </c>
      <c r="B82" s="8" t="s">
        <v>2201</v>
      </c>
      <c r="C82" s="8" t="s">
        <v>6</v>
      </c>
      <c r="D82" s="8" t="s">
        <v>3</v>
      </c>
      <c r="E82" s="8" t="s">
        <v>43</v>
      </c>
      <c r="F82" s="8" t="s">
        <v>4</v>
      </c>
      <c r="G82" s="8" t="s">
        <v>3</v>
      </c>
      <c r="H82" s="8" t="s">
        <v>3796</v>
      </c>
      <c r="I82" s="8" t="s">
        <v>41</v>
      </c>
      <c r="J82" s="8" t="s">
        <v>41</v>
      </c>
      <c r="K82" s="8" t="s">
        <v>56</v>
      </c>
      <c r="L82" s="8" t="s">
        <v>110</v>
      </c>
      <c r="M82" s="11" t="s">
        <v>4055</v>
      </c>
      <c r="N82" s="8">
        <v>608</v>
      </c>
      <c r="O82" s="8">
        <v>326</v>
      </c>
      <c r="P82" s="8">
        <v>282</v>
      </c>
      <c r="Q82" s="8">
        <v>184</v>
      </c>
      <c r="R82" s="8">
        <v>101</v>
      </c>
      <c r="S82" s="8">
        <v>161</v>
      </c>
      <c r="T82" s="8">
        <v>76</v>
      </c>
      <c r="U82" s="8">
        <v>123</v>
      </c>
      <c r="V82" s="8">
        <v>72</v>
      </c>
      <c r="W82" s="8">
        <v>39</v>
      </c>
      <c r="X82" s="8">
        <v>35</v>
      </c>
      <c r="Y82" s="8">
        <v>101</v>
      </c>
      <c r="Z82" s="8">
        <v>42</v>
      </c>
      <c r="AA82" s="8">
        <v>0</v>
      </c>
      <c r="AB82" s="8">
        <v>0</v>
      </c>
      <c r="AC82" s="19">
        <f t="shared" si="6"/>
        <v>83</v>
      </c>
      <c r="AD82" s="19">
        <f t="shared" si="7"/>
        <v>85</v>
      </c>
      <c r="AE82" s="19">
        <f t="shared" si="8"/>
        <v>51</v>
      </c>
      <c r="AF82" s="19">
        <f t="shared" si="9"/>
        <v>4</v>
      </c>
      <c r="AG82" s="19">
        <f t="shared" si="10"/>
        <v>59</v>
      </c>
      <c r="AH82" s="19">
        <f t="shared" si="11"/>
        <v>0</v>
      </c>
    </row>
    <row r="83" spans="1:34">
      <c r="A83" s="8" t="s">
        <v>163</v>
      </c>
      <c r="B83" s="8" t="s">
        <v>2203</v>
      </c>
      <c r="C83" s="8" t="s">
        <v>5</v>
      </c>
      <c r="D83" s="8" t="s">
        <v>13</v>
      </c>
      <c r="E83" s="8" t="s">
        <v>43</v>
      </c>
      <c r="F83" s="8" t="s">
        <v>5</v>
      </c>
      <c r="G83" s="8" t="s">
        <v>3</v>
      </c>
      <c r="H83" s="8" t="s">
        <v>237</v>
      </c>
      <c r="I83" s="8" t="s">
        <v>56</v>
      </c>
      <c r="J83" s="8" t="s">
        <v>41</v>
      </c>
      <c r="K83" s="8" t="s">
        <v>5696</v>
      </c>
      <c r="L83" s="8" t="s">
        <v>110</v>
      </c>
      <c r="M83" s="11" t="s">
        <v>2141</v>
      </c>
      <c r="N83" s="8">
        <v>32</v>
      </c>
      <c r="O83" s="8">
        <v>23</v>
      </c>
      <c r="P83" s="8">
        <v>9</v>
      </c>
      <c r="Q83" s="8">
        <v>9</v>
      </c>
      <c r="R83" s="8">
        <v>6</v>
      </c>
      <c r="S83" s="8">
        <v>10</v>
      </c>
      <c r="T83" s="8">
        <v>7</v>
      </c>
      <c r="U83" s="8">
        <v>2</v>
      </c>
      <c r="V83" s="8">
        <v>2</v>
      </c>
      <c r="W83" s="8">
        <v>10</v>
      </c>
      <c r="X83" s="8">
        <v>7</v>
      </c>
      <c r="Y83" s="8">
        <v>1</v>
      </c>
      <c r="Z83" s="8">
        <v>1</v>
      </c>
      <c r="AA83" s="8">
        <v>0</v>
      </c>
      <c r="AB83" s="8">
        <v>0</v>
      </c>
      <c r="AC83" s="19">
        <f t="shared" si="6"/>
        <v>3</v>
      </c>
      <c r="AD83" s="19">
        <f t="shared" si="7"/>
        <v>3</v>
      </c>
      <c r="AE83" s="19">
        <f t="shared" si="8"/>
        <v>0</v>
      </c>
      <c r="AF83" s="19">
        <f t="shared" si="9"/>
        <v>3</v>
      </c>
      <c r="AG83" s="19">
        <f t="shared" si="10"/>
        <v>0</v>
      </c>
      <c r="AH83" s="19">
        <f t="shared" si="11"/>
        <v>0</v>
      </c>
    </row>
    <row r="84" spans="1:34">
      <c r="A84" s="8" t="s">
        <v>141</v>
      </c>
      <c r="B84" s="8" t="s">
        <v>2205</v>
      </c>
      <c r="C84" s="8" t="s">
        <v>5</v>
      </c>
      <c r="D84" s="8" t="s">
        <v>8</v>
      </c>
      <c r="E84" s="8" t="s">
        <v>43</v>
      </c>
      <c r="F84" s="8" t="s">
        <v>5</v>
      </c>
      <c r="G84" s="8" t="s">
        <v>6</v>
      </c>
      <c r="H84" s="8" t="s">
        <v>753</v>
      </c>
      <c r="I84" s="8" t="s">
        <v>41</v>
      </c>
      <c r="J84" s="8" t="s">
        <v>41</v>
      </c>
      <c r="K84" s="8" t="s">
        <v>43</v>
      </c>
      <c r="L84" s="8" t="s">
        <v>110</v>
      </c>
      <c r="M84" s="11" t="s">
        <v>2206</v>
      </c>
      <c r="N84" s="8">
        <v>343</v>
      </c>
      <c r="O84" s="8">
        <v>178</v>
      </c>
      <c r="P84" s="8">
        <v>165</v>
      </c>
      <c r="Q84" s="8">
        <v>87</v>
      </c>
      <c r="R84" s="8">
        <v>43</v>
      </c>
      <c r="S84" s="8">
        <v>57</v>
      </c>
      <c r="T84" s="8">
        <v>27</v>
      </c>
      <c r="U84" s="8">
        <v>63</v>
      </c>
      <c r="V84" s="8">
        <v>38</v>
      </c>
      <c r="W84" s="8">
        <v>81</v>
      </c>
      <c r="X84" s="8">
        <v>37</v>
      </c>
      <c r="Y84" s="8">
        <v>55</v>
      </c>
      <c r="Z84" s="8">
        <v>33</v>
      </c>
      <c r="AA84" s="8">
        <v>0</v>
      </c>
      <c r="AB84" s="8">
        <v>0</v>
      </c>
      <c r="AC84" s="19">
        <f t="shared" si="6"/>
        <v>44</v>
      </c>
      <c r="AD84" s="19">
        <f t="shared" si="7"/>
        <v>30</v>
      </c>
      <c r="AE84" s="19">
        <f t="shared" si="8"/>
        <v>25</v>
      </c>
      <c r="AF84" s="19">
        <f t="shared" si="9"/>
        <v>44</v>
      </c>
      <c r="AG84" s="19">
        <f t="shared" si="10"/>
        <v>22</v>
      </c>
      <c r="AH84" s="19">
        <f t="shared" si="11"/>
        <v>0</v>
      </c>
    </row>
    <row r="85" spans="1:34">
      <c r="A85" s="8" t="s">
        <v>164</v>
      </c>
      <c r="B85" s="8" t="s">
        <v>2208</v>
      </c>
      <c r="C85" s="8" t="s">
        <v>5</v>
      </c>
      <c r="D85" s="8" t="s">
        <v>11</v>
      </c>
      <c r="E85" s="8" t="s">
        <v>43</v>
      </c>
      <c r="F85" s="8" t="s">
        <v>7</v>
      </c>
      <c r="G85" s="8" t="s">
        <v>3</v>
      </c>
      <c r="H85" s="8" t="s">
        <v>664</v>
      </c>
      <c r="I85" s="8" t="s">
        <v>41</v>
      </c>
      <c r="J85" s="8" t="s">
        <v>41</v>
      </c>
      <c r="K85" s="8" t="s">
        <v>56</v>
      </c>
      <c r="L85" s="8" t="s">
        <v>110</v>
      </c>
      <c r="M85" s="11" t="s">
        <v>2209</v>
      </c>
      <c r="N85" s="8">
        <v>237</v>
      </c>
      <c r="O85" s="8">
        <v>117</v>
      </c>
      <c r="P85" s="8">
        <v>120</v>
      </c>
      <c r="Q85" s="8">
        <v>51</v>
      </c>
      <c r="R85" s="8">
        <v>26</v>
      </c>
      <c r="S85" s="8">
        <v>40</v>
      </c>
      <c r="T85" s="8">
        <v>21</v>
      </c>
      <c r="U85" s="8">
        <v>64</v>
      </c>
      <c r="V85" s="8">
        <v>31</v>
      </c>
      <c r="W85" s="8">
        <v>53</v>
      </c>
      <c r="X85" s="8">
        <v>26</v>
      </c>
      <c r="Y85" s="8">
        <v>29</v>
      </c>
      <c r="Z85" s="8">
        <v>13</v>
      </c>
      <c r="AA85" s="8">
        <v>0</v>
      </c>
      <c r="AB85" s="8">
        <v>0</v>
      </c>
      <c r="AC85" s="19">
        <f t="shared" si="6"/>
        <v>25</v>
      </c>
      <c r="AD85" s="19">
        <f t="shared" si="7"/>
        <v>19</v>
      </c>
      <c r="AE85" s="19">
        <f t="shared" si="8"/>
        <v>33</v>
      </c>
      <c r="AF85" s="19">
        <f t="shared" si="9"/>
        <v>27</v>
      </c>
      <c r="AG85" s="19">
        <f t="shared" si="10"/>
        <v>16</v>
      </c>
      <c r="AH85" s="19">
        <f t="shared" si="11"/>
        <v>0</v>
      </c>
    </row>
    <row r="86" spans="1:34">
      <c r="A86" s="8" t="s">
        <v>134</v>
      </c>
      <c r="B86" s="8" t="s">
        <v>2212</v>
      </c>
      <c r="C86" s="8" t="s">
        <v>6</v>
      </c>
      <c r="D86" s="8" t="s">
        <v>11</v>
      </c>
      <c r="E86" s="8" t="s">
        <v>43</v>
      </c>
      <c r="F86" s="8" t="s">
        <v>8</v>
      </c>
      <c r="G86" s="8" t="s">
        <v>3</v>
      </c>
      <c r="H86" s="8" t="s">
        <v>54</v>
      </c>
      <c r="I86" s="8" t="s">
        <v>41</v>
      </c>
      <c r="J86" s="8" t="s">
        <v>41</v>
      </c>
      <c r="K86" s="8" t="s">
        <v>56</v>
      </c>
      <c r="L86" s="8" t="s">
        <v>110</v>
      </c>
      <c r="M86" s="11" t="s">
        <v>2213</v>
      </c>
      <c r="N86" s="8">
        <v>178</v>
      </c>
      <c r="O86" s="8">
        <v>115</v>
      </c>
      <c r="P86" s="8">
        <v>63</v>
      </c>
      <c r="Q86" s="8">
        <v>49</v>
      </c>
      <c r="R86" s="8">
        <v>37</v>
      </c>
      <c r="S86" s="8">
        <v>28</v>
      </c>
      <c r="T86" s="8">
        <v>19</v>
      </c>
      <c r="U86" s="8">
        <v>12</v>
      </c>
      <c r="V86" s="8">
        <v>11</v>
      </c>
      <c r="W86" s="8">
        <v>59</v>
      </c>
      <c r="X86" s="8">
        <v>33</v>
      </c>
      <c r="Y86" s="8">
        <v>30</v>
      </c>
      <c r="Z86" s="8">
        <v>15</v>
      </c>
      <c r="AA86" s="8">
        <v>0</v>
      </c>
      <c r="AB86" s="8">
        <v>0</v>
      </c>
      <c r="AC86" s="19">
        <f t="shared" si="6"/>
        <v>12</v>
      </c>
      <c r="AD86" s="19">
        <f t="shared" si="7"/>
        <v>9</v>
      </c>
      <c r="AE86" s="19">
        <f t="shared" si="8"/>
        <v>1</v>
      </c>
      <c r="AF86" s="19">
        <f t="shared" si="9"/>
        <v>26</v>
      </c>
      <c r="AG86" s="19">
        <f t="shared" si="10"/>
        <v>15</v>
      </c>
      <c r="AH86" s="19">
        <f t="shared" si="11"/>
        <v>0</v>
      </c>
    </row>
    <row r="87" spans="1:34">
      <c r="A87" s="8" t="s">
        <v>167</v>
      </c>
      <c r="B87" s="8" t="s">
        <v>2214</v>
      </c>
      <c r="C87" s="8" t="s">
        <v>6</v>
      </c>
      <c r="D87" s="8" t="s">
        <v>8</v>
      </c>
      <c r="E87" s="8" t="s">
        <v>43</v>
      </c>
      <c r="F87" s="8" t="s">
        <v>9</v>
      </c>
      <c r="G87" s="8" t="s">
        <v>3</v>
      </c>
      <c r="H87" s="8" t="s">
        <v>481</v>
      </c>
      <c r="I87" s="8" t="s">
        <v>41</v>
      </c>
      <c r="J87" s="8" t="s">
        <v>41</v>
      </c>
      <c r="K87" s="8" t="s">
        <v>56</v>
      </c>
      <c r="L87" s="8" t="s">
        <v>110</v>
      </c>
      <c r="M87" s="11" t="s">
        <v>2215</v>
      </c>
      <c r="N87" s="8">
        <v>366</v>
      </c>
      <c r="O87" s="8">
        <v>195</v>
      </c>
      <c r="P87" s="8">
        <v>171</v>
      </c>
      <c r="Q87" s="8">
        <v>88</v>
      </c>
      <c r="R87" s="8">
        <v>48</v>
      </c>
      <c r="S87" s="8">
        <v>84</v>
      </c>
      <c r="T87" s="8">
        <v>52</v>
      </c>
      <c r="U87" s="8">
        <v>98</v>
      </c>
      <c r="V87" s="8">
        <v>43</v>
      </c>
      <c r="W87" s="8">
        <v>58</v>
      </c>
      <c r="X87" s="8">
        <v>28</v>
      </c>
      <c r="Y87" s="8">
        <v>38</v>
      </c>
      <c r="Z87" s="8">
        <v>24</v>
      </c>
      <c r="AA87" s="8">
        <v>0</v>
      </c>
      <c r="AB87" s="8">
        <v>0</v>
      </c>
      <c r="AC87" s="19">
        <f t="shared" si="6"/>
        <v>40</v>
      </c>
      <c r="AD87" s="19">
        <f t="shared" si="7"/>
        <v>32</v>
      </c>
      <c r="AE87" s="19">
        <f t="shared" si="8"/>
        <v>55</v>
      </c>
      <c r="AF87" s="19">
        <f t="shared" si="9"/>
        <v>30</v>
      </c>
      <c r="AG87" s="19">
        <f t="shared" si="10"/>
        <v>14</v>
      </c>
      <c r="AH87" s="19">
        <f t="shared" si="11"/>
        <v>0</v>
      </c>
    </row>
    <row r="88" spans="1:34">
      <c r="A88" s="8" t="s">
        <v>144</v>
      </c>
      <c r="B88" s="8" t="s">
        <v>2217</v>
      </c>
      <c r="C88" s="8" t="s">
        <v>5</v>
      </c>
      <c r="D88" s="8" t="s">
        <v>9</v>
      </c>
      <c r="E88" s="8" t="s">
        <v>43</v>
      </c>
      <c r="F88" s="8" t="s">
        <v>11</v>
      </c>
      <c r="G88" s="8" t="s">
        <v>3</v>
      </c>
      <c r="H88" s="8" t="s">
        <v>236</v>
      </c>
      <c r="I88" s="8" t="s">
        <v>41</v>
      </c>
      <c r="J88" s="8" t="s">
        <v>41</v>
      </c>
      <c r="K88" s="8" t="s">
        <v>43</v>
      </c>
      <c r="L88" s="8" t="s">
        <v>110</v>
      </c>
      <c r="M88" s="11" t="s">
        <v>2218</v>
      </c>
      <c r="N88" s="8">
        <v>356</v>
      </c>
      <c r="O88" s="8">
        <v>205</v>
      </c>
      <c r="P88" s="8">
        <v>151</v>
      </c>
      <c r="Q88" s="8">
        <v>75</v>
      </c>
      <c r="R88" s="8">
        <v>34</v>
      </c>
      <c r="S88" s="8">
        <v>98</v>
      </c>
      <c r="T88" s="8">
        <v>51</v>
      </c>
      <c r="U88" s="8">
        <v>70</v>
      </c>
      <c r="V88" s="8">
        <v>48</v>
      </c>
      <c r="W88" s="8">
        <v>68</v>
      </c>
      <c r="X88" s="8">
        <v>34</v>
      </c>
      <c r="Y88" s="8">
        <v>45</v>
      </c>
      <c r="Z88" s="8">
        <v>38</v>
      </c>
      <c r="AA88" s="8">
        <v>0</v>
      </c>
      <c r="AB88" s="8">
        <v>0</v>
      </c>
      <c r="AC88" s="19">
        <f t="shared" si="6"/>
        <v>41</v>
      </c>
      <c r="AD88" s="19">
        <f t="shared" si="7"/>
        <v>47</v>
      </c>
      <c r="AE88" s="19">
        <f t="shared" si="8"/>
        <v>22</v>
      </c>
      <c r="AF88" s="19">
        <f t="shared" si="9"/>
        <v>34</v>
      </c>
      <c r="AG88" s="19">
        <f t="shared" si="10"/>
        <v>7</v>
      </c>
      <c r="AH88" s="19">
        <f t="shared" si="11"/>
        <v>0</v>
      </c>
    </row>
    <row r="89" spans="1:34">
      <c r="A89" s="8" t="s">
        <v>171</v>
      </c>
      <c r="B89" s="8" t="s">
        <v>2221</v>
      </c>
      <c r="C89" s="8" t="s">
        <v>70</v>
      </c>
      <c r="D89" s="8" t="s">
        <v>118</v>
      </c>
      <c r="E89" s="8" t="s">
        <v>43</v>
      </c>
      <c r="F89" s="8" t="s">
        <v>13</v>
      </c>
      <c r="G89" s="8" t="s">
        <v>3</v>
      </c>
      <c r="H89" s="8" t="s">
        <v>712</v>
      </c>
      <c r="I89" s="8" t="s">
        <v>56</v>
      </c>
      <c r="J89" s="8" t="s">
        <v>41</v>
      </c>
      <c r="K89" s="8" t="s">
        <v>5696</v>
      </c>
      <c r="L89" s="8" t="s">
        <v>110</v>
      </c>
      <c r="M89" s="11" t="s">
        <v>3478</v>
      </c>
      <c r="N89" s="8">
        <v>82</v>
      </c>
      <c r="O89" s="8">
        <v>40</v>
      </c>
      <c r="P89" s="8">
        <v>42</v>
      </c>
      <c r="Q89" s="8">
        <v>31</v>
      </c>
      <c r="R89" s="8">
        <v>15</v>
      </c>
      <c r="S89" s="8">
        <v>16</v>
      </c>
      <c r="T89" s="8">
        <v>8</v>
      </c>
      <c r="U89" s="8">
        <v>19</v>
      </c>
      <c r="V89" s="8">
        <v>10</v>
      </c>
      <c r="W89" s="8">
        <v>9</v>
      </c>
      <c r="X89" s="8">
        <v>3</v>
      </c>
      <c r="Y89" s="8">
        <v>7</v>
      </c>
      <c r="Z89" s="8">
        <v>4</v>
      </c>
      <c r="AA89" s="8">
        <v>0</v>
      </c>
      <c r="AB89" s="8">
        <v>0</v>
      </c>
      <c r="AC89" s="19">
        <f t="shared" si="6"/>
        <v>16</v>
      </c>
      <c r="AD89" s="19">
        <f t="shared" si="7"/>
        <v>8</v>
      </c>
      <c r="AE89" s="19">
        <f t="shared" si="8"/>
        <v>9</v>
      </c>
      <c r="AF89" s="19">
        <f t="shared" si="9"/>
        <v>6</v>
      </c>
      <c r="AG89" s="19">
        <f t="shared" si="10"/>
        <v>3</v>
      </c>
      <c r="AH89" s="19">
        <f t="shared" si="11"/>
        <v>0</v>
      </c>
    </row>
    <row r="90" spans="1:34">
      <c r="A90" s="8" t="s">
        <v>174</v>
      </c>
      <c r="B90" s="8" t="s">
        <v>2222</v>
      </c>
      <c r="C90" s="8" t="s">
        <v>70</v>
      </c>
      <c r="D90" s="8" t="s">
        <v>5</v>
      </c>
      <c r="E90" s="8" t="s">
        <v>43</v>
      </c>
      <c r="F90" s="8" t="s">
        <v>13</v>
      </c>
      <c r="G90" s="8" t="s">
        <v>3</v>
      </c>
      <c r="H90" s="8" t="s">
        <v>629</v>
      </c>
      <c r="I90" s="8" t="s">
        <v>41</v>
      </c>
      <c r="J90" s="8" t="s">
        <v>41</v>
      </c>
      <c r="K90" s="8" t="s">
        <v>43</v>
      </c>
      <c r="L90" s="8" t="s">
        <v>110</v>
      </c>
      <c r="M90" s="11" t="s">
        <v>2223</v>
      </c>
      <c r="N90" s="8">
        <v>472</v>
      </c>
      <c r="O90" s="8">
        <v>274</v>
      </c>
      <c r="P90" s="8">
        <v>198</v>
      </c>
      <c r="Q90" s="8">
        <v>96</v>
      </c>
      <c r="R90" s="8">
        <v>54</v>
      </c>
      <c r="S90" s="8">
        <v>72</v>
      </c>
      <c r="T90" s="8">
        <v>52</v>
      </c>
      <c r="U90" s="8">
        <v>119</v>
      </c>
      <c r="V90" s="8">
        <v>71</v>
      </c>
      <c r="W90" s="8">
        <v>115</v>
      </c>
      <c r="X90" s="8">
        <v>62</v>
      </c>
      <c r="Y90" s="8">
        <v>70</v>
      </c>
      <c r="Z90" s="8">
        <v>35</v>
      </c>
      <c r="AA90" s="8">
        <v>0</v>
      </c>
      <c r="AB90" s="8">
        <v>0</v>
      </c>
      <c r="AC90" s="19">
        <f t="shared" si="6"/>
        <v>42</v>
      </c>
      <c r="AD90" s="19">
        <f t="shared" si="7"/>
        <v>20</v>
      </c>
      <c r="AE90" s="19">
        <f t="shared" si="8"/>
        <v>48</v>
      </c>
      <c r="AF90" s="19">
        <f t="shared" si="9"/>
        <v>53</v>
      </c>
      <c r="AG90" s="19">
        <f t="shared" si="10"/>
        <v>35</v>
      </c>
      <c r="AH90" s="19">
        <f t="shared" si="11"/>
        <v>0</v>
      </c>
    </row>
    <row r="91" spans="1:34">
      <c r="A91" s="8" t="s">
        <v>1124</v>
      </c>
      <c r="B91" s="8" t="s">
        <v>2225</v>
      </c>
      <c r="C91" s="8" t="s">
        <v>6</v>
      </c>
      <c r="D91" s="8" t="s">
        <v>9</v>
      </c>
      <c r="E91" s="8" t="s">
        <v>43</v>
      </c>
      <c r="F91" s="8" t="s">
        <v>16</v>
      </c>
      <c r="G91" s="8" t="s">
        <v>3</v>
      </c>
      <c r="H91" s="8" t="s">
        <v>2227</v>
      </c>
      <c r="I91" s="8" t="s">
        <v>41</v>
      </c>
      <c r="J91" s="8" t="s">
        <v>41</v>
      </c>
      <c r="K91" s="8" t="s">
        <v>43</v>
      </c>
      <c r="L91" s="8" t="s">
        <v>110</v>
      </c>
      <c r="M91" s="11" t="s">
        <v>2226</v>
      </c>
      <c r="N91" s="8">
        <v>79</v>
      </c>
      <c r="O91" s="8">
        <v>48</v>
      </c>
      <c r="P91" s="8">
        <v>31</v>
      </c>
      <c r="Q91" s="8">
        <v>14</v>
      </c>
      <c r="R91" s="8">
        <v>10</v>
      </c>
      <c r="S91" s="8">
        <v>21</v>
      </c>
      <c r="T91" s="8">
        <v>15</v>
      </c>
      <c r="U91" s="8">
        <v>12</v>
      </c>
      <c r="V91" s="8">
        <v>6</v>
      </c>
      <c r="W91" s="8">
        <v>22</v>
      </c>
      <c r="X91" s="8">
        <v>13</v>
      </c>
      <c r="Y91" s="8">
        <v>10</v>
      </c>
      <c r="Z91" s="8">
        <v>4</v>
      </c>
      <c r="AA91" s="8">
        <v>0</v>
      </c>
      <c r="AB91" s="8">
        <v>0</v>
      </c>
      <c r="AC91" s="19">
        <f t="shared" si="6"/>
        <v>4</v>
      </c>
      <c r="AD91" s="19">
        <f t="shared" si="7"/>
        <v>6</v>
      </c>
      <c r="AE91" s="19">
        <f t="shared" si="8"/>
        <v>6</v>
      </c>
      <c r="AF91" s="19">
        <f t="shared" si="9"/>
        <v>9</v>
      </c>
      <c r="AG91" s="19">
        <f t="shared" si="10"/>
        <v>6</v>
      </c>
      <c r="AH91" s="19">
        <f t="shared" si="11"/>
        <v>0</v>
      </c>
    </row>
    <row r="92" spans="1:34">
      <c r="A92" s="8" t="s">
        <v>154</v>
      </c>
      <c r="B92" s="8" t="s">
        <v>2229</v>
      </c>
      <c r="C92" s="8" t="s">
        <v>7</v>
      </c>
      <c r="D92" s="8" t="s">
        <v>3</v>
      </c>
      <c r="E92" s="8" t="s">
        <v>56</v>
      </c>
      <c r="F92" s="8" t="s">
        <v>3</v>
      </c>
      <c r="G92" s="8" t="s">
        <v>3</v>
      </c>
      <c r="H92" s="8" t="s">
        <v>707</v>
      </c>
      <c r="I92" s="8" t="s">
        <v>56</v>
      </c>
      <c r="J92" s="8" t="s">
        <v>41</v>
      </c>
      <c r="K92" s="8" t="s">
        <v>5696</v>
      </c>
      <c r="L92" s="8" t="s">
        <v>110</v>
      </c>
      <c r="M92" s="11" t="s">
        <v>2230</v>
      </c>
      <c r="N92" s="8">
        <v>142</v>
      </c>
      <c r="O92" s="8">
        <v>76</v>
      </c>
      <c r="P92" s="8">
        <v>66</v>
      </c>
      <c r="Q92" s="8">
        <v>23</v>
      </c>
      <c r="R92" s="8">
        <v>14</v>
      </c>
      <c r="S92" s="8">
        <v>26</v>
      </c>
      <c r="T92" s="8">
        <v>20</v>
      </c>
      <c r="U92" s="8">
        <v>47</v>
      </c>
      <c r="V92" s="8">
        <v>17</v>
      </c>
      <c r="W92" s="8">
        <v>46</v>
      </c>
      <c r="X92" s="8">
        <v>25</v>
      </c>
      <c r="Y92" s="8">
        <v>0</v>
      </c>
      <c r="Z92" s="8">
        <v>0</v>
      </c>
      <c r="AA92" s="8">
        <v>0</v>
      </c>
      <c r="AB92" s="8">
        <v>0</v>
      </c>
      <c r="AC92" s="19">
        <f t="shared" si="6"/>
        <v>9</v>
      </c>
      <c r="AD92" s="19">
        <f t="shared" si="7"/>
        <v>6</v>
      </c>
      <c r="AE92" s="19">
        <f t="shared" si="8"/>
        <v>30</v>
      </c>
      <c r="AF92" s="19">
        <f t="shared" si="9"/>
        <v>21</v>
      </c>
      <c r="AG92" s="19">
        <f t="shared" si="10"/>
        <v>0</v>
      </c>
      <c r="AH92" s="19">
        <f t="shared" si="11"/>
        <v>0</v>
      </c>
    </row>
    <row r="93" spans="1:34">
      <c r="A93" s="8" t="s">
        <v>159</v>
      </c>
      <c r="B93" s="8" t="s">
        <v>2231</v>
      </c>
      <c r="C93" s="8" t="s">
        <v>7</v>
      </c>
      <c r="D93" s="8" t="s">
        <v>3</v>
      </c>
      <c r="E93" s="8" t="s">
        <v>56</v>
      </c>
      <c r="F93" s="8" t="s">
        <v>3</v>
      </c>
      <c r="G93" s="8" t="s">
        <v>4</v>
      </c>
      <c r="H93" s="8" t="s">
        <v>707</v>
      </c>
      <c r="I93" s="8" t="s">
        <v>41</v>
      </c>
      <c r="J93" s="8" t="s">
        <v>41</v>
      </c>
      <c r="K93" s="8" t="s">
        <v>43</v>
      </c>
      <c r="L93" s="8" t="s">
        <v>110</v>
      </c>
      <c r="M93" s="11" t="s">
        <v>2232</v>
      </c>
      <c r="N93" s="8">
        <v>282</v>
      </c>
      <c r="O93" s="8">
        <v>133</v>
      </c>
      <c r="P93" s="8">
        <v>149</v>
      </c>
      <c r="Q93" s="8">
        <v>50</v>
      </c>
      <c r="R93" s="8">
        <v>25</v>
      </c>
      <c r="S93" s="8">
        <v>78</v>
      </c>
      <c r="T93" s="8">
        <v>31</v>
      </c>
      <c r="U93" s="8">
        <v>58</v>
      </c>
      <c r="V93" s="8">
        <v>33</v>
      </c>
      <c r="W93" s="8">
        <v>59</v>
      </c>
      <c r="X93" s="8">
        <v>25</v>
      </c>
      <c r="Y93" s="8">
        <v>37</v>
      </c>
      <c r="Z93" s="8">
        <v>19</v>
      </c>
      <c r="AA93" s="8">
        <v>0</v>
      </c>
      <c r="AB93" s="8">
        <v>0</v>
      </c>
      <c r="AC93" s="19">
        <f t="shared" si="6"/>
        <v>25</v>
      </c>
      <c r="AD93" s="19">
        <f t="shared" si="7"/>
        <v>47</v>
      </c>
      <c r="AE93" s="19">
        <f t="shared" si="8"/>
        <v>25</v>
      </c>
      <c r="AF93" s="19">
        <f t="shared" si="9"/>
        <v>34</v>
      </c>
      <c r="AG93" s="19">
        <f t="shared" si="10"/>
        <v>18</v>
      </c>
      <c r="AH93" s="19">
        <f t="shared" si="11"/>
        <v>0</v>
      </c>
    </row>
    <row r="94" spans="1:34">
      <c r="A94" s="8" t="s">
        <v>188</v>
      </c>
      <c r="B94" s="8" t="s">
        <v>2234</v>
      </c>
      <c r="C94" s="8" t="s">
        <v>7</v>
      </c>
      <c r="D94" s="8" t="s">
        <v>3</v>
      </c>
      <c r="E94" s="8" t="s">
        <v>56</v>
      </c>
      <c r="F94" s="8" t="s">
        <v>3</v>
      </c>
      <c r="G94" s="8" t="s">
        <v>3</v>
      </c>
      <c r="H94" s="8" t="s">
        <v>60</v>
      </c>
      <c r="I94" s="8" t="s">
        <v>41</v>
      </c>
      <c r="J94" s="8" t="s">
        <v>41</v>
      </c>
      <c r="K94" s="8" t="s">
        <v>56</v>
      </c>
      <c r="L94" s="8" t="s">
        <v>110</v>
      </c>
      <c r="M94" s="11" t="s">
        <v>2235</v>
      </c>
      <c r="N94" s="8">
        <v>454</v>
      </c>
      <c r="O94" s="8">
        <v>240</v>
      </c>
      <c r="P94" s="8">
        <v>214</v>
      </c>
      <c r="Q94" s="8">
        <v>84</v>
      </c>
      <c r="R94" s="8">
        <v>36</v>
      </c>
      <c r="S94" s="8">
        <v>97</v>
      </c>
      <c r="T94" s="8">
        <v>48</v>
      </c>
      <c r="U94" s="8">
        <v>93</v>
      </c>
      <c r="V94" s="8">
        <v>58</v>
      </c>
      <c r="W94" s="8">
        <v>111</v>
      </c>
      <c r="X94" s="8">
        <v>56</v>
      </c>
      <c r="Y94" s="8">
        <v>69</v>
      </c>
      <c r="Z94" s="8">
        <v>42</v>
      </c>
      <c r="AA94" s="8">
        <v>0</v>
      </c>
      <c r="AB94" s="8">
        <v>0</v>
      </c>
      <c r="AC94" s="19">
        <f t="shared" si="6"/>
        <v>48</v>
      </c>
      <c r="AD94" s="19">
        <f t="shared" si="7"/>
        <v>49</v>
      </c>
      <c r="AE94" s="19">
        <f t="shared" si="8"/>
        <v>35</v>
      </c>
      <c r="AF94" s="19">
        <f t="shared" si="9"/>
        <v>55</v>
      </c>
      <c r="AG94" s="19">
        <f t="shared" si="10"/>
        <v>27</v>
      </c>
      <c r="AH94" s="19">
        <f t="shared" si="11"/>
        <v>0</v>
      </c>
    </row>
    <row r="95" spans="1:34">
      <c r="A95" s="8" t="s">
        <v>1724</v>
      </c>
      <c r="B95" s="8" t="s">
        <v>2236</v>
      </c>
      <c r="C95" s="8" t="s">
        <v>7</v>
      </c>
      <c r="D95" s="8" t="s">
        <v>4</v>
      </c>
      <c r="E95" s="8" t="s">
        <v>56</v>
      </c>
      <c r="F95" s="8" t="s">
        <v>3</v>
      </c>
      <c r="G95" s="8" t="s">
        <v>4</v>
      </c>
      <c r="H95" s="8" t="s">
        <v>2238</v>
      </c>
      <c r="I95" s="8" t="s">
        <v>41</v>
      </c>
      <c r="J95" s="8" t="s">
        <v>41</v>
      </c>
      <c r="K95" s="8" t="s">
        <v>56</v>
      </c>
      <c r="L95" s="8" t="s">
        <v>110</v>
      </c>
      <c r="M95" s="11" t="s">
        <v>2237</v>
      </c>
      <c r="N95" s="8">
        <v>462</v>
      </c>
      <c r="O95" s="8">
        <v>236</v>
      </c>
      <c r="P95" s="8">
        <v>226</v>
      </c>
      <c r="Q95" s="8">
        <v>94</v>
      </c>
      <c r="R95" s="8">
        <v>45</v>
      </c>
      <c r="S95" s="8">
        <v>51</v>
      </c>
      <c r="T95" s="8">
        <v>26</v>
      </c>
      <c r="U95" s="8">
        <v>82</v>
      </c>
      <c r="V95" s="8">
        <v>45</v>
      </c>
      <c r="W95" s="8">
        <v>111</v>
      </c>
      <c r="X95" s="8">
        <v>60</v>
      </c>
      <c r="Y95" s="8">
        <v>124</v>
      </c>
      <c r="Z95" s="8">
        <v>60</v>
      </c>
      <c r="AA95" s="8">
        <v>0</v>
      </c>
      <c r="AB95" s="8">
        <v>0</v>
      </c>
      <c r="AC95" s="19">
        <f t="shared" si="6"/>
        <v>49</v>
      </c>
      <c r="AD95" s="19">
        <f t="shared" si="7"/>
        <v>25</v>
      </c>
      <c r="AE95" s="19">
        <f t="shared" si="8"/>
        <v>37</v>
      </c>
      <c r="AF95" s="19">
        <f t="shared" si="9"/>
        <v>51</v>
      </c>
      <c r="AG95" s="19">
        <f t="shared" si="10"/>
        <v>64</v>
      </c>
      <c r="AH95" s="19">
        <f t="shared" si="11"/>
        <v>0</v>
      </c>
    </row>
    <row r="96" spans="1:34">
      <c r="A96" s="8" t="s">
        <v>1735</v>
      </c>
      <c r="B96" s="8" t="s">
        <v>2240</v>
      </c>
      <c r="C96" s="8" t="s">
        <v>7</v>
      </c>
      <c r="D96" s="8" t="s">
        <v>4</v>
      </c>
      <c r="E96" s="8" t="s">
        <v>56</v>
      </c>
      <c r="F96" s="8" t="s">
        <v>3</v>
      </c>
      <c r="G96" s="8" t="s">
        <v>6</v>
      </c>
      <c r="H96" s="8" t="s">
        <v>756</v>
      </c>
      <c r="I96" s="8" t="s">
        <v>56</v>
      </c>
      <c r="J96" s="8" t="s">
        <v>41</v>
      </c>
      <c r="K96" s="8" t="s">
        <v>5696</v>
      </c>
      <c r="L96" s="8" t="s">
        <v>110</v>
      </c>
      <c r="M96" s="11" t="s">
        <v>2241</v>
      </c>
      <c r="N96" s="8">
        <v>91</v>
      </c>
      <c r="O96" s="8">
        <v>49</v>
      </c>
      <c r="P96" s="8">
        <v>42</v>
      </c>
      <c r="Q96" s="8">
        <v>22</v>
      </c>
      <c r="R96" s="8">
        <v>12</v>
      </c>
      <c r="S96" s="8">
        <v>22</v>
      </c>
      <c r="T96" s="8">
        <v>12</v>
      </c>
      <c r="U96" s="8">
        <v>14</v>
      </c>
      <c r="V96" s="8">
        <v>9</v>
      </c>
      <c r="W96" s="8">
        <v>33</v>
      </c>
      <c r="X96" s="8">
        <v>16</v>
      </c>
      <c r="Y96" s="8">
        <v>0</v>
      </c>
      <c r="Z96" s="8">
        <v>0</v>
      </c>
      <c r="AA96" s="8">
        <v>0</v>
      </c>
      <c r="AB96" s="8">
        <v>0</v>
      </c>
      <c r="AC96" s="19">
        <f t="shared" si="6"/>
        <v>10</v>
      </c>
      <c r="AD96" s="19">
        <f t="shared" si="7"/>
        <v>10</v>
      </c>
      <c r="AE96" s="19">
        <f t="shared" si="8"/>
        <v>5</v>
      </c>
      <c r="AF96" s="19">
        <f t="shared" si="9"/>
        <v>17</v>
      </c>
      <c r="AG96" s="19">
        <f t="shared" si="10"/>
        <v>0</v>
      </c>
      <c r="AH96" s="19">
        <f t="shared" si="11"/>
        <v>0</v>
      </c>
    </row>
    <row r="97" spans="1:34">
      <c r="A97" s="8" t="s">
        <v>153</v>
      </c>
      <c r="B97" s="8" t="s">
        <v>2243</v>
      </c>
      <c r="C97" s="8" t="s">
        <v>7</v>
      </c>
      <c r="D97" s="8" t="s">
        <v>7</v>
      </c>
      <c r="E97" s="8" t="s">
        <v>56</v>
      </c>
      <c r="F97" s="8" t="s">
        <v>4</v>
      </c>
      <c r="G97" s="8" t="s">
        <v>3</v>
      </c>
      <c r="H97" s="8" t="s">
        <v>132</v>
      </c>
      <c r="I97" s="8" t="s">
        <v>41</v>
      </c>
      <c r="J97" s="8" t="s">
        <v>41</v>
      </c>
      <c r="K97" s="8" t="s">
        <v>56</v>
      </c>
      <c r="L97" s="8" t="s">
        <v>110</v>
      </c>
      <c r="M97" s="11" t="s">
        <v>2244</v>
      </c>
      <c r="N97" s="8">
        <v>873</v>
      </c>
      <c r="O97" s="8">
        <v>482</v>
      </c>
      <c r="P97" s="8">
        <v>391</v>
      </c>
      <c r="Q97" s="8">
        <v>214</v>
      </c>
      <c r="R97" s="8">
        <v>91</v>
      </c>
      <c r="S97" s="8">
        <v>190</v>
      </c>
      <c r="T97" s="8">
        <v>104</v>
      </c>
      <c r="U97" s="8">
        <v>193</v>
      </c>
      <c r="V97" s="8">
        <v>111</v>
      </c>
      <c r="W97" s="8">
        <v>175</v>
      </c>
      <c r="X97" s="8">
        <v>108</v>
      </c>
      <c r="Y97" s="8">
        <v>101</v>
      </c>
      <c r="Z97" s="8">
        <v>68</v>
      </c>
      <c r="AA97" s="8">
        <v>0</v>
      </c>
      <c r="AB97" s="8">
        <v>0</v>
      </c>
      <c r="AC97" s="19">
        <f t="shared" si="6"/>
        <v>123</v>
      </c>
      <c r="AD97" s="19">
        <f t="shared" si="7"/>
        <v>86</v>
      </c>
      <c r="AE97" s="19">
        <f t="shared" si="8"/>
        <v>82</v>
      </c>
      <c r="AF97" s="19">
        <f t="shared" si="9"/>
        <v>67</v>
      </c>
      <c r="AG97" s="19">
        <f t="shared" si="10"/>
        <v>33</v>
      </c>
      <c r="AH97" s="19">
        <f t="shared" si="11"/>
        <v>0</v>
      </c>
    </row>
    <row r="98" spans="1:34">
      <c r="A98" s="8" t="s">
        <v>1152</v>
      </c>
      <c r="B98" s="8" t="s">
        <v>2245</v>
      </c>
      <c r="C98" s="8" t="s">
        <v>8</v>
      </c>
      <c r="D98" s="8" t="s">
        <v>3</v>
      </c>
      <c r="E98" s="8" t="s">
        <v>56</v>
      </c>
      <c r="F98" s="8" t="s">
        <v>6</v>
      </c>
      <c r="G98" s="8" t="s">
        <v>3</v>
      </c>
      <c r="H98" s="8" t="s">
        <v>769</v>
      </c>
      <c r="I98" s="8" t="s">
        <v>41</v>
      </c>
      <c r="J98" s="8" t="s">
        <v>41</v>
      </c>
      <c r="K98" s="8" t="s">
        <v>41</v>
      </c>
      <c r="L98" s="8" t="s">
        <v>110</v>
      </c>
      <c r="M98" s="11" t="s">
        <v>2246</v>
      </c>
      <c r="N98" s="8">
        <v>81</v>
      </c>
      <c r="O98" s="8">
        <v>48</v>
      </c>
      <c r="P98" s="8">
        <v>33</v>
      </c>
      <c r="Q98" s="8">
        <v>17</v>
      </c>
      <c r="R98" s="8">
        <v>11</v>
      </c>
      <c r="S98" s="8">
        <v>16</v>
      </c>
      <c r="T98" s="8">
        <v>12</v>
      </c>
      <c r="U98" s="8">
        <v>16</v>
      </c>
      <c r="V98" s="8">
        <v>8</v>
      </c>
      <c r="W98" s="8">
        <v>20</v>
      </c>
      <c r="X98" s="8">
        <v>13</v>
      </c>
      <c r="Y98" s="8">
        <v>12</v>
      </c>
      <c r="Z98" s="8">
        <v>4</v>
      </c>
      <c r="AA98" s="8">
        <v>0</v>
      </c>
      <c r="AB98" s="8">
        <v>0</v>
      </c>
      <c r="AC98" s="19">
        <f t="shared" si="6"/>
        <v>6</v>
      </c>
      <c r="AD98" s="19">
        <f t="shared" si="7"/>
        <v>4</v>
      </c>
      <c r="AE98" s="19">
        <f t="shared" si="8"/>
        <v>8</v>
      </c>
      <c r="AF98" s="19">
        <f t="shared" si="9"/>
        <v>7</v>
      </c>
      <c r="AG98" s="19">
        <f t="shared" si="10"/>
        <v>8</v>
      </c>
      <c r="AH98" s="19">
        <f t="shared" si="11"/>
        <v>0</v>
      </c>
    </row>
    <row r="99" spans="1:34">
      <c r="A99" s="8" t="s">
        <v>1153</v>
      </c>
      <c r="B99" s="8" t="s">
        <v>2248</v>
      </c>
      <c r="C99" s="8" t="s">
        <v>8</v>
      </c>
      <c r="D99" s="8" t="s">
        <v>4</v>
      </c>
      <c r="E99" s="8" t="s">
        <v>56</v>
      </c>
      <c r="F99" s="8" t="s">
        <v>7</v>
      </c>
      <c r="G99" s="8" t="s">
        <v>3</v>
      </c>
      <c r="H99" s="8" t="s">
        <v>861</v>
      </c>
      <c r="I99" s="8" t="s">
        <v>41</v>
      </c>
      <c r="J99" s="8" t="s">
        <v>41</v>
      </c>
      <c r="K99" s="8" t="s">
        <v>43</v>
      </c>
      <c r="L99" s="8" t="s">
        <v>110</v>
      </c>
      <c r="M99" s="11" t="s">
        <v>2249</v>
      </c>
      <c r="N99" s="8">
        <v>442</v>
      </c>
      <c r="O99" s="8">
        <v>260</v>
      </c>
      <c r="P99" s="8">
        <v>182</v>
      </c>
      <c r="Q99" s="8">
        <v>107</v>
      </c>
      <c r="R99" s="8">
        <v>55</v>
      </c>
      <c r="S99" s="8">
        <v>86</v>
      </c>
      <c r="T99" s="8">
        <v>43</v>
      </c>
      <c r="U99" s="8">
        <v>64</v>
      </c>
      <c r="V99" s="8">
        <v>40</v>
      </c>
      <c r="W99" s="8">
        <v>126</v>
      </c>
      <c r="X99" s="8">
        <v>79</v>
      </c>
      <c r="Y99" s="8">
        <v>59</v>
      </c>
      <c r="Z99" s="8">
        <v>43</v>
      </c>
      <c r="AA99" s="8">
        <v>0</v>
      </c>
      <c r="AB99" s="8">
        <v>0</v>
      </c>
      <c r="AC99" s="19">
        <f t="shared" si="6"/>
        <v>52</v>
      </c>
      <c r="AD99" s="19">
        <f t="shared" si="7"/>
        <v>43</v>
      </c>
      <c r="AE99" s="19">
        <f t="shared" si="8"/>
        <v>24</v>
      </c>
      <c r="AF99" s="19">
        <f t="shared" si="9"/>
        <v>47</v>
      </c>
      <c r="AG99" s="19">
        <f t="shared" si="10"/>
        <v>16</v>
      </c>
      <c r="AH99" s="19">
        <f t="shared" si="11"/>
        <v>0</v>
      </c>
    </row>
    <row r="100" spans="1:34">
      <c r="A100" s="8" t="s">
        <v>1135</v>
      </c>
      <c r="B100" s="8" t="s">
        <v>2251</v>
      </c>
      <c r="C100" s="8" t="s">
        <v>7</v>
      </c>
      <c r="D100" s="8" t="s">
        <v>6</v>
      </c>
      <c r="E100" s="8" t="s">
        <v>56</v>
      </c>
      <c r="F100" s="8" t="s">
        <v>9</v>
      </c>
      <c r="G100" s="8" t="s">
        <v>3</v>
      </c>
      <c r="H100" s="8" t="s">
        <v>224</v>
      </c>
      <c r="I100" s="8" t="s">
        <v>41</v>
      </c>
      <c r="J100" s="8" t="s">
        <v>41</v>
      </c>
      <c r="K100" s="8" t="s">
        <v>43</v>
      </c>
      <c r="L100" s="8" t="s">
        <v>110</v>
      </c>
      <c r="M100" s="11" t="s">
        <v>2252</v>
      </c>
      <c r="N100" s="8">
        <v>366</v>
      </c>
      <c r="O100" s="8">
        <v>211</v>
      </c>
      <c r="P100" s="8">
        <v>155</v>
      </c>
      <c r="Q100" s="8">
        <v>78</v>
      </c>
      <c r="R100" s="8">
        <v>48</v>
      </c>
      <c r="S100" s="8">
        <v>126</v>
      </c>
      <c r="T100" s="8">
        <v>67</v>
      </c>
      <c r="U100" s="8">
        <v>60</v>
      </c>
      <c r="V100" s="8">
        <v>38</v>
      </c>
      <c r="W100" s="8">
        <v>79</v>
      </c>
      <c r="X100" s="8">
        <v>44</v>
      </c>
      <c r="Y100" s="8">
        <v>23</v>
      </c>
      <c r="Z100" s="8">
        <v>14</v>
      </c>
      <c r="AA100" s="8">
        <v>0</v>
      </c>
      <c r="AB100" s="8">
        <v>0</v>
      </c>
      <c r="AC100" s="19">
        <f t="shared" si="6"/>
        <v>30</v>
      </c>
      <c r="AD100" s="19">
        <f t="shared" si="7"/>
        <v>59</v>
      </c>
      <c r="AE100" s="19">
        <f t="shared" si="8"/>
        <v>22</v>
      </c>
      <c r="AF100" s="19">
        <f t="shared" si="9"/>
        <v>35</v>
      </c>
      <c r="AG100" s="19">
        <f t="shared" si="10"/>
        <v>9</v>
      </c>
      <c r="AH100" s="19">
        <f t="shared" si="11"/>
        <v>0</v>
      </c>
    </row>
    <row r="101" spans="1:34">
      <c r="A101" s="8" t="s">
        <v>1128</v>
      </c>
      <c r="B101" s="8" t="s">
        <v>2253</v>
      </c>
      <c r="C101" s="8" t="s">
        <v>7</v>
      </c>
      <c r="D101" s="8" t="s">
        <v>5</v>
      </c>
      <c r="E101" s="8" t="s">
        <v>56</v>
      </c>
      <c r="F101" s="8" t="s">
        <v>11</v>
      </c>
      <c r="G101" s="8" t="s">
        <v>3</v>
      </c>
      <c r="H101" s="8" t="s">
        <v>760</v>
      </c>
      <c r="I101" s="8" t="s">
        <v>41</v>
      </c>
      <c r="J101" s="8" t="s">
        <v>41</v>
      </c>
      <c r="K101" s="8" t="s">
        <v>56</v>
      </c>
      <c r="L101" s="8" t="s">
        <v>110</v>
      </c>
      <c r="M101" s="11" t="s">
        <v>2254</v>
      </c>
      <c r="N101" s="8">
        <v>748</v>
      </c>
      <c r="O101" s="8">
        <v>426</v>
      </c>
      <c r="P101" s="8">
        <v>322</v>
      </c>
      <c r="Q101" s="8">
        <v>162</v>
      </c>
      <c r="R101" s="8">
        <v>87</v>
      </c>
      <c r="S101" s="8">
        <v>165</v>
      </c>
      <c r="T101" s="8">
        <v>92</v>
      </c>
      <c r="U101" s="8">
        <v>149</v>
      </c>
      <c r="V101" s="8">
        <v>91</v>
      </c>
      <c r="W101" s="8">
        <v>145</v>
      </c>
      <c r="X101" s="8">
        <v>81</v>
      </c>
      <c r="Y101" s="8">
        <v>127</v>
      </c>
      <c r="Z101" s="8">
        <v>75</v>
      </c>
      <c r="AA101" s="8">
        <v>0</v>
      </c>
      <c r="AB101" s="8">
        <v>0</v>
      </c>
      <c r="AC101" s="19">
        <f t="shared" si="6"/>
        <v>75</v>
      </c>
      <c r="AD101" s="19">
        <f t="shared" si="7"/>
        <v>73</v>
      </c>
      <c r="AE101" s="19">
        <f t="shared" si="8"/>
        <v>58</v>
      </c>
      <c r="AF101" s="19">
        <f t="shared" si="9"/>
        <v>64</v>
      </c>
      <c r="AG101" s="19">
        <f t="shared" si="10"/>
        <v>52</v>
      </c>
      <c r="AH101" s="19">
        <f t="shared" si="11"/>
        <v>0</v>
      </c>
    </row>
    <row r="102" spans="1:34">
      <c r="A102" s="8" t="s">
        <v>1131</v>
      </c>
      <c r="B102" s="8" t="s">
        <v>1992</v>
      </c>
      <c r="C102" s="8" t="s">
        <v>9</v>
      </c>
      <c r="D102" s="8" t="s">
        <v>3</v>
      </c>
      <c r="E102" s="8" t="s">
        <v>110</v>
      </c>
      <c r="F102" s="8" t="s">
        <v>3</v>
      </c>
      <c r="G102" s="8" t="s">
        <v>3</v>
      </c>
      <c r="H102" s="8" t="s">
        <v>54</v>
      </c>
      <c r="I102" s="8" t="s">
        <v>43</v>
      </c>
      <c r="J102" s="8" t="s">
        <v>41</v>
      </c>
      <c r="K102" s="8" t="s">
        <v>5696</v>
      </c>
      <c r="L102" s="8" t="s">
        <v>110</v>
      </c>
      <c r="M102" s="11" t="s">
        <v>3973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19">
        <f t="shared" si="6"/>
        <v>0</v>
      </c>
      <c r="AD102" s="19">
        <f t="shared" si="7"/>
        <v>0</v>
      </c>
      <c r="AE102" s="19">
        <f t="shared" si="8"/>
        <v>0</v>
      </c>
      <c r="AF102" s="19">
        <f t="shared" si="9"/>
        <v>0</v>
      </c>
      <c r="AG102" s="19">
        <f t="shared" si="10"/>
        <v>0</v>
      </c>
      <c r="AH102" s="19">
        <f t="shared" si="11"/>
        <v>0</v>
      </c>
    </row>
    <row r="103" spans="1:34">
      <c r="A103" s="8" t="s">
        <v>1129</v>
      </c>
      <c r="B103" s="8" t="s">
        <v>2256</v>
      </c>
      <c r="C103" s="8" t="s">
        <v>9</v>
      </c>
      <c r="D103" s="8" t="s">
        <v>3</v>
      </c>
      <c r="E103" s="8" t="s">
        <v>110</v>
      </c>
      <c r="F103" s="8" t="s">
        <v>3</v>
      </c>
      <c r="G103" s="8" t="s">
        <v>5</v>
      </c>
      <c r="H103" s="8" t="s">
        <v>774</v>
      </c>
      <c r="I103" s="8" t="s">
        <v>41</v>
      </c>
      <c r="J103" s="8" t="s">
        <v>41</v>
      </c>
      <c r="K103" s="8" t="s">
        <v>5696</v>
      </c>
      <c r="L103" s="8" t="s">
        <v>110</v>
      </c>
      <c r="M103" s="11" t="s">
        <v>5552</v>
      </c>
      <c r="N103" s="8">
        <v>221</v>
      </c>
      <c r="O103" s="8">
        <v>123</v>
      </c>
      <c r="P103" s="8">
        <v>98</v>
      </c>
      <c r="Q103" s="8">
        <v>43</v>
      </c>
      <c r="R103" s="8">
        <v>25</v>
      </c>
      <c r="S103" s="8">
        <v>40</v>
      </c>
      <c r="T103" s="8">
        <v>23</v>
      </c>
      <c r="U103" s="8">
        <v>46</v>
      </c>
      <c r="V103" s="8">
        <v>21</v>
      </c>
      <c r="W103" s="8">
        <v>73</v>
      </c>
      <c r="X103" s="8">
        <v>43</v>
      </c>
      <c r="Y103" s="8">
        <v>19</v>
      </c>
      <c r="Z103" s="8">
        <v>11</v>
      </c>
      <c r="AA103" s="8">
        <v>0</v>
      </c>
      <c r="AB103" s="8">
        <v>0</v>
      </c>
      <c r="AC103" s="19">
        <f t="shared" si="6"/>
        <v>18</v>
      </c>
      <c r="AD103" s="19">
        <f t="shared" si="7"/>
        <v>17</v>
      </c>
      <c r="AE103" s="19">
        <f t="shared" si="8"/>
        <v>25</v>
      </c>
      <c r="AF103" s="19">
        <f t="shared" si="9"/>
        <v>30</v>
      </c>
      <c r="AG103" s="19">
        <f t="shared" si="10"/>
        <v>8</v>
      </c>
      <c r="AH103" s="19">
        <f t="shared" si="11"/>
        <v>0</v>
      </c>
    </row>
    <row r="104" spans="1:34">
      <c r="A104" s="8" t="s">
        <v>933</v>
      </c>
      <c r="B104" s="8" t="s">
        <v>2258</v>
      </c>
      <c r="C104" s="8" t="s">
        <v>9</v>
      </c>
      <c r="D104" s="8" t="s">
        <v>3</v>
      </c>
      <c r="E104" s="8" t="s">
        <v>110</v>
      </c>
      <c r="F104" s="8" t="s">
        <v>3</v>
      </c>
      <c r="G104" s="8" t="s">
        <v>3</v>
      </c>
      <c r="H104" s="8" t="s">
        <v>111</v>
      </c>
      <c r="I104" s="8" t="s">
        <v>41</v>
      </c>
      <c r="J104" s="8" t="s">
        <v>41</v>
      </c>
      <c r="K104" s="8" t="s">
        <v>5696</v>
      </c>
      <c r="L104" s="8" t="s">
        <v>110</v>
      </c>
      <c r="M104" s="11" t="s">
        <v>2259</v>
      </c>
      <c r="N104" s="8">
        <v>547</v>
      </c>
      <c r="O104" s="8">
        <v>260</v>
      </c>
      <c r="P104" s="8">
        <v>287</v>
      </c>
      <c r="Q104" s="8">
        <v>169</v>
      </c>
      <c r="R104" s="8">
        <v>83</v>
      </c>
      <c r="S104" s="8">
        <v>91</v>
      </c>
      <c r="T104" s="8">
        <v>33</v>
      </c>
      <c r="U104" s="8">
        <v>62</v>
      </c>
      <c r="V104" s="8">
        <v>32</v>
      </c>
      <c r="W104" s="8">
        <v>132</v>
      </c>
      <c r="X104" s="8">
        <v>72</v>
      </c>
      <c r="Y104" s="8">
        <v>93</v>
      </c>
      <c r="Z104" s="8">
        <v>40</v>
      </c>
      <c r="AA104" s="8">
        <v>0</v>
      </c>
      <c r="AB104" s="8">
        <v>0</v>
      </c>
      <c r="AC104" s="19">
        <f t="shared" si="6"/>
        <v>86</v>
      </c>
      <c r="AD104" s="19">
        <f t="shared" si="7"/>
        <v>58</v>
      </c>
      <c r="AE104" s="19">
        <f t="shared" si="8"/>
        <v>30</v>
      </c>
      <c r="AF104" s="19">
        <f t="shared" si="9"/>
        <v>60</v>
      </c>
      <c r="AG104" s="19">
        <f t="shared" si="10"/>
        <v>53</v>
      </c>
      <c r="AH104" s="19">
        <f t="shared" si="11"/>
        <v>0</v>
      </c>
    </row>
    <row r="105" spans="1:34">
      <c r="A105" s="8" t="s">
        <v>1155</v>
      </c>
      <c r="B105" s="8" t="s">
        <v>2261</v>
      </c>
      <c r="C105" s="8" t="s">
        <v>9</v>
      </c>
      <c r="D105" s="8" t="s">
        <v>4</v>
      </c>
      <c r="E105" s="8" t="s">
        <v>110</v>
      </c>
      <c r="F105" s="8" t="s">
        <v>3</v>
      </c>
      <c r="G105" s="8" t="s">
        <v>4</v>
      </c>
      <c r="H105" s="8" t="s">
        <v>294</v>
      </c>
      <c r="I105" s="8" t="s">
        <v>56</v>
      </c>
      <c r="J105" s="8" t="s">
        <v>41</v>
      </c>
      <c r="K105" s="8" t="s">
        <v>5696</v>
      </c>
      <c r="L105" s="8" t="s">
        <v>110</v>
      </c>
      <c r="M105" s="11" t="s">
        <v>2262</v>
      </c>
      <c r="N105" s="8">
        <v>97</v>
      </c>
      <c r="O105" s="8">
        <v>59</v>
      </c>
      <c r="P105" s="8">
        <v>38</v>
      </c>
      <c r="Q105" s="8">
        <v>15</v>
      </c>
      <c r="R105" s="8">
        <v>10</v>
      </c>
      <c r="S105" s="8">
        <v>25</v>
      </c>
      <c r="T105" s="8">
        <v>12</v>
      </c>
      <c r="U105" s="8">
        <v>46</v>
      </c>
      <c r="V105" s="8">
        <v>32</v>
      </c>
      <c r="W105" s="8">
        <v>4</v>
      </c>
      <c r="X105" s="8">
        <v>2</v>
      </c>
      <c r="Y105" s="8">
        <v>7</v>
      </c>
      <c r="Z105" s="8">
        <v>3</v>
      </c>
      <c r="AA105" s="8">
        <v>0</v>
      </c>
      <c r="AB105" s="8">
        <v>0</v>
      </c>
      <c r="AC105" s="19">
        <f t="shared" si="6"/>
        <v>5</v>
      </c>
      <c r="AD105" s="19">
        <f t="shared" si="7"/>
        <v>13</v>
      </c>
      <c r="AE105" s="19">
        <f t="shared" si="8"/>
        <v>14</v>
      </c>
      <c r="AF105" s="19">
        <f t="shared" si="9"/>
        <v>2</v>
      </c>
      <c r="AG105" s="19">
        <f t="shared" si="10"/>
        <v>4</v>
      </c>
      <c r="AH105" s="19">
        <f t="shared" si="11"/>
        <v>0</v>
      </c>
    </row>
    <row r="106" spans="1:34">
      <c r="A106" s="8" t="s">
        <v>199</v>
      </c>
      <c r="B106" s="8" t="s">
        <v>2265</v>
      </c>
      <c r="C106" s="8" t="s">
        <v>9</v>
      </c>
      <c r="D106" s="8" t="s">
        <v>4</v>
      </c>
      <c r="E106" s="8" t="s">
        <v>110</v>
      </c>
      <c r="F106" s="8" t="s">
        <v>3</v>
      </c>
      <c r="G106" s="8" t="s">
        <v>4</v>
      </c>
      <c r="H106" s="8" t="s">
        <v>5697</v>
      </c>
      <c r="I106" s="8" t="s">
        <v>41</v>
      </c>
      <c r="J106" s="8" t="s">
        <v>41</v>
      </c>
      <c r="K106" s="8" t="s">
        <v>56</v>
      </c>
      <c r="L106" s="8" t="s">
        <v>110</v>
      </c>
      <c r="M106" s="11" t="s">
        <v>3785</v>
      </c>
      <c r="N106" s="8">
        <v>311</v>
      </c>
      <c r="O106" s="8">
        <v>182</v>
      </c>
      <c r="P106" s="8">
        <v>129</v>
      </c>
      <c r="Q106" s="8">
        <v>43</v>
      </c>
      <c r="R106" s="8">
        <v>28</v>
      </c>
      <c r="S106" s="8">
        <v>45</v>
      </c>
      <c r="T106" s="8">
        <v>22</v>
      </c>
      <c r="U106" s="8">
        <v>33</v>
      </c>
      <c r="V106" s="8">
        <v>22</v>
      </c>
      <c r="W106" s="8">
        <v>107</v>
      </c>
      <c r="X106" s="8">
        <v>61</v>
      </c>
      <c r="Y106" s="8">
        <v>83</v>
      </c>
      <c r="Z106" s="8">
        <v>49</v>
      </c>
      <c r="AA106" s="8">
        <v>0</v>
      </c>
      <c r="AB106" s="8">
        <v>0</v>
      </c>
      <c r="AC106" s="19">
        <f t="shared" si="6"/>
        <v>15</v>
      </c>
      <c r="AD106" s="19">
        <f t="shared" si="7"/>
        <v>23</v>
      </c>
      <c r="AE106" s="19">
        <f t="shared" si="8"/>
        <v>11</v>
      </c>
      <c r="AF106" s="19">
        <f t="shared" si="9"/>
        <v>46</v>
      </c>
      <c r="AG106" s="19">
        <f t="shared" si="10"/>
        <v>34</v>
      </c>
      <c r="AH106" s="19">
        <f t="shared" si="11"/>
        <v>0</v>
      </c>
    </row>
    <row r="107" spans="1:34">
      <c r="A107" s="8" t="s">
        <v>3452</v>
      </c>
      <c r="B107" s="8" t="s">
        <v>3453</v>
      </c>
      <c r="C107" s="8" t="s">
        <v>9</v>
      </c>
      <c r="D107" s="8" t="s">
        <v>9</v>
      </c>
      <c r="E107" s="8" t="s">
        <v>110</v>
      </c>
      <c r="F107" s="8" t="s">
        <v>3</v>
      </c>
      <c r="G107" s="8" t="s">
        <v>6</v>
      </c>
      <c r="H107" s="8" t="s">
        <v>3455</v>
      </c>
      <c r="I107" s="8" t="s">
        <v>41</v>
      </c>
      <c r="J107" s="8" t="s">
        <v>41</v>
      </c>
      <c r="K107" s="8" t="s">
        <v>41</v>
      </c>
      <c r="L107" s="8" t="s">
        <v>110</v>
      </c>
      <c r="M107" s="11" t="s">
        <v>3454</v>
      </c>
      <c r="N107" s="8">
        <v>31</v>
      </c>
      <c r="O107" s="8">
        <v>15</v>
      </c>
      <c r="P107" s="8">
        <v>16</v>
      </c>
      <c r="Q107" s="8">
        <v>9</v>
      </c>
      <c r="R107" s="8">
        <v>3</v>
      </c>
      <c r="S107" s="8">
        <v>10</v>
      </c>
      <c r="T107" s="8">
        <v>5</v>
      </c>
      <c r="U107" s="8">
        <v>7</v>
      </c>
      <c r="V107" s="8">
        <v>4</v>
      </c>
      <c r="W107" s="8">
        <v>5</v>
      </c>
      <c r="X107" s="8">
        <v>3</v>
      </c>
      <c r="Y107" s="8">
        <v>0</v>
      </c>
      <c r="Z107" s="8">
        <v>0</v>
      </c>
      <c r="AA107" s="8">
        <v>0</v>
      </c>
      <c r="AB107" s="8">
        <v>0</v>
      </c>
      <c r="AC107" s="19">
        <f t="shared" si="6"/>
        <v>6</v>
      </c>
      <c r="AD107" s="19">
        <f t="shared" si="7"/>
        <v>5</v>
      </c>
      <c r="AE107" s="19">
        <f t="shared" si="8"/>
        <v>3</v>
      </c>
      <c r="AF107" s="19">
        <f t="shared" si="9"/>
        <v>2</v>
      </c>
      <c r="AG107" s="19">
        <f t="shared" si="10"/>
        <v>0</v>
      </c>
      <c r="AH107" s="19">
        <f t="shared" si="11"/>
        <v>0</v>
      </c>
    </row>
    <row r="108" spans="1:34">
      <c r="A108" s="8" t="s">
        <v>170</v>
      </c>
      <c r="B108" s="8" t="s">
        <v>2266</v>
      </c>
      <c r="C108" s="8" t="s">
        <v>9</v>
      </c>
      <c r="D108" s="8" t="s">
        <v>6</v>
      </c>
      <c r="E108" s="8" t="s">
        <v>110</v>
      </c>
      <c r="F108" s="8" t="s">
        <v>4</v>
      </c>
      <c r="G108" s="8" t="s">
        <v>3</v>
      </c>
      <c r="H108" s="8" t="s">
        <v>778</v>
      </c>
      <c r="I108" s="8" t="s">
        <v>41</v>
      </c>
      <c r="J108" s="8" t="s">
        <v>41</v>
      </c>
      <c r="K108" s="8" t="s">
        <v>56</v>
      </c>
      <c r="L108" s="8" t="s">
        <v>110</v>
      </c>
      <c r="M108" s="11" t="s">
        <v>3786</v>
      </c>
      <c r="N108" s="8">
        <v>351</v>
      </c>
      <c r="O108" s="8">
        <v>186</v>
      </c>
      <c r="P108" s="8">
        <v>165</v>
      </c>
      <c r="Q108" s="8">
        <v>73</v>
      </c>
      <c r="R108" s="8">
        <v>45</v>
      </c>
      <c r="S108" s="8">
        <v>100</v>
      </c>
      <c r="T108" s="8">
        <v>54</v>
      </c>
      <c r="U108" s="8">
        <v>58</v>
      </c>
      <c r="V108" s="8">
        <v>34</v>
      </c>
      <c r="W108" s="8">
        <v>82</v>
      </c>
      <c r="X108" s="8">
        <v>37</v>
      </c>
      <c r="Y108" s="8">
        <v>38</v>
      </c>
      <c r="Z108" s="8">
        <v>16</v>
      </c>
      <c r="AA108" s="8">
        <v>0</v>
      </c>
      <c r="AB108" s="8">
        <v>0</v>
      </c>
      <c r="AC108" s="19">
        <f t="shared" si="6"/>
        <v>28</v>
      </c>
      <c r="AD108" s="19">
        <f t="shared" si="7"/>
        <v>46</v>
      </c>
      <c r="AE108" s="19">
        <f t="shared" si="8"/>
        <v>24</v>
      </c>
      <c r="AF108" s="19">
        <f t="shared" si="9"/>
        <v>45</v>
      </c>
      <c r="AG108" s="19">
        <f t="shared" si="10"/>
        <v>22</v>
      </c>
      <c r="AH108" s="19">
        <f t="shared" si="11"/>
        <v>0</v>
      </c>
    </row>
    <row r="109" spans="1:34">
      <c r="A109" s="8" t="s">
        <v>177</v>
      </c>
      <c r="B109" s="8" t="s">
        <v>2268</v>
      </c>
      <c r="C109" s="8" t="s">
        <v>9</v>
      </c>
      <c r="D109" s="8" t="s">
        <v>7</v>
      </c>
      <c r="E109" s="8" t="s">
        <v>110</v>
      </c>
      <c r="F109" s="8" t="s">
        <v>5</v>
      </c>
      <c r="G109" s="8" t="s">
        <v>4</v>
      </c>
      <c r="H109" s="8" t="s">
        <v>2269</v>
      </c>
      <c r="I109" s="8" t="s">
        <v>56</v>
      </c>
      <c r="J109" s="8" t="s">
        <v>41</v>
      </c>
      <c r="K109" s="8" t="s">
        <v>5696</v>
      </c>
      <c r="L109" s="8" t="s">
        <v>110</v>
      </c>
      <c r="M109" s="11" t="s">
        <v>3787</v>
      </c>
      <c r="N109" s="8">
        <v>239</v>
      </c>
      <c r="O109" s="8">
        <v>142</v>
      </c>
      <c r="P109" s="8">
        <v>97</v>
      </c>
      <c r="Q109" s="8">
        <v>49</v>
      </c>
      <c r="R109" s="8">
        <v>32</v>
      </c>
      <c r="S109" s="8">
        <v>48</v>
      </c>
      <c r="T109" s="8">
        <v>26</v>
      </c>
      <c r="U109" s="8">
        <v>45</v>
      </c>
      <c r="V109" s="8">
        <v>23</v>
      </c>
      <c r="W109" s="8">
        <v>54</v>
      </c>
      <c r="X109" s="8">
        <v>37</v>
      </c>
      <c r="Y109" s="8">
        <v>43</v>
      </c>
      <c r="Z109" s="8">
        <v>24</v>
      </c>
      <c r="AA109" s="8">
        <v>0</v>
      </c>
      <c r="AB109" s="8">
        <v>0</v>
      </c>
      <c r="AC109" s="19">
        <f t="shared" si="6"/>
        <v>17</v>
      </c>
      <c r="AD109" s="19">
        <f t="shared" si="7"/>
        <v>22</v>
      </c>
      <c r="AE109" s="19">
        <f t="shared" si="8"/>
        <v>22</v>
      </c>
      <c r="AF109" s="19">
        <f t="shared" si="9"/>
        <v>17</v>
      </c>
      <c r="AG109" s="19">
        <f t="shared" si="10"/>
        <v>19</v>
      </c>
      <c r="AH109" s="19">
        <f t="shared" si="11"/>
        <v>0</v>
      </c>
    </row>
    <row r="110" spans="1:34">
      <c r="A110" s="8" t="s">
        <v>187</v>
      </c>
      <c r="B110" s="8" t="s">
        <v>2273</v>
      </c>
      <c r="C110" s="8" t="s">
        <v>9</v>
      </c>
      <c r="D110" s="8" t="s">
        <v>5</v>
      </c>
      <c r="E110" s="8" t="s">
        <v>110</v>
      </c>
      <c r="F110" s="8" t="s">
        <v>6</v>
      </c>
      <c r="G110" s="8" t="s">
        <v>3</v>
      </c>
      <c r="H110" s="8" t="s">
        <v>776</v>
      </c>
      <c r="I110" s="8" t="s">
        <v>41</v>
      </c>
      <c r="J110" s="8" t="s">
        <v>41</v>
      </c>
      <c r="K110" s="8" t="s">
        <v>43</v>
      </c>
      <c r="L110" s="8" t="s">
        <v>110</v>
      </c>
      <c r="M110" s="11" t="s">
        <v>5553</v>
      </c>
      <c r="N110" s="8">
        <v>407</v>
      </c>
      <c r="O110" s="8">
        <v>252</v>
      </c>
      <c r="P110" s="8">
        <v>155</v>
      </c>
      <c r="Q110" s="8">
        <v>55</v>
      </c>
      <c r="R110" s="8">
        <v>21</v>
      </c>
      <c r="S110" s="8">
        <v>79</v>
      </c>
      <c r="T110" s="8">
        <v>63</v>
      </c>
      <c r="U110" s="8">
        <v>113</v>
      </c>
      <c r="V110" s="8">
        <v>75</v>
      </c>
      <c r="W110" s="8">
        <v>80</v>
      </c>
      <c r="X110" s="8">
        <v>46</v>
      </c>
      <c r="Y110" s="8">
        <v>80</v>
      </c>
      <c r="Z110" s="8">
        <v>47</v>
      </c>
      <c r="AA110" s="8">
        <v>0</v>
      </c>
      <c r="AB110" s="8">
        <v>0</v>
      </c>
      <c r="AC110" s="19">
        <f t="shared" si="6"/>
        <v>34</v>
      </c>
      <c r="AD110" s="19">
        <f t="shared" si="7"/>
        <v>16</v>
      </c>
      <c r="AE110" s="19">
        <f t="shared" si="8"/>
        <v>38</v>
      </c>
      <c r="AF110" s="19">
        <f t="shared" si="9"/>
        <v>34</v>
      </c>
      <c r="AG110" s="19">
        <f t="shared" si="10"/>
        <v>33</v>
      </c>
      <c r="AH110" s="19">
        <f t="shared" si="11"/>
        <v>0</v>
      </c>
    </row>
    <row r="111" spans="1:34">
      <c r="A111" s="8" t="s">
        <v>185</v>
      </c>
      <c r="B111" s="8" t="s">
        <v>2274</v>
      </c>
      <c r="C111" s="8" t="s">
        <v>9</v>
      </c>
      <c r="D111" s="8" t="s">
        <v>5</v>
      </c>
      <c r="E111" s="8" t="s">
        <v>110</v>
      </c>
      <c r="F111" s="8" t="s">
        <v>6</v>
      </c>
      <c r="G111" s="8" t="s">
        <v>7</v>
      </c>
      <c r="H111" s="8" t="s">
        <v>455</v>
      </c>
      <c r="I111" s="8" t="s">
        <v>41</v>
      </c>
      <c r="J111" s="8" t="s">
        <v>43</v>
      </c>
      <c r="K111" s="8" t="s">
        <v>5696</v>
      </c>
      <c r="L111" s="8" t="s">
        <v>110</v>
      </c>
      <c r="M111" s="11" t="s">
        <v>5554</v>
      </c>
      <c r="N111" s="8">
        <v>192</v>
      </c>
      <c r="O111" s="8">
        <v>108</v>
      </c>
      <c r="P111" s="8">
        <v>84</v>
      </c>
      <c r="Q111" s="8">
        <v>48</v>
      </c>
      <c r="R111" s="8">
        <v>26</v>
      </c>
      <c r="S111" s="8">
        <v>50</v>
      </c>
      <c r="T111" s="8">
        <v>27</v>
      </c>
      <c r="U111" s="8">
        <v>34</v>
      </c>
      <c r="V111" s="8">
        <v>25</v>
      </c>
      <c r="W111" s="8">
        <v>28</v>
      </c>
      <c r="X111" s="8">
        <v>17</v>
      </c>
      <c r="Y111" s="8">
        <v>32</v>
      </c>
      <c r="Z111" s="8">
        <v>13</v>
      </c>
      <c r="AA111" s="8">
        <v>0</v>
      </c>
      <c r="AB111" s="8">
        <v>0</v>
      </c>
      <c r="AC111" s="19">
        <f t="shared" si="6"/>
        <v>22</v>
      </c>
      <c r="AD111" s="19">
        <f t="shared" si="7"/>
        <v>23</v>
      </c>
      <c r="AE111" s="19">
        <f t="shared" si="8"/>
        <v>9</v>
      </c>
      <c r="AF111" s="19">
        <f t="shared" si="9"/>
        <v>11</v>
      </c>
      <c r="AG111" s="19">
        <f t="shared" si="10"/>
        <v>19</v>
      </c>
      <c r="AH111" s="19">
        <f t="shared" si="11"/>
        <v>0</v>
      </c>
    </row>
    <row r="112" spans="1:34">
      <c r="A112" s="8" t="s">
        <v>181</v>
      </c>
      <c r="B112" s="8" t="s">
        <v>2276</v>
      </c>
      <c r="C112" s="8" t="s">
        <v>9</v>
      </c>
      <c r="D112" s="8" t="s">
        <v>6</v>
      </c>
      <c r="E112" s="8" t="s">
        <v>110</v>
      </c>
      <c r="F112" s="8" t="s">
        <v>7</v>
      </c>
      <c r="G112" s="8" t="s">
        <v>3</v>
      </c>
      <c r="H112" s="8" t="s">
        <v>1168</v>
      </c>
      <c r="I112" s="8" t="s">
        <v>41</v>
      </c>
      <c r="J112" s="8" t="s">
        <v>41</v>
      </c>
      <c r="K112" s="8" t="s">
        <v>43</v>
      </c>
      <c r="L112" s="8" t="s">
        <v>110</v>
      </c>
      <c r="M112" s="11" t="s">
        <v>2277</v>
      </c>
      <c r="N112" s="8">
        <v>511</v>
      </c>
      <c r="O112" s="8">
        <v>318</v>
      </c>
      <c r="P112" s="8">
        <v>193</v>
      </c>
      <c r="Q112" s="8">
        <v>163</v>
      </c>
      <c r="R112" s="8">
        <v>102</v>
      </c>
      <c r="S112" s="8">
        <v>145</v>
      </c>
      <c r="T112" s="8">
        <v>91</v>
      </c>
      <c r="U112" s="8">
        <v>68</v>
      </c>
      <c r="V112" s="8">
        <v>45</v>
      </c>
      <c r="W112" s="8">
        <v>62</v>
      </c>
      <c r="X112" s="8">
        <v>36</v>
      </c>
      <c r="Y112" s="8">
        <v>73</v>
      </c>
      <c r="Z112" s="8">
        <v>44</v>
      </c>
      <c r="AA112" s="8">
        <v>0</v>
      </c>
      <c r="AB112" s="8">
        <v>0</v>
      </c>
      <c r="AC112" s="19">
        <f t="shared" si="6"/>
        <v>61</v>
      </c>
      <c r="AD112" s="19">
        <f t="shared" si="7"/>
        <v>54</v>
      </c>
      <c r="AE112" s="19">
        <f t="shared" si="8"/>
        <v>23</v>
      </c>
      <c r="AF112" s="19">
        <f t="shared" si="9"/>
        <v>26</v>
      </c>
      <c r="AG112" s="19">
        <f t="shared" si="10"/>
        <v>29</v>
      </c>
      <c r="AH112" s="19">
        <f t="shared" si="11"/>
        <v>0</v>
      </c>
    </row>
    <row r="113" spans="1:34">
      <c r="A113" s="8" t="s">
        <v>186</v>
      </c>
      <c r="B113" s="8" t="s">
        <v>2279</v>
      </c>
      <c r="C113" s="8" t="s">
        <v>9</v>
      </c>
      <c r="D113" s="8" t="s">
        <v>8</v>
      </c>
      <c r="E113" s="8" t="s">
        <v>110</v>
      </c>
      <c r="F113" s="8" t="s">
        <v>8</v>
      </c>
      <c r="G113" s="8" t="s">
        <v>3</v>
      </c>
      <c r="H113" s="8" t="s">
        <v>140</v>
      </c>
      <c r="I113" s="8" t="s">
        <v>41</v>
      </c>
      <c r="J113" s="8" t="s">
        <v>41</v>
      </c>
      <c r="K113" s="8" t="s">
        <v>43</v>
      </c>
      <c r="L113" s="8" t="s">
        <v>110</v>
      </c>
      <c r="M113" s="11" t="s">
        <v>2280</v>
      </c>
      <c r="N113" s="8">
        <v>396</v>
      </c>
      <c r="O113" s="8">
        <v>249</v>
      </c>
      <c r="P113" s="8">
        <v>147</v>
      </c>
      <c r="Q113" s="8">
        <v>86</v>
      </c>
      <c r="R113" s="8">
        <v>51</v>
      </c>
      <c r="S113" s="8">
        <v>113</v>
      </c>
      <c r="T113" s="8">
        <v>72</v>
      </c>
      <c r="U113" s="8">
        <v>54</v>
      </c>
      <c r="V113" s="8">
        <v>32</v>
      </c>
      <c r="W113" s="8">
        <v>93</v>
      </c>
      <c r="X113" s="8">
        <v>63</v>
      </c>
      <c r="Y113" s="8">
        <v>50</v>
      </c>
      <c r="Z113" s="8">
        <v>31</v>
      </c>
      <c r="AA113" s="8">
        <v>0</v>
      </c>
      <c r="AB113" s="8">
        <v>0</v>
      </c>
      <c r="AC113" s="19">
        <f t="shared" si="6"/>
        <v>35</v>
      </c>
      <c r="AD113" s="19">
        <f t="shared" si="7"/>
        <v>41</v>
      </c>
      <c r="AE113" s="19">
        <f t="shared" si="8"/>
        <v>22</v>
      </c>
      <c r="AF113" s="19">
        <f t="shared" si="9"/>
        <v>30</v>
      </c>
      <c r="AG113" s="19">
        <f t="shared" si="10"/>
        <v>19</v>
      </c>
      <c r="AH113" s="19">
        <f t="shared" si="11"/>
        <v>0</v>
      </c>
    </row>
    <row r="114" spans="1:34">
      <c r="A114" s="8" t="s">
        <v>182</v>
      </c>
      <c r="B114" s="8" t="s">
        <v>2282</v>
      </c>
      <c r="C114" s="8" t="s">
        <v>9</v>
      </c>
      <c r="D114" s="8" t="s">
        <v>9</v>
      </c>
      <c r="E114" s="8" t="s">
        <v>110</v>
      </c>
      <c r="F114" s="8" t="s">
        <v>9</v>
      </c>
      <c r="G114" s="8" t="s">
        <v>3</v>
      </c>
      <c r="H114" s="8" t="s">
        <v>132</v>
      </c>
      <c r="I114" s="8" t="s">
        <v>41</v>
      </c>
      <c r="J114" s="8" t="s">
        <v>41</v>
      </c>
      <c r="K114" s="8" t="s">
        <v>43</v>
      </c>
      <c r="L114" s="8" t="s">
        <v>110</v>
      </c>
      <c r="M114" s="11" t="s">
        <v>3788</v>
      </c>
      <c r="N114" s="8">
        <v>185</v>
      </c>
      <c r="O114" s="8">
        <v>110</v>
      </c>
      <c r="P114" s="8">
        <v>75</v>
      </c>
      <c r="Q114" s="8">
        <v>38</v>
      </c>
      <c r="R114" s="8">
        <v>28</v>
      </c>
      <c r="S114" s="8">
        <v>60</v>
      </c>
      <c r="T114" s="8">
        <v>31</v>
      </c>
      <c r="U114" s="8">
        <v>21</v>
      </c>
      <c r="V114" s="8">
        <v>13</v>
      </c>
      <c r="W114" s="8">
        <v>44</v>
      </c>
      <c r="X114" s="8">
        <v>27</v>
      </c>
      <c r="Y114" s="8">
        <v>22</v>
      </c>
      <c r="Z114" s="8">
        <v>11</v>
      </c>
      <c r="AA114" s="8">
        <v>0</v>
      </c>
      <c r="AB114" s="8">
        <v>0</v>
      </c>
      <c r="AC114" s="19">
        <f t="shared" si="6"/>
        <v>10</v>
      </c>
      <c r="AD114" s="19">
        <f t="shared" si="7"/>
        <v>29</v>
      </c>
      <c r="AE114" s="19">
        <f t="shared" si="8"/>
        <v>8</v>
      </c>
      <c r="AF114" s="19">
        <f t="shared" si="9"/>
        <v>17</v>
      </c>
      <c r="AG114" s="19">
        <f t="shared" si="10"/>
        <v>11</v>
      </c>
      <c r="AH114" s="19">
        <f t="shared" si="11"/>
        <v>0</v>
      </c>
    </row>
    <row r="115" spans="1:34">
      <c r="A115" s="8" t="s">
        <v>180</v>
      </c>
      <c r="B115" s="8" t="s">
        <v>2284</v>
      </c>
      <c r="C115" s="8" t="s">
        <v>9</v>
      </c>
      <c r="D115" s="8" t="s">
        <v>9</v>
      </c>
      <c r="E115" s="8" t="s">
        <v>110</v>
      </c>
      <c r="F115" s="8" t="s">
        <v>11</v>
      </c>
      <c r="G115" s="8" t="s">
        <v>3</v>
      </c>
      <c r="H115" s="8" t="s">
        <v>3797</v>
      </c>
      <c r="I115" s="8" t="s">
        <v>41</v>
      </c>
      <c r="J115" s="8" t="s">
        <v>41</v>
      </c>
      <c r="K115" s="8" t="s">
        <v>56</v>
      </c>
      <c r="L115" s="8" t="s">
        <v>110</v>
      </c>
      <c r="M115" s="11" t="s">
        <v>2285</v>
      </c>
      <c r="N115" s="8">
        <v>393</v>
      </c>
      <c r="O115" s="8">
        <v>242</v>
      </c>
      <c r="P115" s="8">
        <v>151</v>
      </c>
      <c r="Q115" s="8">
        <v>93</v>
      </c>
      <c r="R115" s="8">
        <v>42</v>
      </c>
      <c r="S115" s="8">
        <v>60</v>
      </c>
      <c r="T115" s="8">
        <v>48</v>
      </c>
      <c r="U115" s="8">
        <v>71</v>
      </c>
      <c r="V115" s="8">
        <v>50</v>
      </c>
      <c r="W115" s="8">
        <v>133</v>
      </c>
      <c r="X115" s="8">
        <v>84</v>
      </c>
      <c r="Y115" s="8">
        <v>36</v>
      </c>
      <c r="Z115" s="8">
        <v>18</v>
      </c>
      <c r="AA115" s="8">
        <v>0</v>
      </c>
      <c r="AB115" s="8">
        <v>0</v>
      </c>
      <c r="AC115" s="19">
        <f t="shared" si="6"/>
        <v>51</v>
      </c>
      <c r="AD115" s="19">
        <f t="shared" si="7"/>
        <v>12</v>
      </c>
      <c r="AE115" s="19">
        <f t="shared" si="8"/>
        <v>21</v>
      </c>
      <c r="AF115" s="19">
        <f t="shared" si="9"/>
        <v>49</v>
      </c>
      <c r="AG115" s="19">
        <f t="shared" si="10"/>
        <v>18</v>
      </c>
      <c r="AH115" s="19">
        <f t="shared" si="11"/>
        <v>0</v>
      </c>
    </row>
    <row r="116" spans="1:34">
      <c r="A116" s="8" t="s">
        <v>184</v>
      </c>
      <c r="B116" s="8" t="s">
        <v>2287</v>
      </c>
      <c r="C116" s="8" t="s">
        <v>9</v>
      </c>
      <c r="D116" s="8" t="s">
        <v>8</v>
      </c>
      <c r="E116" s="8" t="s">
        <v>110</v>
      </c>
      <c r="F116" s="8" t="s">
        <v>12</v>
      </c>
      <c r="G116" s="8" t="s">
        <v>3</v>
      </c>
      <c r="H116" s="8" t="s">
        <v>357</v>
      </c>
      <c r="I116" s="8" t="s">
        <v>41</v>
      </c>
      <c r="J116" s="8" t="s">
        <v>41</v>
      </c>
      <c r="K116" s="8" t="s">
        <v>43</v>
      </c>
      <c r="L116" s="8" t="s">
        <v>110</v>
      </c>
      <c r="M116" s="11" t="s">
        <v>2288</v>
      </c>
      <c r="N116" s="8">
        <v>299</v>
      </c>
      <c r="O116" s="8">
        <v>160</v>
      </c>
      <c r="P116" s="8">
        <v>139</v>
      </c>
      <c r="Q116" s="8">
        <v>116</v>
      </c>
      <c r="R116" s="8">
        <v>66</v>
      </c>
      <c r="S116" s="8">
        <v>71</v>
      </c>
      <c r="T116" s="8">
        <v>28</v>
      </c>
      <c r="U116" s="8">
        <v>63</v>
      </c>
      <c r="V116" s="8">
        <v>39</v>
      </c>
      <c r="W116" s="8">
        <v>16</v>
      </c>
      <c r="X116" s="8">
        <v>8</v>
      </c>
      <c r="Y116" s="8">
        <v>33</v>
      </c>
      <c r="Z116" s="8">
        <v>19</v>
      </c>
      <c r="AA116" s="8">
        <v>0</v>
      </c>
      <c r="AB116" s="8">
        <v>0</v>
      </c>
      <c r="AC116" s="19">
        <f t="shared" si="6"/>
        <v>50</v>
      </c>
      <c r="AD116" s="19">
        <f t="shared" si="7"/>
        <v>43</v>
      </c>
      <c r="AE116" s="19">
        <f t="shared" si="8"/>
        <v>24</v>
      </c>
      <c r="AF116" s="19">
        <f t="shared" si="9"/>
        <v>8</v>
      </c>
      <c r="AG116" s="19">
        <f t="shared" si="10"/>
        <v>14</v>
      </c>
      <c r="AH116" s="19">
        <f t="shared" si="11"/>
        <v>0</v>
      </c>
    </row>
    <row r="117" spans="1:34">
      <c r="A117" s="8" t="s">
        <v>1136</v>
      </c>
      <c r="B117" s="8" t="s">
        <v>1992</v>
      </c>
      <c r="C117" s="8" t="s">
        <v>11</v>
      </c>
      <c r="D117" s="8" t="s">
        <v>4</v>
      </c>
      <c r="E117" s="8" t="s">
        <v>126</v>
      </c>
      <c r="F117" s="8" t="s">
        <v>3</v>
      </c>
      <c r="G117" s="8" t="s">
        <v>3</v>
      </c>
      <c r="H117" s="8" t="s">
        <v>794</v>
      </c>
      <c r="I117" s="8" t="s">
        <v>43</v>
      </c>
      <c r="J117" s="8" t="s">
        <v>41</v>
      </c>
      <c r="K117" s="8" t="s">
        <v>5696</v>
      </c>
      <c r="L117" s="8" t="s">
        <v>110</v>
      </c>
      <c r="M117" s="11" t="s">
        <v>165</v>
      </c>
      <c r="N117" s="8">
        <v>8</v>
      </c>
      <c r="O117" s="8">
        <v>7</v>
      </c>
      <c r="P117" s="8">
        <v>1</v>
      </c>
      <c r="Q117" s="8">
        <v>1</v>
      </c>
      <c r="R117" s="8">
        <v>1</v>
      </c>
      <c r="S117" s="8">
        <v>2</v>
      </c>
      <c r="T117" s="8">
        <v>2</v>
      </c>
      <c r="U117" s="8">
        <v>5</v>
      </c>
      <c r="V117" s="8">
        <v>4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19">
        <f t="shared" si="6"/>
        <v>0</v>
      </c>
      <c r="AD117" s="19">
        <f t="shared" si="7"/>
        <v>0</v>
      </c>
      <c r="AE117" s="19">
        <f t="shared" si="8"/>
        <v>1</v>
      </c>
      <c r="AF117" s="19">
        <f t="shared" si="9"/>
        <v>0</v>
      </c>
      <c r="AG117" s="19">
        <f t="shared" si="10"/>
        <v>0</v>
      </c>
      <c r="AH117" s="19">
        <f t="shared" si="11"/>
        <v>0</v>
      </c>
    </row>
    <row r="118" spans="1:34">
      <c r="A118" s="8" t="s">
        <v>1156</v>
      </c>
      <c r="B118" s="8" t="s">
        <v>2291</v>
      </c>
      <c r="C118" s="8" t="s">
        <v>11</v>
      </c>
      <c r="D118" s="8" t="s">
        <v>4</v>
      </c>
      <c r="E118" s="8" t="s">
        <v>126</v>
      </c>
      <c r="F118" s="8" t="s">
        <v>3</v>
      </c>
      <c r="G118" s="8" t="s">
        <v>3</v>
      </c>
      <c r="H118" s="8" t="s">
        <v>5698</v>
      </c>
      <c r="I118" s="8" t="s">
        <v>41</v>
      </c>
      <c r="J118" s="8" t="s">
        <v>41</v>
      </c>
      <c r="K118" s="8" t="s">
        <v>56</v>
      </c>
      <c r="L118" s="8" t="s">
        <v>110</v>
      </c>
      <c r="M118" s="11" t="s">
        <v>2292</v>
      </c>
      <c r="N118" s="8">
        <v>585</v>
      </c>
      <c r="O118" s="8">
        <v>348</v>
      </c>
      <c r="P118" s="8">
        <v>237</v>
      </c>
      <c r="Q118" s="8">
        <v>127</v>
      </c>
      <c r="R118" s="8">
        <v>69</v>
      </c>
      <c r="S118" s="8">
        <v>125</v>
      </c>
      <c r="T118" s="8">
        <v>77</v>
      </c>
      <c r="U118" s="8">
        <v>145</v>
      </c>
      <c r="V118" s="8">
        <v>84</v>
      </c>
      <c r="W118" s="8">
        <v>92</v>
      </c>
      <c r="X118" s="8">
        <v>57</v>
      </c>
      <c r="Y118" s="8">
        <v>96</v>
      </c>
      <c r="Z118" s="8">
        <v>61</v>
      </c>
      <c r="AA118" s="8">
        <v>0</v>
      </c>
      <c r="AB118" s="8">
        <v>0</v>
      </c>
      <c r="AC118" s="19">
        <f t="shared" si="6"/>
        <v>58</v>
      </c>
      <c r="AD118" s="19">
        <f t="shared" si="7"/>
        <v>48</v>
      </c>
      <c r="AE118" s="19">
        <f t="shared" si="8"/>
        <v>61</v>
      </c>
      <c r="AF118" s="19">
        <f t="shared" si="9"/>
        <v>35</v>
      </c>
      <c r="AG118" s="19">
        <f t="shared" si="10"/>
        <v>35</v>
      </c>
      <c r="AH118" s="19">
        <f t="shared" si="11"/>
        <v>0</v>
      </c>
    </row>
    <row r="119" spans="1:34">
      <c r="A119" s="8" t="s">
        <v>894</v>
      </c>
      <c r="B119" s="8" t="s">
        <v>2294</v>
      </c>
      <c r="C119" s="8" t="s">
        <v>11</v>
      </c>
      <c r="D119" s="8" t="s">
        <v>6</v>
      </c>
      <c r="E119" s="8" t="s">
        <v>126</v>
      </c>
      <c r="F119" s="8" t="s">
        <v>3</v>
      </c>
      <c r="G119" s="8" t="s">
        <v>3</v>
      </c>
      <c r="H119" s="8" t="s">
        <v>5699</v>
      </c>
      <c r="I119" s="8" t="s">
        <v>41</v>
      </c>
      <c r="J119" s="8" t="s">
        <v>41</v>
      </c>
      <c r="K119" s="8" t="s">
        <v>43</v>
      </c>
      <c r="L119" s="8" t="s">
        <v>110</v>
      </c>
      <c r="M119" s="11" t="s">
        <v>2295</v>
      </c>
      <c r="N119" s="8">
        <v>80</v>
      </c>
      <c r="O119" s="8">
        <v>53</v>
      </c>
      <c r="P119" s="8">
        <v>27</v>
      </c>
      <c r="Q119" s="8">
        <v>23</v>
      </c>
      <c r="R119" s="8">
        <v>14</v>
      </c>
      <c r="S119" s="8">
        <v>18</v>
      </c>
      <c r="T119" s="8">
        <v>12</v>
      </c>
      <c r="U119" s="8">
        <v>8</v>
      </c>
      <c r="V119" s="8">
        <v>6</v>
      </c>
      <c r="W119" s="8">
        <v>28</v>
      </c>
      <c r="X119" s="8">
        <v>18</v>
      </c>
      <c r="Y119" s="8">
        <v>3</v>
      </c>
      <c r="Z119" s="8">
        <v>3</v>
      </c>
      <c r="AA119" s="8">
        <v>0</v>
      </c>
      <c r="AB119" s="8">
        <v>0</v>
      </c>
      <c r="AC119" s="19">
        <f t="shared" si="6"/>
        <v>9</v>
      </c>
      <c r="AD119" s="19">
        <f t="shared" si="7"/>
        <v>6</v>
      </c>
      <c r="AE119" s="19">
        <f t="shared" si="8"/>
        <v>2</v>
      </c>
      <c r="AF119" s="19">
        <f t="shared" si="9"/>
        <v>10</v>
      </c>
      <c r="AG119" s="19">
        <f t="shared" si="10"/>
        <v>0</v>
      </c>
      <c r="AH119" s="19">
        <f t="shared" si="11"/>
        <v>0</v>
      </c>
    </row>
    <row r="120" spans="1:34">
      <c r="A120" s="8" t="s">
        <v>1157</v>
      </c>
      <c r="B120" s="8" t="s">
        <v>2297</v>
      </c>
      <c r="C120" s="8" t="s">
        <v>12</v>
      </c>
      <c r="D120" s="8" t="s">
        <v>3</v>
      </c>
      <c r="E120" s="8" t="s">
        <v>126</v>
      </c>
      <c r="F120" s="8" t="s">
        <v>4</v>
      </c>
      <c r="G120" s="8" t="s">
        <v>3</v>
      </c>
      <c r="H120" s="8" t="s">
        <v>798</v>
      </c>
      <c r="I120" s="8" t="s">
        <v>41</v>
      </c>
      <c r="J120" s="8" t="s">
        <v>41</v>
      </c>
      <c r="K120" s="8" t="s">
        <v>43</v>
      </c>
      <c r="L120" s="8" t="s">
        <v>110</v>
      </c>
      <c r="M120" s="11" t="s">
        <v>2298</v>
      </c>
      <c r="N120" s="8">
        <v>245</v>
      </c>
      <c r="O120" s="8">
        <v>128</v>
      </c>
      <c r="P120" s="8">
        <v>117</v>
      </c>
      <c r="Q120" s="8">
        <v>22</v>
      </c>
      <c r="R120" s="8">
        <v>15</v>
      </c>
      <c r="S120" s="8">
        <v>72</v>
      </c>
      <c r="T120" s="8">
        <v>37</v>
      </c>
      <c r="U120" s="8">
        <v>68</v>
      </c>
      <c r="V120" s="8">
        <v>38</v>
      </c>
      <c r="W120" s="8">
        <v>74</v>
      </c>
      <c r="X120" s="8">
        <v>36</v>
      </c>
      <c r="Y120" s="8">
        <v>9</v>
      </c>
      <c r="Z120" s="8">
        <v>2</v>
      </c>
      <c r="AA120" s="8">
        <v>0</v>
      </c>
      <c r="AB120" s="8">
        <v>0</v>
      </c>
      <c r="AC120" s="19">
        <f t="shared" si="6"/>
        <v>7</v>
      </c>
      <c r="AD120" s="19">
        <f t="shared" si="7"/>
        <v>35</v>
      </c>
      <c r="AE120" s="19">
        <f t="shared" si="8"/>
        <v>30</v>
      </c>
      <c r="AF120" s="19">
        <f t="shared" si="9"/>
        <v>38</v>
      </c>
      <c r="AG120" s="19">
        <f t="shared" si="10"/>
        <v>7</v>
      </c>
      <c r="AH120" s="19">
        <f t="shared" si="11"/>
        <v>0</v>
      </c>
    </row>
    <row r="121" spans="1:34">
      <c r="A121" s="8" t="s">
        <v>191</v>
      </c>
      <c r="B121" s="8" t="s">
        <v>2299</v>
      </c>
      <c r="C121" s="8" t="s">
        <v>13</v>
      </c>
      <c r="D121" s="8" t="s">
        <v>3</v>
      </c>
      <c r="E121" s="8" t="s">
        <v>126</v>
      </c>
      <c r="F121" s="8" t="s">
        <v>5</v>
      </c>
      <c r="G121" s="8" t="s">
        <v>3</v>
      </c>
      <c r="H121" s="8" t="s">
        <v>125</v>
      </c>
      <c r="I121" s="8" t="s">
        <v>41</v>
      </c>
      <c r="J121" s="8" t="s">
        <v>41</v>
      </c>
      <c r="K121" s="8" t="s">
        <v>43</v>
      </c>
      <c r="L121" s="8" t="s">
        <v>110</v>
      </c>
      <c r="M121" s="11" t="s">
        <v>3479</v>
      </c>
      <c r="N121" s="8">
        <v>273</v>
      </c>
      <c r="O121" s="8">
        <v>155</v>
      </c>
      <c r="P121" s="8">
        <v>118</v>
      </c>
      <c r="Q121" s="8">
        <v>67</v>
      </c>
      <c r="R121" s="8">
        <v>36</v>
      </c>
      <c r="S121" s="8">
        <v>39</v>
      </c>
      <c r="T121" s="8">
        <v>21</v>
      </c>
      <c r="U121" s="8">
        <v>65</v>
      </c>
      <c r="V121" s="8">
        <v>42</v>
      </c>
      <c r="W121" s="8">
        <v>73</v>
      </c>
      <c r="X121" s="8">
        <v>37</v>
      </c>
      <c r="Y121" s="8">
        <v>29</v>
      </c>
      <c r="Z121" s="8">
        <v>19</v>
      </c>
      <c r="AA121" s="8">
        <v>0</v>
      </c>
      <c r="AB121" s="8">
        <v>0</v>
      </c>
      <c r="AC121" s="19">
        <f t="shared" si="6"/>
        <v>31</v>
      </c>
      <c r="AD121" s="19">
        <f t="shared" si="7"/>
        <v>18</v>
      </c>
      <c r="AE121" s="19">
        <f t="shared" si="8"/>
        <v>23</v>
      </c>
      <c r="AF121" s="19">
        <f t="shared" si="9"/>
        <v>36</v>
      </c>
      <c r="AG121" s="19">
        <f t="shared" si="10"/>
        <v>10</v>
      </c>
      <c r="AH121" s="19">
        <f t="shared" si="11"/>
        <v>0</v>
      </c>
    </row>
    <row r="122" spans="1:34">
      <c r="A122" s="8" t="s">
        <v>194</v>
      </c>
      <c r="B122" s="8" t="s">
        <v>2300</v>
      </c>
      <c r="C122" s="8" t="s">
        <v>11</v>
      </c>
      <c r="D122" s="8" t="s">
        <v>5</v>
      </c>
      <c r="E122" s="8" t="s">
        <v>126</v>
      </c>
      <c r="F122" s="8" t="s">
        <v>6</v>
      </c>
      <c r="G122" s="8" t="s">
        <v>3</v>
      </c>
      <c r="H122" s="8" t="s">
        <v>299</v>
      </c>
      <c r="I122" s="8" t="s">
        <v>41</v>
      </c>
      <c r="J122" s="8" t="s">
        <v>41</v>
      </c>
      <c r="K122" s="8" t="s">
        <v>41</v>
      </c>
      <c r="L122" s="8" t="s">
        <v>110</v>
      </c>
      <c r="M122" s="11" t="s">
        <v>2301</v>
      </c>
      <c r="N122" s="8">
        <v>400</v>
      </c>
      <c r="O122" s="8">
        <v>221</v>
      </c>
      <c r="P122" s="8">
        <v>179</v>
      </c>
      <c r="Q122" s="8">
        <v>103</v>
      </c>
      <c r="R122" s="8">
        <v>58</v>
      </c>
      <c r="S122" s="8">
        <v>81</v>
      </c>
      <c r="T122" s="8">
        <v>44</v>
      </c>
      <c r="U122" s="8">
        <v>73</v>
      </c>
      <c r="V122" s="8">
        <v>45</v>
      </c>
      <c r="W122" s="8">
        <v>75</v>
      </c>
      <c r="X122" s="8">
        <v>34</v>
      </c>
      <c r="Y122" s="8">
        <v>68</v>
      </c>
      <c r="Z122" s="8">
        <v>40</v>
      </c>
      <c r="AA122" s="8">
        <v>0</v>
      </c>
      <c r="AB122" s="8">
        <v>0</v>
      </c>
      <c r="AC122" s="19">
        <f t="shared" si="6"/>
        <v>45</v>
      </c>
      <c r="AD122" s="19">
        <f t="shared" si="7"/>
        <v>37</v>
      </c>
      <c r="AE122" s="19">
        <f t="shared" si="8"/>
        <v>28</v>
      </c>
      <c r="AF122" s="19">
        <f t="shared" si="9"/>
        <v>41</v>
      </c>
      <c r="AG122" s="19">
        <f t="shared" si="10"/>
        <v>28</v>
      </c>
      <c r="AH122" s="19">
        <f t="shared" si="11"/>
        <v>0</v>
      </c>
    </row>
    <row r="123" spans="1:34">
      <c r="A123" s="8" t="s">
        <v>204</v>
      </c>
      <c r="B123" s="8" t="s">
        <v>2302</v>
      </c>
      <c r="C123" s="8" t="s">
        <v>16</v>
      </c>
      <c r="D123" s="8" t="s">
        <v>3</v>
      </c>
      <c r="E123" s="8" t="s">
        <v>126</v>
      </c>
      <c r="F123" s="8" t="s">
        <v>8</v>
      </c>
      <c r="G123" s="8" t="s">
        <v>3</v>
      </c>
      <c r="H123" s="8" t="s">
        <v>558</v>
      </c>
      <c r="I123" s="8" t="s">
        <v>41</v>
      </c>
      <c r="J123" s="8" t="s">
        <v>41</v>
      </c>
      <c r="K123" s="8" t="s">
        <v>43</v>
      </c>
      <c r="L123" s="8" t="s">
        <v>110</v>
      </c>
      <c r="M123" s="11" t="s">
        <v>2303</v>
      </c>
      <c r="N123" s="8">
        <v>321</v>
      </c>
      <c r="O123" s="8">
        <v>188</v>
      </c>
      <c r="P123" s="8">
        <v>133</v>
      </c>
      <c r="Q123" s="8">
        <v>120</v>
      </c>
      <c r="R123" s="8">
        <v>59</v>
      </c>
      <c r="S123" s="8">
        <v>79</v>
      </c>
      <c r="T123" s="8">
        <v>52</v>
      </c>
      <c r="U123" s="8">
        <v>30</v>
      </c>
      <c r="V123" s="8">
        <v>24</v>
      </c>
      <c r="W123" s="8">
        <v>76</v>
      </c>
      <c r="X123" s="8">
        <v>43</v>
      </c>
      <c r="Y123" s="8">
        <v>16</v>
      </c>
      <c r="Z123" s="8">
        <v>10</v>
      </c>
      <c r="AA123" s="8">
        <v>0</v>
      </c>
      <c r="AB123" s="8">
        <v>0</v>
      </c>
      <c r="AC123" s="19">
        <f t="shared" si="6"/>
        <v>61</v>
      </c>
      <c r="AD123" s="19">
        <f t="shared" si="7"/>
        <v>27</v>
      </c>
      <c r="AE123" s="19">
        <f t="shared" si="8"/>
        <v>6</v>
      </c>
      <c r="AF123" s="19">
        <f t="shared" si="9"/>
        <v>33</v>
      </c>
      <c r="AG123" s="19">
        <f t="shared" si="10"/>
        <v>6</v>
      </c>
      <c r="AH123" s="19">
        <f t="shared" si="11"/>
        <v>0</v>
      </c>
    </row>
    <row r="124" spans="1:34">
      <c r="A124" s="8" t="s">
        <v>197</v>
      </c>
      <c r="B124" s="8" t="s">
        <v>2305</v>
      </c>
      <c r="C124" s="8" t="s">
        <v>16</v>
      </c>
      <c r="D124" s="8" t="s">
        <v>5</v>
      </c>
      <c r="E124" s="8" t="s">
        <v>126</v>
      </c>
      <c r="F124" s="8" t="s">
        <v>11</v>
      </c>
      <c r="G124" s="8" t="s">
        <v>3</v>
      </c>
      <c r="H124" s="8" t="s">
        <v>723</v>
      </c>
      <c r="I124" s="8" t="s">
        <v>41</v>
      </c>
      <c r="J124" s="8" t="s">
        <v>41</v>
      </c>
      <c r="K124" s="8" t="s">
        <v>43</v>
      </c>
      <c r="L124" s="8" t="s">
        <v>110</v>
      </c>
      <c r="M124" s="11" t="s">
        <v>2306</v>
      </c>
      <c r="N124" s="8">
        <v>258</v>
      </c>
      <c r="O124" s="8">
        <v>159</v>
      </c>
      <c r="P124" s="8">
        <v>99</v>
      </c>
      <c r="Q124" s="8">
        <v>57</v>
      </c>
      <c r="R124" s="8">
        <v>36</v>
      </c>
      <c r="S124" s="8">
        <v>67</v>
      </c>
      <c r="T124" s="8">
        <v>43</v>
      </c>
      <c r="U124" s="8">
        <v>35</v>
      </c>
      <c r="V124" s="8">
        <v>26</v>
      </c>
      <c r="W124" s="8">
        <v>46</v>
      </c>
      <c r="X124" s="8">
        <v>28</v>
      </c>
      <c r="Y124" s="8">
        <v>53</v>
      </c>
      <c r="Z124" s="8">
        <v>26</v>
      </c>
      <c r="AA124" s="8">
        <v>0</v>
      </c>
      <c r="AB124" s="8">
        <v>0</v>
      </c>
      <c r="AC124" s="19">
        <f t="shared" si="6"/>
        <v>21</v>
      </c>
      <c r="AD124" s="19">
        <f t="shared" si="7"/>
        <v>24</v>
      </c>
      <c r="AE124" s="19">
        <f t="shared" si="8"/>
        <v>9</v>
      </c>
      <c r="AF124" s="19">
        <f t="shared" si="9"/>
        <v>18</v>
      </c>
      <c r="AG124" s="19">
        <f t="shared" si="10"/>
        <v>27</v>
      </c>
      <c r="AH124" s="19">
        <f t="shared" si="11"/>
        <v>0</v>
      </c>
    </row>
    <row r="125" spans="1:34">
      <c r="A125" s="8" t="s">
        <v>206</v>
      </c>
      <c r="B125" s="8" t="s">
        <v>2308</v>
      </c>
      <c r="C125" s="8" t="s">
        <v>11</v>
      </c>
      <c r="D125" s="8" t="s">
        <v>3</v>
      </c>
      <c r="E125" s="8" t="s">
        <v>126</v>
      </c>
      <c r="F125" s="8" t="s">
        <v>13</v>
      </c>
      <c r="G125" s="8" t="s">
        <v>3</v>
      </c>
      <c r="H125" s="8" t="s">
        <v>256</v>
      </c>
      <c r="I125" s="8" t="s">
        <v>41</v>
      </c>
      <c r="J125" s="8" t="s">
        <v>41</v>
      </c>
      <c r="K125" s="8" t="s">
        <v>41</v>
      </c>
      <c r="L125" s="8" t="s">
        <v>110</v>
      </c>
      <c r="M125" s="11" t="s">
        <v>2309</v>
      </c>
      <c r="N125" s="8">
        <v>24</v>
      </c>
      <c r="O125" s="8">
        <v>16</v>
      </c>
      <c r="P125" s="8">
        <v>8</v>
      </c>
      <c r="Q125" s="8">
        <v>9</v>
      </c>
      <c r="R125" s="8">
        <v>6</v>
      </c>
      <c r="S125" s="8">
        <v>3</v>
      </c>
      <c r="T125" s="8">
        <v>1</v>
      </c>
      <c r="U125" s="8">
        <v>3</v>
      </c>
      <c r="V125" s="8">
        <v>3</v>
      </c>
      <c r="W125" s="8">
        <v>7</v>
      </c>
      <c r="X125" s="8">
        <v>5</v>
      </c>
      <c r="Y125" s="8">
        <v>2</v>
      </c>
      <c r="Z125" s="8">
        <v>1</v>
      </c>
      <c r="AA125" s="8">
        <v>0</v>
      </c>
      <c r="AB125" s="8">
        <v>0</v>
      </c>
      <c r="AC125" s="19">
        <f t="shared" si="6"/>
        <v>3</v>
      </c>
      <c r="AD125" s="19">
        <f t="shared" si="7"/>
        <v>2</v>
      </c>
      <c r="AE125" s="19">
        <f t="shared" si="8"/>
        <v>0</v>
      </c>
      <c r="AF125" s="19">
        <f t="shared" si="9"/>
        <v>2</v>
      </c>
      <c r="AG125" s="19">
        <f t="shared" si="10"/>
        <v>1</v>
      </c>
      <c r="AH125" s="19">
        <f t="shared" si="11"/>
        <v>0</v>
      </c>
    </row>
    <row r="126" spans="1:34">
      <c r="A126" s="8" t="s">
        <v>220</v>
      </c>
      <c r="B126" s="8" t="s">
        <v>1992</v>
      </c>
      <c r="C126" s="8" t="s">
        <v>17</v>
      </c>
      <c r="D126" s="8" t="s">
        <v>7</v>
      </c>
      <c r="E126" s="8" t="s">
        <v>80</v>
      </c>
      <c r="F126" s="8" t="s">
        <v>3</v>
      </c>
      <c r="G126" s="8" t="s">
        <v>3</v>
      </c>
      <c r="H126" s="8" t="s">
        <v>81</v>
      </c>
      <c r="I126" s="8" t="s">
        <v>43</v>
      </c>
      <c r="J126" s="8" t="s">
        <v>41</v>
      </c>
      <c r="K126" s="8" t="s">
        <v>5696</v>
      </c>
      <c r="L126" s="8" t="s">
        <v>110</v>
      </c>
      <c r="M126" s="11" t="s">
        <v>2311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19">
        <f t="shared" si="6"/>
        <v>0</v>
      </c>
      <c r="AD126" s="19">
        <f t="shared" si="7"/>
        <v>0</v>
      </c>
      <c r="AE126" s="19">
        <f t="shared" si="8"/>
        <v>0</v>
      </c>
      <c r="AF126" s="19">
        <f t="shared" si="9"/>
        <v>0</v>
      </c>
      <c r="AG126" s="19">
        <f t="shared" si="10"/>
        <v>0</v>
      </c>
      <c r="AH126" s="19">
        <f t="shared" si="11"/>
        <v>0</v>
      </c>
    </row>
    <row r="127" spans="1:34">
      <c r="A127" s="8" t="s">
        <v>215</v>
      </c>
      <c r="B127" s="8" t="s">
        <v>2312</v>
      </c>
      <c r="C127" s="8" t="s">
        <v>17</v>
      </c>
      <c r="D127" s="8" t="s">
        <v>7</v>
      </c>
      <c r="E127" s="8" t="s">
        <v>80</v>
      </c>
      <c r="F127" s="8" t="s">
        <v>3</v>
      </c>
      <c r="G127" s="8" t="s">
        <v>3</v>
      </c>
      <c r="H127" s="8" t="s">
        <v>81</v>
      </c>
      <c r="I127" s="8" t="s">
        <v>41</v>
      </c>
      <c r="J127" s="8" t="s">
        <v>41</v>
      </c>
      <c r="K127" s="8" t="s">
        <v>41</v>
      </c>
      <c r="L127" s="8" t="s">
        <v>110</v>
      </c>
      <c r="M127" s="11" t="s">
        <v>2313</v>
      </c>
      <c r="N127" s="8">
        <v>296</v>
      </c>
      <c r="O127" s="8">
        <v>164</v>
      </c>
      <c r="P127" s="8">
        <v>132</v>
      </c>
      <c r="Q127" s="8">
        <v>82</v>
      </c>
      <c r="R127" s="8">
        <v>48</v>
      </c>
      <c r="S127" s="8">
        <v>67</v>
      </c>
      <c r="T127" s="8">
        <v>44</v>
      </c>
      <c r="U127" s="8">
        <v>2</v>
      </c>
      <c r="V127" s="8">
        <v>2</v>
      </c>
      <c r="W127" s="8">
        <v>124</v>
      </c>
      <c r="X127" s="8">
        <v>65</v>
      </c>
      <c r="Y127" s="8">
        <v>21</v>
      </c>
      <c r="Z127" s="8">
        <v>5</v>
      </c>
      <c r="AA127" s="8">
        <v>0</v>
      </c>
      <c r="AB127" s="8">
        <v>0</v>
      </c>
      <c r="AC127" s="19">
        <f t="shared" si="6"/>
        <v>34</v>
      </c>
      <c r="AD127" s="19">
        <f t="shared" si="7"/>
        <v>23</v>
      </c>
      <c r="AE127" s="19">
        <f t="shared" si="8"/>
        <v>0</v>
      </c>
      <c r="AF127" s="19">
        <f t="shared" si="9"/>
        <v>59</v>
      </c>
      <c r="AG127" s="19">
        <f t="shared" si="10"/>
        <v>16</v>
      </c>
      <c r="AH127" s="19">
        <f t="shared" si="11"/>
        <v>0</v>
      </c>
    </row>
    <row r="128" spans="1:34">
      <c r="A128" s="8" t="s">
        <v>219</v>
      </c>
      <c r="B128" s="8" t="s">
        <v>2315</v>
      </c>
      <c r="C128" s="8" t="s">
        <v>17</v>
      </c>
      <c r="D128" s="8" t="s">
        <v>7</v>
      </c>
      <c r="E128" s="8" t="s">
        <v>80</v>
      </c>
      <c r="F128" s="8" t="s">
        <v>3</v>
      </c>
      <c r="G128" s="8" t="s">
        <v>17</v>
      </c>
      <c r="H128" s="8" t="s">
        <v>1162</v>
      </c>
      <c r="I128" s="8" t="s">
        <v>41</v>
      </c>
      <c r="J128" s="8" t="s">
        <v>41</v>
      </c>
      <c r="K128" s="8" t="s">
        <v>43</v>
      </c>
      <c r="L128" s="8" t="s">
        <v>110</v>
      </c>
      <c r="M128" s="11" t="s">
        <v>2316</v>
      </c>
      <c r="N128" s="8">
        <v>413</v>
      </c>
      <c r="O128" s="8">
        <v>234</v>
      </c>
      <c r="P128" s="8">
        <v>179</v>
      </c>
      <c r="Q128" s="8">
        <v>57</v>
      </c>
      <c r="R128" s="8">
        <v>40</v>
      </c>
      <c r="S128" s="8">
        <v>96</v>
      </c>
      <c r="T128" s="8">
        <v>49</v>
      </c>
      <c r="U128" s="8">
        <v>85</v>
      </c>
      <c r="V128" s="8">
        <v>50</v>
      </c>
      <c r="W128" s="8">
        <v>84</v>
      </c>
      <c r="X128" s="8">
        <v>38</v>
      </c>
      <c r="Y128" s="8">
        <v>91</v>
      </c>
      <c r="Z128" s="8">
        <v>57</v>
      </c>
      <c r="AA128" s="8">
        <v>0</v>
      </c>
      <c r="AB128" s="8">
        <v>0</v>
      </c>
      <c r="AC128" s="19">
        <f t="shared" si="6"/>
        <v>17</v>
      </c>
      <c r="AD128" s="19">
        <f t="shared" si="7"/>
        <v>47</v>
      </c>
      <c r="AE128" s="19">
        <f t="shared" si="8"/>
        <v>35</v>
      </c>
      <c r="AF128" s="19">
        <f t="shared" si="9"/>
        <v>46</v>
      </c>
      <c r="AG128" s="19">
        <f t="shared" si="10"/>
        <v>34</v>
      </c>
      <c r="AH128" s="19">
        <f t="shared" si="11"/>
        <v>0</v>
      </c>
    </row>
    <row r="129" spans="1:34">
      <c r="A129" s="8" t="s">
        <v>2318</v>
      </c>
      <c r="B129" s="8" t="s">
        <v>2319</v>
      </c>
      <c r="C129" s="8" t="s">
        <v>17</v>
      </c>
      <c r="D129" s="8" t="s">
        <v>11</v>
      </c>
      <c r="E129" s="8" t="s">
        <v>80</v>
      </c>
      <c r="F129" s="8" t="s">
        <v>4</v>
      </c>
      <c r="G129" s="8" t="s">
        <v>3</v>
      </c>
      <c r="H129" s="8" t="s">
        <v>816</v>
      </c>
      <c r="I129" s="8" t="s">
        <v>41</v>
      </c>
      <c r="J129" s="8" t="s">
        <v>41</v>
      </c>
      <c r="K129" s="8" t="s">
        <v>43</v>
      </c>
      <c r="L129" s="8" t="s">
        <v>110</v>
      </c>
      <c r="M129" s="11" t="s">
        <v>2320</v>
      </c>
      <c r="N129" s="8">
        <v>462</v>
      </c>
      <c r="O129" s="8">
        <v>240</v>
      </c>
      <c r="P129" s="8">
        <v>222</v>
      </c>
      <c r="Q129" s="8">
        <v>92</v>
      </c>
      <c r="R129" s="8">
        <v>53</v>
      </c>
      <c r="S129" s="8">
        <v>95</v>
      </c>
      <c r="T129" s="8">
        <v>60</v>
      </c>
      <c r="U129" s="8">
        <v>68</v>
      </c>
      <c r="V129" s="8">
        <v>24</v>
      </c>
      <c r="W129" s="8">
        <v>106</v>
      </c>
      <c r="X129" s="8">
        <v>59</v>
      </c>
      <c r="Y129" s="8">
        <v>101</v>
      </c>
      <c r="Z129" s="8">
        <v>44</v>
      </c>
      <c r="AA129" s="8">
        <v>0</v>
      </c>
      <c r="AB129" s="8">
        <v>0</v>
      </c>
      <c r="AC129" s="19">
        <f t="shared" si="6"/>
        <v>39</v>
      </c>
      <c r="AD129" s="19">
        <f t="shared" si="7"/>
        <v>35</v>
      </c>
      <c r="AE129" s="19">
        <f t="shared" si="8"/>
        <v>44</v>
      </c>
      <c r="AF129" s="19">
        <f t="shared" si="9"/>
        <v>47</v>
      </c>
      <c r="AG129" s="19">
        <f t="shared" si="10"/>
        <v>57</v>
      </c>
      <c r="AH129" s="19">
        <f t="shared" si="11"/>
        <v>0</v>
      </c>
    </row>
    <row r="130" spans="1:34">
      <c r="A130" s="8" t="s">
        <v>1736</v>
      </c>
      <c r="B130" s="8" t="s">
        <v>2321</v>
      </c>
      <c r="C130" s="8" t="s">
        <v>17</v>
      </c>
      <c r="D130" s="8" t="s">
        <v>6</v>
      </c>
      <c r="E130" s="8" t="s">
        <v>80</v>
      </c>
      <c r="F130" s="8" t="s">
        <v>6</v>
      </c>
      <c r="G130" s="8" t="s">
        <v>3</v>
      </c>
      <c r="H130" s="8" t="s">
        <v>801</v>
      </c>
      <c r="I130" s="8" t="s">
        <v>41</v>
      </c>
      <c r="J130" s="8" t="s">
        <v>41</v>
      </c>
      <c r="K130" s="8" t="s">
        <v>43</v>
      </c>
      <c r="L130" s="8" t="s">
        <v>110</v>
      </c>
      <c r="M130" s="11" t="s">
        <v>2322</v>
      </c>
      <c r="N130" s="8">
        <v>245</v>
      </c>
      <c r="O130" s="8">
        <v>148</v>
      </c>
      <c r="P130" s="8">
        <v>97</v>
      </c>
      <c r="Q130" s="8">
        <v>40</v>
      </c>
      <c r="R130" s="8">
        <v>27</v>
      </c>
      <c r="S130" s="8">
        <v>49</v>
      </c>
      <c r="T130" s="8">
        <v>31</v>
      </c>
      <c r="U130" s="8">
        <v>62</v>
      </c>
      <c r="V130" s="8">
        <v>37</v>
      </c>
      <c r="W130" s="8">
        <v>64</v>
      </c>
      <c r="X130" s="8">
        <v>33</v>
      </c>
      <c r="Y130" s="8">
        <v>30</v>
      </c>
      <c r="Z130" s="8">
        <v>20</v>
      </c>
      <c r="AA130" s="8">
        <v>0</v>
      </c>
      <c r="AB130" s="8">
        <v>0</v>
      </c>
      <c r="AC130" s="19">
        <f t="shared" si="6"/>
        <v>13</v>
      </c>
      <c r="AD130" s="19">
        <f t="shared" si="7"/>
        <v>18</v>
      </c>
      <c r="AE130" s="19">
        <f t="shared" si="8"/>
        <v>25</v>
      </c>
      <c r="AF130" s="19">
        <f t="shared" si="9"/>
        <v>31</v>
      </c>
      <c r="AG130" s="19">
        <f t="shared" si="10"/>
        <v>10</v>
      </c>
      <c r="AH130" s="19">
        <f t="shared" si="11"/>
        <v>0</v>
      </c>
    </row>
    <row r="131" spans="1:34">
      <c r="A131" s="8" t="s">
        <v>1737</v>
      </c>
      <c r="B131" s="8" t="s">
        <v>1992</v>
      </c>
      <c r="C131" s="8" t="s">
        <v>3</v>
      </c>
      <c r="D131" s="8" t="s">
        <v>5</v>
      </c>
      <c r="E131" s="8" t="s">
        <v>41</v>
      </c>
      <c r="F131" s="8" t="s">
        <v>70</v>
      </c>
      <c r="G131" s="8" t="s">
        <v>6</v>
      </c>
      <c r="H131" s="8" t="s">
        <v>839</v>
      </c>
      <c r="I131" s="8" t="s">
        <v>43</v>
      </c>
      <c r="J131" s="8" t="s">
        <v>41</v>
      </c>
      <c r="K131" s="8" t="s">
        <v>5696</v>
      </c>
      <c r="L131" s="8" t="s">
        <v>110</v>
      </c>
      <c r="M131" s="11" t="s">
        <v>1905</v>
      </c>
      <c r="N131" s="8">
        <v>1</v>
      </c>
      <c r="O131" s="8">
        <v>0</v>
      </c>
      <c r="P131" s="8">
        <v>1</v>
      </c>
      <c r="Q131" s="8">
        <v>1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19">
        <f t="shared" si="6"/>
        <v>1</v>
      </c>
      <c r="AD131" s="19">
        <f t="shared" si="7"/>
        <v>0</v>
      </c>
      <c r="AE131" s="19">
        <f t="shared" si="8"/>
        <v>0</v>
      </c>
      <c r="AF131" s="19">
        <f t="shared" si="9"/>
        <v>0</v>
      </c>
      <c r="AG131" s="19">
        <f t="shared" si="10"/>
        <v>0</v>
      </c>
      <c r="AH131" s="19">
        <f t="shared" si="11"/>
        <v>0</v>
      </c>
    </row>
    <row r="132" spans="1:34">
      <c r="A132" s="8" t="s">
        <v>1126</v>
      </c>
      <c r="B132" s="8" t="s">
        <v>2324</v>
      </c>
      <c r="C132" s="8" t="s">
        <v>107</v>
      </c>
      <c r="D132" s="8" t="s">
        <v>12</v>
      </c>
      <c r="E132" s="8" t="s">
        <v>80</v>
      </c>
      <c r="F132" s="8" t="s">
        <v>13</v>
      </c>
      <c r="G132" s="8" t="s">
        <v>3</v>
      </c>
      <c r="H132" s="8" t="s">
        <v>836</v>
      </c>
      <c r="I132" s="8" t="s">
        <v>41</v>
      </c>
      <c r="J132" s="8" t="s">
        <v>41</v>
      </c>
      <c r="K132" s="8" t="s">
        <v>43</v>
      </c>
      <c r="L132" s="8" t="s">
        <v>110</v>
      </c>
      <c r="M132" s="11" t="s">
        <v>2325</v>
      </c>
      <c r="N132" s="8">
        <v>262</v>
      </c>
      <c r="O132" s="8">
        <v>148</v>
      </c>
      <c r="P132" s="8">
        <v>114</v>
      </c>
      <c r="Q132" s="8">
        <v>33</v>
      </c>
      <c r="R132" s="8">
        <v>15</v>
      </c>
      <c r="S132" s="8">
        <v>84</v>
      </c>
      <c r="T132" s="8">
        <v>50</v>
      </c>
      <c r="U132" s="8">
        <v>58</v>
      </c>
      <c r="V132" s="8">
        <v>36</v>
      </c>
      <c r="W132" s="8">
        <v>62</v>
      </c>
      <c r="X132" s="8">
        <v>36</v>
      </c>
      <c r="Y132" s="8">
        <v>25</v>
      </c>
      <c r="Z132" s="8">
        <v>11</v>
      </c>
      <c r="AA132" s="8">
        <v>0</v>
      </c>
      <c r="AB132" s="8">
        <v>0</v>
      </c>
      <c r="AC132" s="19">
        <f t="shared" ref="AC132:AC195" si="12">+Q132-R132</f>
        <v>18</v>
      </c>
      <c r="AD132" s="19">
        <f t="shared" ref="AD132:AD195" si="13">+S132-T132</f>
        <v>34</v>
      </c>
      <c r="AE132" s="19">
        <f t="shared" ref="AE132:AE195" si="14">+U132-V132</f>
        <v>22</v>
      </c>
      <c r="AF132" s="19">
        <f t="shared" ref="AF132:AF195" si="15">+W132-X132</f>
        <v>26</v>
      </c>
      <c r="AG132" s="19">
        <f t="shared" ref="AG132:AG195" si="16">+Y132-Z132</f>
        <v>14</v>
      </c>
      <c r="AH132" s="19">
        <f t="shared" ref="AH132:AH195" si="17">+AA132-AB132</f>
        <v>0</v>
      </c>
    </row>
    <row r="133" spans="1:34">
      <c r="A133" s="8" t="s">
        <v>226</v>
      </c>
      <c r="B133" s="8" t="s">
        <v>1992</v>
      </c>
      <c r="C133" s="8" t="s">
        <v>118</v>
      </c>
      <c r="D133" s="8" t="s">
        <v>3</v>
      </c>
      <c r="E133" s="8" t="s">
        <v>41</v>
      </c>
      <c r="F133" s="8" t="s">
        <v>388</v>
      </c>
      <c r="G133" s="8" t="s">
        <v>3</v>
      </c>
      <c r="H133" s="8" t="s">
        <v>2644</v>
      </c>
      <c r="I133" s="8" t="s">
        <v>41</v>
      </c>
      <c r="J133" s="8" t="s">
        <v>41</v>
      </c>
      <c r="K133" s="8" t="s">
        <v>41</v>
      </c>
      <c r="L133" s="8" t="s">
        <v>110</v>
      </c>
      <c r="M133" s="11" t="s">
        <v>5678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19">
        <f t="shared" si="12"/>
        <v>0</v>
      </c>
      <c r="AD133" s="19">
        <f t="shared" si="13"/>
        <v>0</v>
      </c>
      <c r="AE133" s="19">
        <f t="shared" si="14"/>
        <v>0</v>
      </c>
      <c r="AF133" s="19">
        <f t="shared" si="15"/>
        <v>0</v>
      </c>
      <c r="AG133" s="19">
        <f t="shared" si="16"/>
        <v>0</v>
      </c>
      <c r="AH133" s="19">
        <f t="shared" si="17"/>
        <v>0</v>
      </c>
    </row>
    <row r="134" spans="1:34">
      <c r="A134" s="8" t="s">
        <v>227</v>
      </c>
      <c r="B134" s="8" t="s">
        <v>2329</v>
      </c>
      <c r="C134" s="8" t="s">
        <v>304</v>
      </c>
      <c r="D134" s="8" t="s">
        <v>4</v>
      </c>
      <c r="E134" s="8" t="s">
        <v>68</v>
      </c>
      <c r="F134" s="8" t="s">
        <v>3</v>
      </c>
      <c r="G134" s="8" t="s">
        <v>3</v>
      </c>
      <c r="H134" s="8" t="s">
        <v>839</v>
      </c>
      <c r="I134" s="8" t="s">
        <v>41</v>
      </c>
      <c r="J134" s="8" t="s">
        <v>41</v>
      </c>
      <c r="K134" s="8" t="s">
        <v>43</v>
      </c>
      <c r="L134" s="8" t="s">
        <v>110</v>
      </c>
      <c r="M134" s="11" t="s">
        <v>4609</v>
      </c>
      <c r="N134" s="8">
        <v>401</v>
      </c>
      <c r="O134" s="8">
        <v>184</v>
      </c>
      <c r="P134" s="8">
        <v>217</v>
      </c>
      <c r="Q134" s="8">
        <v>184</v>
      </c>
      <c r="R134" s="8">
        <v>45</v>
      </c>
      <c r="S134" s="8">
        <v>39</v>
      </c>
      <c r="T134" s="8">
        <v>31</v>
      </c>
      <c r="U134" s="8">
        <v>82</v>
      </c>
      <c r="V134" s="8">
        <v>47</v>
      </c>
      <c r="W134" s="8">
        <v>96</v>
      </c>
      <c r="X134" s="8">
        <v>61</v>
      </c>
      <c r="Y134" s="8">
        <v>0</v>
      </c>
      <c r="Z134" s="8">
        <v>0</v>
      </c>
      <c r="AA134" s="8">
        <v>0</v>
      </c>
      <c r="AB134" s="8">
        <v>0</v>
      </c>
      <c r="AC134" s="19">
        <f t="shared" si="12"/>
        <v>139</v>
      </c>
      <c r="AD134" s="19">
        <f t="shared" si="13"/>
        <v>8</v>
      </c>
      <c r="AE134" s="19">
        <f t="shared" si="14"/>
        <v>35</v>
      </c>
      <c r="AF134" s="19">
        <f t="shared" si="15"/>
        <v>35</v>
      </c>
      <c r="AG134" s="19">
        <f t="shared" si="16"/>
        <v>0</v>
      </c>
      <c r="AH134" s="19">
        <f t="shared" si="17"/>
        <v>0</v>
      </c>
    </row>
    <row r="135" spans="1:34">
      <c r="A135" s="8" t="s">
        <v>1738</v>
      </c>
      <c r="B135" s="8" t="s">
        <v>2332</v>
      </c>
      <c r="C135" s="8" t="s">
        <v>304</v>
      </c>
      <c r="D135" s="8" t="s">
        <v>3</v>
      </c>
      <c r="E135" s="8" t="s">
        <v>68</v>
      </c>
      <c r="F135" s="8" t="s">
        <v>3</v>
      </c>
      <c r="G135" s="8" t="s">
        <v>3</v>
      </c>
      <c r="H135" s="8" t="s">
        <v>2334</v>
      </c>
      <c r="I135" s="8" t="s">
        <v>41</v>
      </c>
      <c r="J135" s="8" t="s">
        <v>41</v>
      </c>
      <c r="K135" s="8" t="s">
        <v>56</v>
      </c>
      <c r="L135" s="8" t="s">
        <v>110</v>
      </c>
      <c r="M135" s="11" t="s">
        <v>2333</v>
      </c>
      <c r="N135" s="8">
        <v>310</v>
      </c>
      <c r="O135" s="8">
        <v>191</v>
      </c>
      <c r="P135" s="8">
        <v>119</v>
      </c>
      <c r="Q135" s="8">
        <v>77</v>
      </c>
      <c r="R135" s="8">
        <v>44</v>
      </c>
      <c r="S135" s="8">
        <v>68</v>
      </c>
      <c r="T135" s="8">
        <v>39</v>
      </c>
      <c r="U135" s="8">
        <v>78</v>
      </c>
      <c r="V135" s="8">
        <v>49</v>
      </c>
      <c r="W135" s="8">
        <v>58</v>
      </c>
      <c r="X135" s="8">
        <v>40</v>
      </c>
      <c r="Y135" s="8">
        <v>29</v>
      </c>
      <c r="Z135" s="8">
        <v>19</v>
      </c>
      <c r="AA135" s="8">
        <v>0</v>
      </c>
      <c r="AB135" s="8">
        <v>0</v>
      </c>
      <c r="AC135" s="19">
        <f t="shared" si="12"/>
        <v>33</v>
      </c>
      <c r="AD135" s="19">
        <f t="shared" si="13"/>
        <v>29</v>
      </c>
      <c r="AE135" s="19">
        <f t="shared" si="14"/>
        <v>29</v>
      </c>
      <c r="AF135" s="19">
        <f t="shared" si="15"/>
        <v>18</v>
      </c>
      <c r="AG135" s="19">
        <f t="shared" si="16"/>
        <v>10</v>
      </c>
      <c r="AH135" s="19">
        <f t="shared" si="17"/>
        <v>0</v>
      </c>
    </row>
    <row r="136" spans="1:34">
      <c r="A136" s="8" t="s">
        <v>945</v>
      </c>
      <c r="B136" s="8" t="s">
        <v>1992</v>
      </c>
      <c r="C136" s="8" t="s">
        <v>17</v>
      </c>
      <c r="D136" s="8" t="s">
        <v>7</v>
      </c>
      <c r="E136" s="8" t="s">
        <v>80</v>
      </c>
      <c r="F136" s="8" t="s">
        <v>3</v>
      </c>
      <c r="G136" s="8" t="s">
        <v>3</v>
      </c>
      <c r="H136" s="8" t="s">
        <v>81</v>
      </c>
      <c r="I136" s="8" t="s">
        <v>43</v>
      </c>
      <c r="J136" s="8" t="s">
        <v>41</v>
      </c>
      <c r="K136" s="8" t="s">
        <v>5696</v>
      </c>
      <c r="L136" s="8" t="s">
        <v>110</v>
      </c>
      <c r="M136" s="11" t="s">
        <v>2335</v>
      </c>
      <c r="N136" s="8">
        <v>13</v>
      </c>
      <c r="O136" s="8">
        <v>6</v>
      </c>
      <c r="P136" s="8">
        <v>7</v>
      </c>
      <c r="Q136" s="8">
        <v>3</v>
      </c>
      <c r="R136" s="8">
        <v>0</v>
      </c>
      <c r="S136" s="8">
        <v>2</v>
      </c>
      <c r="T136" s="8">
        <v>2</v>
      </c>
      <c r="U136" s="8">
        <v>5</v>
      </c>
      <c r="V136" s="8">
        <v>2</v>
      </c>
      <c r="W136" s="8">
        <v>3</v>
      </c>
      <c r="X136" s="8">
        <v>2</v>
      </c>
      <c r="Y136" s="8">
        <v>0</v>
      </c>
      <c r="Z136" s="8">
        <v>0</v>
      </c>
      <c r="AA136" s="8">
        <v>0</v>
      </c>
      <c r="AB136" s="8">
        <v>0</v>
      </c>
      <c r="AC136" s="19">
        <f t="shared" si="12"/>
        <v>3</v>
      </c>
      <c r="AD136" s="19">
        <f t="shared" si="13"/>
        <v>0</v>
      </c>
      <c r="AE136" s="19">
        <f t="shared" si="14"/>
        <v>3</v>
      </c>
      <c r="AF136" s="19">
        <f t="shared" si="15"/>
        <v>1</v>
      </c>
      <c r="AG136" s="19">
        <f t="shared" si="16"/>
        <v>0</v>
      </c>
      <c r="AH136" s="19">
        <f t="shared" si="17"/>
        <v>0</v>
      </c>
    </row>
    <row r="137" spans="1:34">
      <c r="A137" s="8" t="s">
        <v>1121</v>
      </c>
      <c r="B137" s="8" t="s">
        <v>2337</v>
      </c>
      <c r="C137" s="8" t="s">
        <v>9</v>
      </c>
      <c r="D137" s="8" t="s">
        <v>4</v>
      </c>
      <c r="E137" s="8" t="s">
        <v>110</v>
      </c>
      <c r="F137" s="8" t="s">
        <v>3</v>
      </c>
      <c r="G137" s="8" t="s">
        <v>5</v>
      </c>
      <c r="H137" s="8" t="s">
        <v>5667</v>
      </c>
      <c r="I137" s="8" t="s">
        <v>41</v>
      </c>
      <c r="J137" s="8" t="s">
        <v>41</v>
      </c>
      <c r="K137" s="8" t="s">
        <v>43</v>
      </c>
      <c r="L137" s="8" t="s">
        <v>110</v>
      </c>
      <c r="M137" s="11" t="s">
        <v>2338</v>
      </c>
      <c r="N137" s="8">
        <v>220</v>
      </c>
      <c r="O137" s="8">
        <v>115</v>
      </c>
      <c r="P137" s="8">
        <v>105</v>
      </c>
      <c r="Q137" s="8">
        <v>86</v>
      </c>
      <c r="R137" s="8">
        <v>44</v>
      </c>
      <c r="S137" s="8">
        <v>45</v>
      </c>
      <c r="T137" s="8">
        <v>20</v>
      </c>
      <c r="U137" s="8">
        <v>15</v>
      </c>
      <c r="V137" s="8">
        <v>9</v>
      </c>
      <c r="W137" s="8">
        <v>65</v>
      </c>
      <c r="X137" s="8">
        <v>35</v>
      </c>
      <c r="Y137" s="8">
        <v>9</v>
      </c>
      <c r="Z137" s="8">
        <v>7</v>
      </c>
      <c r="AA137" s="8">
        <v>0</v>
      </c>
      <c r="AB137" s="8">
        <v>0</v>
      </c>
      <c r="AC137" s="19">
        <f t="shared" si="12"/>
        <v>42</v>
      </c>
      <c r="AD137" s="19">
        <f t="shared" si="13"/>
        <v>25</v>
      </c>
      <c r="AE137" s="19">
        <f t="shared" si="14"/>
        <v>6</v>
      </c>
      <c r="AF137" s="19">
        <f t="shared" si="15"/>
        <v>30</v>
      </c>
      <c r="AG137" s="19">
        <f t="shared" si="16"/>
        <v>2</v>
      </c>
      <c r="AH137" s="19">
        <f t="shared" si="17"/>
        <v>0</v>
      </c>
    </row>
    <row r="138" spans="1:34">
      <c r="A138" s="8" t="s">
        <v>229</v>
      </c>
      <c r="B138" s="8" t="s">
        <v>2339</v>
      </c>
      <c r="C138" s="8" t="s">
        <v>9</v>
      </c>
      <c r="D138" s="8" t="s">
        <v>7</v>
      </c>
      <c r="E138" s="8" t="s">
        <v>110</v>
      </c>
      <c r="F138" s="8" t="s">
        <v>5</v>
      </c>
      <c r="G138" s="8" t="s">
        <v>4</v>
      </c>
      <c r="H138" s="8" t="s">
        <v>510</v>
      </c>
      <c r="I138" s="8" t="s">
        <v>41</v>
      </c>
      <c r="J138" s="8" t="s">
        <v>41</v>
      </c>
      <c r="K138" s="8" t="s">
        <v>43</v>
      </c>
      <c r="L138" s="8" t="s">
        <v>110</v>
      </c>
      <c r="M138" s="11" t="s">
        <v>2340</v>
      </c>
      <c r="N138" s="8">
        <v>263</v>
      </c>
      <c r="O138" s="8">
        <v>156</v>
      </c>
      <c r="P138" s="8">
        <v>107</v>
      </c>
      <c r="Q138" s="8">
        <v>36</v>
      </c>
      <c r="R138" s="8">
        <v>20</v>
      </c>
      <c r="S138" s="8">
        <v>77</v>
      </c>
      <c r="T138" s="8">
        <v>44</v>
      </c>
      <c r="U138" s="8">
        <v>27</v>
      </c>
      <c r="V138" s="8">
        <v>12</v>
      </c>
      <c r="W138" s="8">
        <v>73</v>
      </c>
      <c r="X138" s="8">
        <v>49</v>
      </c>
      <c r="Y138" s="8">
        <v>50</v>
      </c>
      <c r="Z138" s="8">
        <v>31</v>
      </c>
      <c r="AA138" s="8">
        <v>0</v>
      </c>
      <c r="AB138" s="8">
        <v>0</v>
      </c>
      <c r="AC138" s="19">
        <f t="shared" si="12"/>
        <v>16</v>
      </c>
      <c r="AD138" s="19">
        <f t="shared" si="13"/>
        <v>33</v>
      </c>
      <c r="AE138" s="19">
        <f t="shared" si="14"/>
        <v>15</v>
      </c>
      <c r="AF138" s="19">
        <f t="shared" si="15"/>
        <v>24</v>
      </c>
      <c r="AG138" s="19">
        <f t="shared" si="16"/>
        <v>19</v>
      </c>
      <c r="AH138" s="19">
        <f t="shared" si="17"/>
        <v>0</v>
      </c>
    </row>
    <row r="139" spans="1:34">
      <c r="A139" s="8" t="s">
        <v>1739</v>
      </c>
      <c r="B139" s="8" t="s">
        <v>1992</v>
      </c>
      <c r="C139" s="8" t="s">
        <v>3</v>
      </c>
      <c r="D139" s="8" t="s">
        <v>5</v>
      </c>
      <c r="E139" s="8" t="s">
        <v>41</v>
      </c>
      <c r="F139" s="8" t="s">
        <v>70</v>
      </c>
      <c r="G139" s="8" t="s">
        <v>3</v>
      </c>
      <c r="H139" s="8" t="s">
        <v>78</v>
      </c>
      <c r="I139" s="8" t="s">
        <v>43</v>
      </c>
      <c r="J139" s="8" t="s">
        <v>41</v>
      </c>
      <c r="K139" s="8" t="s">
        <v>5696</v>
      </c>
      <c r="L139" s="8" t="s">
        <v>110</v>
      </c>
      <c r="M139" s="11" t="s">
        <v>1794</v>
      </c>
      <c r="N139" s="8">
        <v>13</v>
      </c>
      <c r="O139" s="8">
        <v>8</v>
      </c>
      <c r="P139" s="8">
        <v>5</v>
      </c>
      <c r="Q139" s="8">
        <v>0</v>
      </c>
      <c r="R139" s="8">
        <v>0</v>
      </c>
      <c r="S139" s="8">
        <v>1</v>
      </c>
      <c r="T139" s="8">
        <v>1</v>
      </c>
      <c r="U139" s="8">
        <v>4</v>
      </c>
      <c r="V139" s="8">
        <v>4</v>
      </c>
      <c r="W139" s="8">
        <v>4</v>
      </c>
      <c r="X139" s="8">
        <v>1</v>
      </c>
      <c r="Y139" s="8">
        <v>4</v>
      </c>
      <c r="Z139" s="8">
        <v>2</v>
      </c>
      <c r="AA139" s="8">
        <v>0</v>
      </c>
      <c r="AB139" s="8">
        <v>0</v>
      </c>
      <c r="AC139" s="19">
        <f t="shared" si="12"/>
        <v>0</v>
      </c>
      <c r="AD139" s="19">
        <f t="shared" si="13"/>
        <v>0</v>
      </c>
      <c r="AE139" s="19">
        <f t="shared" si="14"/>
        <v>0</v>
      </c>
      <c r="AF139" s="19">
        <f t="shared" si="15"/>
        <v>3</v>
      </c>
      <c r="AG139" s="19">
        <f t="shared" si="16"/>
        <v>2</v>
      </c>
      <c r="AH139" s="19">
        <f t="shared" si="17"/>
        <v>0</v>
      </c>
    </row>
    <row r="140" spans="1:34">
      <c r="A140" s="8" t="s">
        <v>1127</v>
      </c>
      <c r="B140" s="8" t="s">
        <v>1992</v>
      </c>
      <c r="C140" s="8" t="s">
        <v>957</v>
      </c>
      <c r="D140" s="8" t="s">
        <v>5</v>
      </c>
      <c r="E140" s="8" t="s">
        <v>41</v>
      </c>
      <c r="F140" s="8" t="s">
        <v>4</v>
      </c>
      <c r="G140" s="8" t="s">
        <v>5</v>
      </c>
      <c r="H140" s="8" t="s">
        <v>4325</v>
      </c>
      <c r="I140" s="8" t="s">
        <v>43</v>
      </c>
      <c r="J140" s="8" t="s">
        <v>41</v>
      </c>
      <c r="K140" s="8" t="s">
        <v>5696</v>
      </c>
      <c r="L140" s="8" t="s">
        <v>110</v>
      </c>
      <c r="M140" s="11" t="s">
        <v>1840</v>
      </c>
      <c r="N140" s="8">
        <v>1</v>
      </c>
      <c r="O140" s="8">
        <v>1</v>
      </c>
      <c r="P140" s="8">
        <v>0</v>
      </c>
      <c r="Q140" s="8">
        <v>0</v>
      </c>
      <c r="R140" s="8">
        <v>0</v>
      </c>
      <c r="S140" s="8">
        <v>1</v>
      </c>
      <c r="T140" s="8">
        <v>1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19">
        <f t="shared" si="12"/>
        <v>0</v>
      </c>
      <c r="AD140" s="19">
        <f t="shared" si="13"/>
        <v>0</v>
      </c>
      <c r="AE140" s="19">
        <f t="shared" si="14"/>
        <v>0</v>
      </c>
      <c r="AF140" s="19">
        <f t="shared" si="15"/>
        <v>0</v>
      </c>
      <c r="AG140" s="19">
        <f t="shared" si="16"/>
        <v>0</v>
      </c>
      <c r="AH140" s="19">
        <f t="shared" si="17"/>
        <v>0</v>
      </c>
    </row>
    <row r="141" spans="1:34">
      <c r="A141" s="8" t="s">
        <v>1148</v>
      </c>
      <c r="B141" s="8" t="s">
        <v>1992</v>
      </c>
      <c r="C141" s="8" t="s">
        <v>11</v>
      </c>
      <c r="D141" s="8" t="s">
        <v>6</v>
      </c>
      <c r="E141" s="8" t="s">
        <v>126</v>
      </c>
      <c r="F141" s="8" t="s">
        <v>3</v>
      </c>
      <c r="G141" s="8" t="s">
        <v>3</v>
      </c>
      <c r="H141" s="8" t="s">
        <v>375</v>
      </c>
      <c r="I141" s="8" t="s">
        <v>43</v>
      </c>
      <c r="J141" s="8" t="s">
        <v>41</v>
      </c>
      <c r="K141" s="8" t="s">
        <v>5696</v>
      </c>
      <c r="L141" s="8" t="s">
        <v>110</v>
      </c>
      <c r="M141" s="11" t="s">
        <v>1784</v>
      </c>
      <c r="N141" s="8">
        <v>11</v>
      </c>
      <c r="O141" s="8">
        <v>7</v>
      </c>
      <c r="P141" s="8">
        <v>4</v>
      </c>
      <c r="Q141" s="8">
        <v>1</v>
      </c>
      <c r="R141" s="8">
        <v>1</v>
      </c>
      <c r="S141" s="8">
        <v>2</v>
      </c>
      <c r="T141" s="8">
        <v>1</v>
      </c>
      <c r="U141" s="8">
        <v>7</v>
      </c>
      <c r="V141" s="8">
        <v>5</v>
      </c>
      <c r="W141" s="8">
        <v>1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19">
        <f t="shared" si="12"/>
        <v>0</v>
      </c>
      <c r="AD141" s="19">
        <f t="shared" si="13"/>
        <v>1</v>
      </c>
      <c r="AE141" s="19">
        <f t="shared" si="14"/>
        <v>2</v>
      </c>
      <c r="AF141" s="19">
        <f t="shared" si="15"/>
        <v>1</v>
      </c>
      <c r="AG141" s="19">
        <f t="shared" si="16"/>
        <v>0</v>
      </c>
      <c r="AH141" s="19">
        <f t="shared" si="17"/>
        <v>0</v>
      </c>
    </row>
    <row r="142" spans="1:34">
      <c r="A142" s="8" t="s">
        <v>1146</v>
      </c>
      <c r="B142" s="8" t="s">
        <v>2344</v>
      </c>
      <c r="C142" s="8" t="s">
        <v>118</v>
      </c>
      <c r="D142" s="8" t="s">
        <v>3</v>
      </c>
      <c r="E142" s="8" t="s">
        <v>41</v>
      </c>
      <c r="F142" s="8" t="s">
        <v>388</v>
      </c>
      <c r="G142" s="8" t="s">
        <v>3</v>
      </c>
      <c r="H142" s="8" t="s">
        <v>2345</v>
      </c>
      <c r="I142" s="8" t="s">
        <v>41</v>
      </c>
      <c r="J142" s="8" t="s">
        <v>41</v>
      </c>
      <c r="K142" s="8" t="s">
        <v>43</v>
      </c>
      <c r="L142" s="8" t="s">
        <v>110</v>
      </c>
      <c r="M142" s="11" t="s">
        <v>5679</v>
      </c>
      <c r="N142" s="8">
        <v>13</v>
      </c>
      <c r="O142" s="8">
        <v>12</v>
      </c>
      <c r="P142" s="8">
        <v>1</v>
      </c>
      <c r="Q142" s="8">
        <v>2</v>
      </c>
      <c r="R142" s="8">
        <v>2</v>
      </c>
      <c r="S142" s="8">
        <v>7</v>
      </c>
      <c r="T142" s="8">
        <v>6</v>
      </c>
      <c r="U142" s="8">
        <v>4</v>
      </c>
      <c r="V142" s="8">
        <v>4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19">
        <f t="shared" si="12"/>
        <v>0</v>
      </c>
      <c r="AD142" s="19">
        <f t="shared" si="13"/>
        <v>1</v>
      </c>
      <c r="AE142" s="19">
        <f t="shared" si="14"/>
        <v>0</v>
      </c>
      <c r="AF142" s="19">
        <f t="shared" si="15"/>
        <v>0</v>
      </c>
      <c r="AG142" s="19">
        <f t="shared" si="16"/>
        <v>0</v>
      </c>
      <c r="AH142" s="19">
        <f t="shared" si="17"/>
        <v>0</v>
      </c>
    </row>
    <row r="143" spans="1:34">
      <c r="A143" s="8" t="s">
        <v>1742</v>
      </c>
      <c r="B143" s="8" t="s">
        <v>1992</v>
      </c>
      <c r="C143" s="8" t="s">
        <v>13</v>
      </c>
      <c r="D143" s="8" t="s">
        <v>3</v>
      </c>
      <c r="E143" s="8" t="s">
        <v>126</v>
      </c>
      <c r="F143" s="8" t="s">
        <v>5</v>
      </c>
      <c r="G143" s="8" t="s">
        <v>3</v>
      </c>
      <c r="H143" s="8" t="s">
        <v>1787</v>
      </c>
      <c r="I143" s="8" t="s">
        <v>43</v>
      </c>
      <c r="J143" s="8" t="s">
        <v>41</v>
      </c>
      <c r="K143" s="8" t="s">
        <v>5696</v>
      </c>
      <c r="L143" s="8" t="s">
        <v>110</v>
      </c>
      <c r="M143" s="11" t="s">
        <v>3480</v>
      </c>
      <c r="N143" s="8">
        <v>4</v>
      </c>
      <c r="O143" s="8">
        <v>2</v>
      </c>
      <c r="P143" s="8">
        <v>2</v>
      </c>
      <c r="Q143" s="8">
        <v>1</v>
      </c>
      <c r="R143" s="8">
        <v>0</v>
      </c>
      <c r="S143" s="8">
        <v>2</v>
      </c>
      <c r="T143" s="8">
        <v>2</v>
      </c>
      <c r="U143" s="8">
        <v>0</v>
      </c>
      <c r="V143" s="8">
        <v>0</v>
      </c>
      <c r="W143" s="8">
        <v>1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19">
        <f t="shared" si="12"/>
        <v>1</v>
      </c>
      <c r="AD143" s="19">
        <f t="shared" si="13"/>
        <v>0</v>
      </c>
      <c r="AE143" s="19">
        <f t="shared" si="14"/>
        <v>0</v>
      </c>
      <c r="AF143" s="19">
        <f t="shared" si="15"/>
        <v>1</v>
      </c>
      <c r="AG143" s="19">
        <f t="shared" si="16"/>
        <v>0</v>
      </c>
      <c r="AH143" s="19">
        <f t="shared" si="17"/>
        <v>0</v>
      </c>
    </row>
    <row r="144" spans="1:34">
      <c r="A144" s="8" t="s">
        <v>1740</v>
      </c>
      <c r="B144" s="8" t="s">
        <v>1992</v>
      </c>
      <c r="C144" s="8" t="s">
        <v>304</v>
      </c>
      <c r="D144" s="8" t="s">
        <v>3</v>
      </c>
      <c r="E144" s="8" t="s">
        <v>68</v>
      </c>
      <c r="F144" s="8" t="s">
        <v>3</v>
      </c>
      <c r="G144" s="8" t="s">
        <v>3</v>
      </c>
      <c r="H144" s="8" t="s">
        <v>2349</v>
      </c>
      <c r="I144" s="8" t="s">
        <v>43</v>
      </c>
      <c r="J144" s="8" t="s">
        <v>41</v>
      </c>
      <c r="K144" s="8" t="s">
        <v>5696</v>
      </c>
      <c r="L144" s="8" t="s">
        <v>110</v>
      </c>
      <c r="M144" s="11" t="s">
        <v>1993</v>
      </c>
      <c r="N144" s="8">
        <v>10</v>
      </c>
      <c r="O144" s="8">
        <v>7</v>
      </c>
      <c r="P144" s="8">
        <v>3</v>
      </c>
      <c r="Q144" s="8">
        <v>4</v>
      </c>
      <c r="R144" s="8">
        <v>2</v>
      </c>
      <c r="S144" s="8">
        <v>1</v>
      </c>
      <c r="T144" s="8">
        <v>0</v>
      </c>
      <c r="U144" s="8">
        <v>4</v>
      </c>
      <c r="V144" s="8">
        <v>4</v>
      </c>
      <c r="W144" s="8">
        <v>1</v>
      </c>
      <c r="X144" s="8">
        <v>1</v>
      </c>
      <c r="Y144" s="8">
        <v>0</v>
      </c>
      <c r="Z144" s="8">
        <v>0</v>
      </c>
      <c r="AA144" s="8">
        <v>0</v>
      </c>
      <c r="AB144" s="8">
        <v>0</v>
      </c>
      <c r="AC144" s="19">
        <f t="shared" si="12"/>
        <v>2</v>
      </c>
      <c r="AD144" s="19">
        <f t="shared" si="13"/>
        <v>1</v>
      </c>
      <c r="AE144" s="19">
        <f t="shared" si="14"/>
        <v>0</v>
      </c>
      <c r="AF144" s="19">
        <f t="shared" si="15"/>
        <v>0</v>
      </c>
      <c r="AG144" s="19">
        <f t="shared" si="16"/>
        <v>0</v>
      </c>
      <c r="AH144" s="19">
        <f t="shared" si="17"/>
        <v>0</v>
      </c>
    </row>
    <row r="145" spans="1:34">
      <c r="A145" s="8" t="s">
        <v>1158</v>
      </c>
      <c r="B145" s="8" t="s">
        <v>1992</v>
      </c>
      <c r="C145" s="8" t="s">
        <v>956</v>
      </c>
      <c r="D145" s="8" t="s">
        <v>5</v>
      </c>
      <c r="E145" s="8" t="s">
        <v>41</v>
      </c>
      <c r="F145" s="8" t="s">
        <v>107</v>
      </c>
      <c r="G145" s="8" t="s">
        <v>3</v>
      </c>
      <c r="H145" s="8" t="s">
        <v>2350</v>
      </c>
      <c r="I145" s="8" t="s">
        <v>41</v>
      </c>
      <c r="J145" s="8" t="s">
        <v>41</v>
      </c>
      <c r="K145" s="8" t="s">
        <v>41</v>
      </c>
      <c r="L145" s="8" t="s">
        <v>110</v>
      </c>
      <c r="M145" s="11" t="s">
        <v>4495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19">
        <f t="shared" si="12"/>
        <v>0</v>
      </c>
      <c r="AD145" s="19">
        <f t="shared" si="13"/>
        <v>0</v>
      </c>
      <c r="AE145" s="19">
        <f t="shared" si="14"/>
        <v>0</v>
      </c>
      <c r="AF145" s="19">
        <f t="shared" si="15"/>
        <v>0</v>
      </c>
      <c r="AG145" s="19">
        <f t="shared" si="16"/>
        <v>0</v>
      </c>
      <c r="AH145" s="19">
        <f t="shared" si="17"/>
        <v>0</v>
      </c>
    </row>
    <row r="146" spans="1:34">
      <c r="A146" s="8" t="s">
        <v>240</v>
      </c>
      <c r="B146" s="8" t="s">
        <v>2352</v>
      </c>
      <c r="C146" s="8" t="s">
        <v>17</v>
      </c>
      <c r="D146" s="8" t="s">
        <v>3</v>
      </c>
      <c r="E146" s="8" t="s">
        <v>80</v>
      </c>
      <c r="F146" s="8" t="s">
        <v>3</v>
      </c>
      <c r="G146" s="8" t="s">
        <v>11</v>
      </c>
      <c r="H146" s="8" t="s">
        <v>734</v>
      </c>
      <c r="I146" s="8" t="s">
        <v>41</v>
      </c>
      <c r="J146" s="8" t="s">
        <v>41</v>
      </c>
      <c r="K146" s="8" t="s">
        <v>56</v>
      </c>
      <c r="L146" s="8" t="s">
        <v>110</v>
      </c>
      <c r="M146" s="11" t="s">
        <v>2353</v>
      </c>
      <c r="N146" s="8">
        <v>495</v>
      </c>
      <c r="O146" s="8">
        <v>263</v>
      </c>
      <c r="P146" s="8">
        <v>232</v>
      </c>
      <c r="Q146" s="8">
        <v>134</v>
      </c>
      <c r="R146" s="8">
        <v>66</v>
      </c>
      <c r="S146" s="8">
        <v>118</v>
      </c>
      <c r="T146" s="8">
        <v>71</v>
      </c>
      <c r="U146" s="8">
        <v>89</v>
      </c>
      <c r="V146" s="8">
        <v>53</v>
      </c>
      <c r="W146" s="8">
        <v>79</v>
      </c>
      <c r="X146" s="8">
        <v>45</v>
      </c>
      <c r="Y146" s="8">
        <v>75</v>
      </c>
      <c r="Z146" s="8">
        <v>28</v>
      </c>
      <c r="AA146" s="8">
        <v>0</v>
      </c>
      <c r="AB146" s="8">
        <v>0</v>
      </c>
      <c r="AC146" s="19">
        <f t="shared" si="12"/>
        <v>68</v>
      </c>
      <c r="AD146" s="19">
        <f t="shared" si="13"/>
        <v>47</v>
      </c>
      <c r="AE146" s="19">
        <f t="shared" si="14"/>
        <v>36</v>
      </c>
      <c r="AF146" s="19">
        <f t="shared" si="15"/>
        <v>34</v>
      </c>
      <c r="AG146" s="19">
        <f t="shared" si="16"/>
        <v>47</v>
      </c>
      <c r="AH146" s="19">
        <f t="shared" si="17"/>
        <v>0</v>
      </c>
    </row>
    <row r="147" spans="1:34">
      <c r="A147" s="8" t="s">
        <v>242</v>
      </c>
      <c r="B147" s="8" t="s">
        <v>1992</v>
      </c>
      <c r="C147" s="8" t="s">
        <v>9</v>
      </c>
      <c r="D147" s="8" t="s">
        <v>9</v>
      </c>
      <c r="E147" s="8" t="s">
        <v>110</v>
      </c>
      <c r="F147" s="8" t="s">
        <v>9</v>
      </c>
      <c r="G147" s="8" t="s">
        <v>5</v>
      </c>
      <c r="H147" s="8" t="s">
        <v>1814</v>
      </c>
      <c r="I147" s="8" t="s">
        <v>43</v>
      </c>
      <c r="J147" s="8" t="s">
        <v>41</v>
      </c>
      <c r="K147" s="8" t="s">
        <v>5696</v>
      </c>
      <c r="L147" s="8" t="s">
        <v>110</v>
      </c>
      <c r="M147" s="11" t="s">
        <v>3974</v>
      </c>
      <c r="N147" s="8">
        <v>2</v>
      </c>
      <c r="O147" s="8">
        <v>1</v>
      </c>
      <c r="P147" s="8">
        <v>1</v>
      </c>
      <c r="Q147" s="8">
        <v>0</v>
      </c>
      <c r="R147" s="8">
        <v>0</v>
      </c>
      <c r="S147" s="8">
        <v>1</v>
      </c>
      <c r="T147" s="8">
        <v>0</v>
      </c>
      <c r="U147" s="8">
        <v>1</v>
      </c>
      <c r="V147" s="8">
        <v>1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19">
        <f t="shared" si="12"/>
        <v>0</v>
      </c>
      <c r="AD147" s="19">
        <f t="shared" si="13"/>
        <v>1</v>
      </c>
      <c r="AE147" s="19">
        <f t="shared" si="14"/>
        <v>0</v>
      </c>
      <c r="AF147" s="19">
        <f t="shared" si="15"/>
        <v>0</v>
      </c>
      <c r="AG147" s="19">
        <f t="shared" si="16"/>
        <v>0</v>
      </c>
      <c r="AH147" s="19">
        <f t="shared" si="17"/>
        <v>0</v>
      </c>
    </row>
    <row r="148" spans="1:34">
      <c r="A148" s="8" t="s">
        <v>241</v>
      </c>
      <c r="B148" s="8" t="s">
        <v>1992</v>
      </c>
      <c r="C148" s="8" t="s">
        <v>304</v>
      </c>
      <c r="D148" s="8" t="s">
        <v>3</v>
      </c>
      <c r="E148" s="8" t="s">
        <v>68</v>
      </c>
      <c r="F148" s="8" t="s">
        <v>3</v>
      </c>
      <c r="G148" s="8" t="s">
        <v>3</v>
      </c>
      <c r="H148" s="8" t="s">
        <v>292</v>
      </c>
      <c r="I148" s="8" t="s">
        <v>43</v>
      </c>
      <c r="J148" s="8" t="s">
        <v>41</v>
      </c>
      <c r="K148" s="8" t="s">
        <v>5696</v>
      </c>
      <c r="L148" s="8" t="s">
        <v>110</v>
      </c>
      <c r="M148" s="11" t="s">
        <v>4496</v>
      </c>
      <c r="N148" s="8">
        <v>4</v>
      </c>
      <c r="O148" s="8">
        <v>2</v>
      </c>
      <c r="P148" s="8">
        <v>2</v>
      </c>
      <c r="Q148" s="8">
        <v>2</v>
      </c>
      <c r="R148" s="8">
        <v>1</v>
      </c>
      <c r="S148" s="8">
        <v>2</v>
      </c>
      <c r="T148" s="8">
        <v>1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19">
        <f t="shared" si="12"/>
        <v>1</v>
      </c>
      <c r="AD148" s="19">
        <f t="shared" si="13"/>
        <v>1</v>
      </c>
      <c r="AE148" s="19">
        <f t="shared" si="14"/>
        <v>0</v>
      </c>
      <c r="AF148" s="19">
        <f t="shared" si="15"/>
        <v>0</v>
      </c>
      <c r="AG148" s="19">
        <f t="shared" si="16"/>
        <v>0</v>
      </c>
      <c r="AH148" s="19">
        <f t="shared" si="17"/>
        <v>0</v>
      </c>
    </row>
    <row r="149" spans="1:34">
      <c r="A149" s="8" t="s">
        <v>244</v>
      </c>
      <c r="B149" s="8" t="s">
        <v>1992</v>
      </c>
      <c r="C149" s="8" t="s">
        <v>7</v>
      </c>
      <c r="D149" s="8" t="s">
        <v>3</v>
      </c>
      <c r="E149" s="8" t="s">
        <v>56</v>
      </c>
      <c r="F149" s="8" t="s">
        <v>3</v>
      </c>
      <c r="G149" s="8" t="s">
        <v>3</v>
      </c>
      <c r="H149" s="8" t="s">
        <v>1190</v>
      </c>
      <c r="I149" s="8" t="s">
        <v>41</v>
      </c>
      <c r="J149" s="8" t="s">
        <v>41</v>
      </c>
      <c r="K149" s="8" t="s">
        <v>41</v>
      </c>
      <c r="L149" s="8" t="s">
        <v>110</v>
      </c>
      <c r="M149" s="11" t="s">
        <v>2358</v>
      </c>
      <c r="N149" s="8">
        <v>2</v>
      </c>
      <c r="O149" s="8">
        <v>2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2</v>
      </c>
      <c r="Z149" s="8">
        <v>2</v>
      </c>
      <c r="AA149" s="8">
        <v>0</v>
      </c>
      <c r="AB149" s="8">
        <v>0</v>
      </c>
      <c r="AC149" s="19">
        <f t="shared" si="12"/>
        <v>0</v>
      </c>
      <c r="AD149" s="19">
        <f t="shared" si="13"/>
        <v>0</v>
      </c>
      <c r="AE149" s="19">
        <f t="shared" si="14"/>
        <v>0</v>
      </c>
      <c r="AF149" s="19">
        <f t="shared" si="15"/>
        <v>0</v>
      </c>
      <c r="AG149" s="19">
        <f t="shared" si="16"/>
        <v>0</v>
      </c>
      <c r="AH149" s="19">
        <f t="shared" si="17"/>
        <v>0</v>
      </c>
    </row>
    <row r="150" spans="1:34">
      <c r="A150" s="8" t="s">
        <v>243</v>
      </c>
      <c r="B150" s="8" t="s">
        <v>1992</v>
      </c>
      <c r="C150" s="8" t="s">
        <v>3</v>
      </c>
      <c r="D150" s="8" t="s">
        <v>7</v>
      </c>
      <c r="E150" s="8" t="s">
        <v>41</v>
      </c>
      <c r="F150" s="8" t="s">
        <v>3</v>
      </c>
      <c r="G150" s="8" t="s">
        <v>13</v>
      </c>
      <c r="H150" s="8" t="s">
        <v>1722</v>
      </c>
      <c r="I150" s="8" t="s">
        <v>43</v>
      </c>
      <c r="J150" s="8" t="s">
        <v>41</v>
      </c>
      <c r="K150" s="8" t="s">
        <v>5696</v>
      </c>
      <c r="L150" s="8" t="s">
        <v>110</v>
      </c>
      <c r="M150" s="11" t="s">
        <v>1806</v>
      </c>
      <c r="N150" s="8">
        <v>12</v>
      </c>
      <c r="O150" s="8">
        <v>7</v>
      </c>
      <c r="P150" s="8">
        <v>5</v>
      </c>
      <c r="Q150" s="8">
        <v>4</v>
      </c>
      <c r="R150" s="8">
        <v>1</v>
      </c>
      <c r="S150" s="8">
        <v>0</v>
      </c>
      <c r="T150" s="8">
        <v>0</v>
      </c>
      <c r="U150" s="8">
        <v>6</v>
      </c>
      <c r="V150" s="8">
        <v>4</v>
      </c>
      <c r="W150" s="8">
        <v>1</v>
      </c>
      <c r="X150" s="8">
        <v>1</v>
      </c>
      <c r="Y150" s="8">
        <v>1</v>
      </c>
      <c r="Z150" s="8">
        <v>1</v>
      </c>
      <c r="AA150" s="8">
        <v>0</v>
      </c>
      <c r="AB150" s="8">
        <v>0</v>
      </c>
      <c r="AC150" s="19">
        <f t="shared" si="12"/>
        <v>3</v>
      </c>
      <c r="AD150" s="19">
        <f t="shared" si="13"/>
        <v>0</v>
      </c>
      <c r="AE150" s="19">
        <f t="shared" si="14"/>
        <v>2</v>
      </c>
      <c r="AF150" s="19">
        <f t="shared" si="15"/>
        <v>0</v>
      </c>
      <c r="AG150" s="19">
        <f t="shared" si="16"/>
        <v>0</v>
      </c>
      <c r="AH150" s="19">
        <f t="shared" si="17"/>
        <v>0</v>
      </c>
    </row>
    <row r="151" spans="1:34">
      <c r="A151" s="8" t="s">
        <v>178</v>
      </c>
      <c r="B151" s="8" t="s">
        <v>1992</v>
      </c>
      <c r="C151" s="8" t="s">
        <v>5</v>
      </c>
      <c r="D151" s="8" t="s">
        <v>4</v>
      </c>
      <c r="E151" s="8" t="s">
        <v>43</v>
      </c>
      <c r="F151" s="8" t="s">
        <v>3</v>
      </c>
      <c r="G151" s="8" t="s">
        <v>13</v>
      </c>
      <c r="H151" s="8" t="s">
        <v>47</v>
      </c>
      <c r="I151" s="8" t="s">
        <v>43</v>
      </c>
      <c r="J151" s="8" t="s">
        <v>41</v>
      </c>
      <c r="K151" s="8" t="s">
        <v>5696</v>
      </c>
      <c r="L151" s="8" t="s">
        <v>110</v>
      </c>
      <c r="M151" s="11" t="s">
        <v>1765</v>
      </c>
      <c r="N151" s="8">
        <v>46</v>
      </c>
      <c r="O151" s="8">
        <v>28</v>
      </c>
      <c r="P151" s="8">
        <v>18</v>
      </c>
      <c r="Q151" s="8">
        <v>12</v>
      </c>
      <c r="R151" s="8">
        <v>8</v>
      </c>
      <c r="S151" s="8">
        <v>11</v>
      </c>
      <c r="T151" s="8">
        <v>6</v>
      </c>
      <c r="U151" s="8">
        <v>15</v>
      </c>
      <c r="V151" s="8">
        <v>10</v>
      </c>
      <c r="W151" s="8">
        <v>4</v>
      </c>
      <c r="X151" s="8">
        <v>2</v>
      </c>
      <c r="Y151" s="8">
        <v>4</v>
      </c>
      <c r="Z151" s="8">
        <v>2</v>
      </c>
      <c r="AA151" s="8">
        <v>0</v>
      </c>
      <c r="AB151" s="8">
        <v>0</v>
      </c>
      <c r="AC151" s="19">
        <f t="shared" si="12"/>
        <v>4</v>
      </c>
      <c r="AD151" s="19">
        <f t="shared" si="13"/>
        <v>5</v>
      </c>
      <c r="AE151" s="19">
        <f t="shared" si="14"/>
        <v>5</v>
      </c>
      <c r="AF151" s="19">
        <f t="shared" si="15"/>
        <v>2</v>
      </c>
      <c r="AG151" s="19">
        <f t="shared" si="16"/>
        <v>2</v>
      </c>
      <c r="AH151" s="19">
        <f t="shared" si="17"/>
        <v>0</v>
      </c>
    </row>
    <row r="152" spans="1:34">
      <c r="A152" s="8" t="s">
        <v>249</v>
      </c>
      <c r="B152" s="8" t="s">
        <v>2363</v>
      </c>
      <c r="C152" s="8" t="s">
        <v>956</v>
      </c>
      <c r="D152" s="8" t="s">
        <v>6</v>
      </c>
      <c r="E152" s="8" t="s">
        <v>41</v>
      </c>
      <c r="F152" s="8" t="s">
        <v>18</v>
      </c>
      <c r="G152" s="8" t="s">
        <v>3</v>
      </c>
      <c r="H152" s="8" t="s">
        <v>102</v>
      </c>
      <c r="I152" s="8" t="s">
        <v>41</v>
      </c>
      <c r="J152" s="8" t="s">
        <v>41</v>
      </c>
      <c r="K152" s="8" t="s">
        <v>41</v>
      </c>
      <c r="L152" s="8" t="s">
        <v>110</v>
      </c>
      <c r="M152" s="11" t="s">
        <v>2364</v>
      </c>
      <c r="N152" s="8">
        <v>195</v>
      </c>
      <c r="O152" s="8">
        <v>106</v>
      </c>
      <c r="P152" s="8">
        <v>89</v>
      </c>
      <c r="Q152" s="8">
        <v>5</v>
      </c>
      <c r="R152" s="8">
        <v>3</v>
      </c>
      <c r="S152" s="8">
        <v>3</v>
      </c>
      <c r="T152" s="8">
        <v>2</v>
      </c>
      <c r="U152" s="8">
        <v>102</v>
      </c>
      <c r="V152" s="8">
        <v>52</v>
      </c>
      <c r="W152" s="8">
        <v>34</v>
      </c>
      <c r="X152" s="8">
        <v>19</v>
      </c>
      <c r="Y152" s="8">
        <v>51</v>
      </c>
      <c r="Z152" s="8">
        <v>30</v>
      </c>
      <c r="AA152" s="8">
        <v>0</v>
      </c>
      <c r="AB152" s="8">
        <v>0</v>
      </c>
      <c r="AC152" s="19">
        <f t="shared" si="12"/>
        <v>2</v>
      </c>
      <c r="AD152" s="19">
        <f t="shared" si="13"/>
        <v>1</v>
      </c>
      <c r="AE152" s="19">
        <f t="shared" si="14"/>
        <v>50</v>
      </c>
      <c r="AF152" s="19">
        <f t="shared" si="15"/>
        <v>15</v>
      </c>
      <c r="AG152" s="19">
        <f t="shared" si="16"/>
        <v>21</v>
      </c>
      <c r="AH152" s="19">
        <f t="shared" si="17"/>
        <v>0</v>
      </c>
    </row>
    <row r="153" spans="1:34">
      <c r="A153" s="8" t="s">
        <v>250</v>
      </c>
      <c r="B153" s="8" t="s">
        <v>2365</v>
      </c>
      <c r="C153" s="8" t="s">
        <v>754</v>
      </c>
      <c r="D153" s="8" t="s">
        <v>5</v>
      </c>
      <c r="E153" s="8" t="s">
        <v>68</v>
      </c>
      <c r="F153" s="8" t="s">
        <v>4</v>
      </c>
      <c r="G153" s="8" t="s">
        <v>7</v>
      </c>
      <c r="H153" s="8" t="s">
        <v>856</v>
      </c>
      <c r="I153" s="8" t="s">
        <v>41</v>
      </c>
      <c r="J153" s="8" t="s">
        <v>41</v>
      </c>
      <c r="K153" s="8" t="s">
        <v>56</v>
      </c>
      <c r="L153" s="8" t="s">
        <v>110</v>
      </c>
      <c r="M153" s="11" t="s">
        <v>2366</v>
      </c>
      <c r="N153" s="8">
        <v>531</v>
      </c>
      <c r="O153" s="8">
        <v>290</v>
      </c>
      <c r="P153" s="8">
        <v>241</v>
      </c>
      <c r="Q153" s="8">
        <v>202</v>
      </c>
      <c r="R153" s="8">
        <v>98</v>
      </c>
      <c r="S153" s="8">
        <v>117</v>
      </c>
      <c r="T153" s="8">
        <v>66</v>
      </c>
      <c r="U153" s="8">
        <v>51</v>
      </c>
      <c r="V153" s="8">
        <v>32</v>
      </c>
      <c r="W153" s="8">
        <v>114</v>
      </c>
      <c r="X153" s="8">
        <v>66</v>
      </c>
      <c r="Y153" s="8">
        <v>47</v>
      </c>
      <c r="Z153" s="8">
        <v>28</v>
      </c>
      <c r="AA153" s="8">
        <v>0</v>
      </c>
      <c r="AB153" s="8">
        <v>0</v>
      </c>
      <c r="AC153" s="19">
        <f t="shared" si="12"/>
        <v>104</v>
      </c>
      <c r="AD153" s="19">
        <f t="shared" si="13"/>
        <v>51</v>
      </c>
      <c r="AE153" s="19">
        <f t="shared" si="14"/>
        <v>19</v>
      </c>
      <c r="AF153" s="19">
        <f t="shared" si="15"/>
        <v>48</v>
      </c>
      <c r="AG153" s="19">
        <f t="shared" si="16"/>
        <v>19</v>
      </c>
      <c r="AH153" s="19">
        <f t="shared" si="17"/>
        <v>0</v>
      </c>
    </row>
    <row r="154" spans="1:34">
      <c r="A154" s="8" t="s">
        <v>252</v>
      </c>
      <c r="B154" s="8" t="s">
        <v>1992</v>
      </c>
      <c r="C154" s="8" t="s">
        <v>6</v>
      </c>
      <c r="D154" s="8" t="s">
        <v>5</v>
      </c>
      <c r="E154" s="8" t="s">
        <v>43</v>
      </c>
      <c r="F154" s="8" t="s">
        <v>4</v>
      </c>
      <c r="G154" s="8" t="s">
        <v>12</v>
      </c>
      <c r="H154" s="8" t="s">
        <v>684</v>
      </c>
      <c r="I154" s="8" t="s">
        <v>43</v>
      </c>
      <c r="J154" s="8" t="s">
        <v>41</v>
      </c>
      <c r="K154" s="8" t="s">
        <v>5696</v>
      </c>
      <c r="L154" s="8" t="s">
        <v>110</v>
      </c>
      <c r="M154" s="11" t="s">
        <v>2369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19">
        <f t="shared" si="12"/>
        <v>0</v>
      </c>
      <c r="AD154" s="19">
        <f t="shared" si="13"/>
        <v>0</v>
      </c>
      <c r="AE154" s="19">
        <f t="shared" si="14"/>
        <v>0</v>
      </c>
      <c r="AF154" s="19">
        <f t="shared" si="15"/>
        <v>0</v>
      </c>
      <c r="AG154" s="19">
        <f t="shared" si="16"/>
        <v>0</v>
      </c>
      <c r="AH154" s="19">
        <f t="shared" si="17"/>
        <v>0</v>
      </c>
    </row>
    <row r="155" spans="1:34">
      <c r="A155" s="8" t="s">
        <v>207</v>
      </c>
      <c r="B155" s="8" t="s">
        <v>2371</v>
      </c>
      <c r="C155" s="8" t="s">
        <v>6</v>
      </c>
      <c r="D155" s="8" t="s">
        <v>12</v>
      </c>
      <c r="E155" s="8" t="s">
        <v>43</v>
      </c>
      <c r="F155" s="8" t="s">
        <v>4</v>
      </c>
      <c r="G155" s="8" t="s">
        <v>118</v>
      </c>
      <c r="H155" s="8" t="s">
        <v>679</v>
      </c>
      <c r="I155" s="8" t="s">
        <v>41</v>
      </c>
      <c r="J155" s="8" t="s">
        <v>43</v>
      </c>
      <c r="K155" s="8" t="s">
        <v>41</v>
      </c>
      <c r="L155" s="8" t="s">
        <v>110</v>
      </c>
      <c r="M155" s="11" t="s">
        <v>2372</v>
      </c>
      <c r="N155" s="8">
        <v>154</v>
      </c>
      <c r="O155" s="8">
        <v>76</v>
      </c>
      <c r="P155" s="8">
        <v>78</v>
      </c>
      <c r="Q155" s="8">
        <v>41</v>
      </c>
      <c r="R155" s="8">
        <v>18</v>
      </c>
      <c r="S155" s="8">
        <v>27</v>
      </c>
      <c r="T155" s="8">
        <v>17</v>
      </c>
      <c r="U155" s="8">
        <v>17</v>
      </c>
      <c r="V155" s="8">
        <v>10</v>
      </c>
      <c r="W155" s="8">
        <v>47</v>
      </c>
      <c r="X155" s="8">
        <v>23</v>
      </c>
      <c r="Y155" s="8">
        <v>22</v>
      </c>
      <c r="Z155" s="8">
        <v>8</v>
      </c>
      <c r="AA155" s="8">
        <v>0</v>
      </c>
      <c r="AB155" s="8">
        <v>0</v>
      </c>
      <c r="AC155" s="19">
        <f t="shared" si="12"/>
        <v>23</v>
      </c>
      <c r="AD155" s="19">
        <f t="shared" si="13"/>
        <v>10</v>
      </c>
      <c r="AE155" s="19">
        <f t="shared" si="14"/>
        <v>7</v>
      </c>
      <c r="AF155" s="19">
        <f t="shared" si="15"/>
        <v>24</v>
      </c>
      <c r="AG155" s="19">
        <f t="shared" si="16"/>
        <v>14</v>
      </c>
      <c r="AH155" s="19">
        <f t="shared" si="17"/>
        <v>0</v>
      </c>
    </row>
    <row r="156" spans="1:34">
      <c r="A156" s="8" t="s">
        <v>1154</v>
      </c>
      <c r="B156" s="8" t="s">
        <v>1992</v>
      </c>
      <c r="C156" s="8" t="s">
        <v>6</v>
      </c>
      <c r="D156" s="8" t="s">
        <v>5</v>
      </c>
      <c r="E156" s="8" t="s">
        <v>43</v>
      </c>
      <c r="F156" s="8" t="s">
        <v>4</v>
      </c>
      <c r="G156" s="8" t="s">
        <v>12</v>
      </c>
      <c r="H156" s="8" t="s">
        <v>236</v>
      </c>
      <c r="I156" s="8" t="s">
        <v>41</v>
      </c>
      <c r="J156" s="8" t="s">
        <v>41</v>
      </c>
      <c r="K156" s="8" t="s">
        <v>41</v>
      </c>
      <c r="L156" s="8" t="s">
        <v>110</v>
      </c>
      <c r="M156" s="11" t="s">
        <v>2373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19">
        <f t="shared" si="12"/>
        <v>0</v>
      </c>
      <c r="AD156" s="19">
        <f t="shared" si="13"/>
        <v>0</v>
      </c>
      <c r="AE156" s="19">
        <f t="shared" si="14"/>
        <v>0</v>
      </c>
      <c r="AF156" s="19">
        <f t="shared" si="15"/>
        <v>0</v>
      </c>
      <c r="AG156" s="19">
        <f t="shared" si="16"/>
        <v>0</v>
      </c>
      <c r="AH156" s="19">
        <f t="shared" si="17"/>
        <v>0</v>
      </c>
    </row>
    <row r="157" spans="1:34">
      <c r="A157" s="8" t="s">
        <v>895</v>
      </c>
      <c r="B157" s="8" t="s">
        <v>1992</v>
      </c>
      <c r="C157" s="8" t="s">
        <v>957</v>
      </c>
      <c r="D157" s="8" t="s">
        <v>6</v>
      </c>
      <c r="E157" s="8" t="s">
        <v>41</v>
      </c>
      <c r="F157" s="8" t="s">
        <v>12</v>
      </c>
      <c r="G157" s="8" t="s">
        <v>6</v>
      </c>
      <c r="H157" s="8" t="s">
        <v>4114</v>
      </c>
      <c r="I157" s="8" t="s">
        <v>43</v>
      </c>
      <c r="J157" s="8" t="s">
        <v>41</v>
      </c>
      <c r="K157" s="8" t="s">
        <v>5696</v>
      </c>
      <c r="L157" s="8" t="s">
        <v>110</v>
      </c>
      <c r="M157" s="11" t="s">
        <v>2376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19">
        <f t="shared" si="12"/>
        <v>0</v>
      </c>
      <c r="AD157" s="19">
        <f t="shared" si="13"/>
        <v>0</v>
      </c>
      <c r="AE157" s="19">
        <f t="shared" si="14"/>
        <v>0</v>
      </c>
      <c r="AF157" s="19">
        <f t="shared" si="15"/>
        <v>0</v>
      </c>
      <c r="AG157" s="19">
        <f t="shared" si="16"/>
        <v>0</v>
      </c>
      <c r="AH157" s="19">
        <f t="shared" si="17"/>
        <v>0</v>
      </c>
    </row>
    <row r="158" spans="1:34">
      <c r="A158" s="8" t="s">
        <v>949</v>
      </c>
      <c r="B158" s="8" t="s">
        <v>1992</v>
      </c>
      <c r="C158" s="8" t="s">
        <v>956</v>
      </c>
      <c r="D158" s="8" t="s">
        <v>7</v>
      </c>
      <c r="E158" s="8" t="s">
        <v>41</v>
      </c>
      <c r="F158" s="8" t="s">
        <v>118</v>
      </c>
      <c r="G158" s="8" t="s">
        <v>3</v>
      </c>
      <c r="H158" s="8" t="s">
        <v>239</v>
      </c>
      <c r="I158" s="8" t="s">
        <v>43</v>
      </c>
      <c r="J158" s="8" t="s">
        <v>41</v>
      </c>
      <c r="K158" s="8" t="s">
        <v>5696</v>
      </c>
      <c r="L158" s="8" t="s">
        <v>110</v>
      </c>
      <c r="M158" s="11" t="s">
        <v>2377</v>
      </c>
      <c r="N158" s="8">
        <v>16</v>
      </c>
      <c r="O158" s="8">
        <v>11</v>
      </c>
      <c r="P158" s="8">
        <v>5</v>
      </c>
      <c r="Q158" s="8">
        <v>6</v>
      </c>
      <c r="R158" s="8">
        <v>5</v>
      </c>
      <c r="S158" s="8">
        <v>5</v>
      </c>
      <c r="T158" s="8">
        <v>2</v>
      </c>
      <c r="U158" s="8">
        <v>0</v>
      </c>
      <c r="V158" s="8">
        <v>0</v>
      </c>
      <c r="W158" s="8">
        <v>5</v>
      </c>
      <c r="X158" s="8">
        <v>4</v>
      </c>
      <c r="Y158" s="8">
        <v>0</v>
      </c>
      <c r="Z158" s="8">
        <v>0</v>
      </c>
      <c r="AA158" s="8">
        <v>0</v>
      </c>
      <c r="AB158" s="8">
        <v>0</v>
      </c>
      <c r="AC158" s="19">
        <f t="shared" si="12"/>
        <v>1</v>
      </c>
      <c r="AD158" s="19">
        <f t="shared" si="13"/>
        <v>3</v>
      </c>
      <c r="AE158" s="19">
        <f t="shared" si="14"/>
        <v>0</v>
      </c>
      <c r="AF158" s="19">
        <f t="shared" si="15"/>
        <v>1</v>
      </c>
      <c r="AG158" s="19">
        <f t="shared" si="16"/>
        <v>0</v>
      </c>
      <c r="AH158" s="19">
        <f t="shared" si="17"/>
        <v>0</v>
      </c>
    </row>
    <row r="159" spans="1:34">
      <c r="A159" s="8" t="s">
        <v>2379</v>
      </c>
      <c r="B159" s="8" t="s">
        <v>1992</v>
      </c>
      <c r="C159" s="8" t="s">
        <v>956</v>
      </c>
      <c r="D159" s="8" t="s">
        <v>7</v>
      </c>
      <c r="E159" s="8" t="s">
        <v>41</v>
      </c>
      <c r="F159" s="8" t="s">
        <v>118</v>
      </c>
      <c r="G159" s="8" t="s">
        <v>3</v>
      </c>
      <c r="H159" s="8" t="s">
        <v>770</v>
      </c>
      <c r="I159" s="8" t="s">
        <v>43</v>
      </c>
      <c r="J159" s="8" t="s">
        <v>41</v>
      </c>
      <c r="K159" s="8" t="s">
        <v>5696</v>
      </c>
      <c r="L159" s="8" t="s">
        <v>110</v>
      </c>
      <c r="M159" s="11" t="s">
        <v>1821</v>
      </c>
      <c r="N159" s="8">
        <v>2</v>
      </c>
      <c r="O159" s="8">
        <v>2</v>
      </c>
      <c r="P159" s="8">
        <v>0</v>
      </c>
      <c r="Q159" s="8">
        <v>1</v>
      </c>
      <c r="R159" s="8">
        <v>1</v>
      </c>
      <c r="S159" s="8">
        <v>1</v>
      </c>
      <c r="T159" s="8">
        <v>1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19">
        <f t="shared" si="12"/>
        <v>0</v>
      </c>
      <c r="AD159" s="19">
        <f t="shared" si="13"/>
        <v>0</v>
      </c>
      <c r="AE159" s="19">
        <f t="shared" si="14"/>
        <v>0</v>
      </c>
      <c r="AF159" s="19">
        <f t="shared" si="15"/>
        <v>0</v>
      </c>
      <c r="AG159" s="19">
        <f t="shared" si="16"/>
        <v>0</v>
      </c>
      <c r="AH159" s="19">
        <f t="shared" si="17"/>
        <v>0</v>
      </c>
    </row>
    <row r="160" spans="1:34">
      <c r="A160" s="8" t="s">
        <v>1065</v>
      </c>
      <c r="B160" s="8" t="s">
        <v>1992</v>
      </c>
      <c r="C160" s="8" t="s">
        <v>956</v>
      </c>
      <c r="D160" s="8" t="s">
        <v>5</v>
      </c>
      <c r="E160" s="8" t="s">
        <v>41</v>
      </c>
      <c r="F160" s="8" t="s">
        <v>107</v>
      </c>
      <c r="G160" s="8" t="s">
        <v>3</v>
      </c>
      <c r="H160" s="8" t="s">
        <v>208</v>
      </c>
      <c r="I160" s="8" t="s">
        <v>43</v>
      </c>
      <c r="J160" s="8" t="s">
        <v>41</v>
      </c>
      <c r="K160" s="8" t="s">
        <v>5696</v>
      </c>
      <c r="L160" s="8" t="s">
        <v>110</v>
      </c>
      <c r="M160" s="11" t="s">
        <v>1788</v>
      </c>
      <c r="N160" s="8">
        <v>4</v>
      </c>
      <c r="O160" s="8">
        <v>2</v>
      </c>
      <c r="P160" s="8">
        <v>2</v>
      </c>
      <c r="Q160" s="8">
        <v>0</v>
      </c>
      <c r="R160" s="8">
        <v>0</v>
      </c>
      <c r="S160" s="8">
        <v>0</v>
      </c>
      <c r="T160" s="8">
        <v>0</v>
      </c>
      <c r="U160" s="8">
        <v>1</v>
      </c>
      <c r="V160" s="8">
        <v>0</v>
      </c>
      <c r="W160" s="8">
        <v>3</v>
      </c>
      <c r="X160" s="8">
        <v>2</v>
      </c>
      <c r="Y160" s="8">
        <v>0</v>
      </c>
      <c r="Z160" s="8">
        <v>0</v>
      </c>
      <c r="AA160" s="8">
        <v>0</v>
      </c>
      <c r="AB160" s="8">
        <v>0</v>
      </c>
      <c r="AC160" s="19">
        <f t="shared" si="12"/>
        <v>0</v>
      </c>
      <c r="AD160" s="19">
        <f t="shared" si="13"/>
        <v>0</v>
      </c>
      <c r="AE160" s="19">
        <f t="shared" si="14"/>
        <v>1</v>
      </c>
      <c r="AF160" s="19">
        <f t="shared" si="15"/>
        <v>1</v>
      </c>
      <c r="AG160" s="19">
        <f t="shared" si="16"/>
        <v>0</v>
      </c>
      <c r="AH160" s="19">
        <f t="shared" si="17"/>
        <v>0</v>
      </c>
    </row>
    <row r="161" spans="1:34">
      <c r="A161" s="8" t="s">
        <v>1134</v>
      </c>
      <c r="B161" s="8" t="s">
        <v>2381</v>
      </c>
      <c r="C161" s="8" t="s">
        <v>118</v>
      </c>
      <c r="D161" s="8" t="s">
        <v>12</v>
      </c>
      <c r="E161" s="8" t="s">
        <v>41</v>
      </c>
      <c r="F161" s="8" t="s">
        <v>388</v>
      </c>
      <c r="G161" s="8" t="s">
        <v>7</v>
      </c>
      <c r="H161" s="8" t="s">
        <v>236</v>
      </c>
      <c r="I161" s="8" t="s">
        <v>41</v>
      </c>
      <c r="J161" s="8" t="s">
        <v>43</v>
      </c>
      <c r="K161" s="8" t="s">
        <v>43</v>
      </c>
      <c r="L161" s="8" t="s">
        <v>110</v>
      </c>
      <c r="M161" s="11" t="s">
        <v>2382</v>
      </c>
      <c r="N161" s="8">
        <v>61</v>
      </c>
      <c r="O161" s="8">
        <v>29</v>
      </c>
      <c r="P161" s="8">
        <v>32</v>
      </c>
      <c r="Q161" s="8">
        <v>20</v>
      </c>
      <c r="R161" s="8">
        <v>10</v>
      </c>
      <c r="S161" s="8">
        <v>15</v>
      </c>
      <c r="T161" s="8">
        <v>7</v>
      </c>
      <c r="U161" s="8">
        <v>8</v>
      </c>
      <c r="V161" s="8">
        <v>2</v>
      </c>
      <c r="W161" s="8">
        <v>18</v>
      </c>
      <c r="X161" s="8">
        <v>10</v>
      </c>
      <c r="Y161" s="8">
        <v>0</v>
      </c>
      <c r="Z161" s="8">
        <v>0</v>
      </c>
      <c r="AA161" s="8">
        <v>0</v>
      </c>
      <c r="AB161" s="8">
        <v>0</v>
      </c>
      <c r="AC161" s="19">
        <f t="shared" si="12"/>
        <v>10</v>
      </c>
      <c r="AD161" s="19">
        <f t="shared" si="13"/>
        <v>8</v>
      </c>
      <c r="AE161" s="19">
        <f t="shared" si="14"/>
        <v>6</v>
      </c>
      <c r="AF161" s="19">
        <f t="shared" si="15"/>
        <v>8</v>
      </c>
      <c r="AG161" s="19">
        <f t="shared" si="16"/>
        <v>0</v>
      </c>
      <c r="AH161" s="19">
        <f t="shared" si="17"/>
        <v>0</v>
      </c>
    </row>
    <row r="162" spans="1:34">
      <c r="A162" s="8" t="s">
        <v>1064</v>
      </c>
      <c r="B162" s="8" t="s">
        <v>2385</v>
      </c>
      <c r="C162" s="8" t="s">
        <v>9</v>
      </c>
      <c r="D162" s="8" t="s">
        <v>9</v>
      </c>
      <c r="E162" s="8" t="s">
        <v>110</v>
      </c>
      <c r="F162" s="8" t="s">
        <v>3</v>
      </c>
      <c r="G162" s="8" t="s">
        <v>6</v>
      </c>
      <c r="H162" s="8" t="s">
        <v>138</v>
      </c>
      <c r="I162" s="8" t="s">
        <v>41</v>
      </c>
      <c r="J162" s="8" t="s">
        <v>41</v>
      </c>
      <c r="K162" s="8" t="s">
        <v>43</v>
      </c>
      <c r="L162" s="8" t="s">
        <v>110</v>
      </c>
      <c r="M162" s="11" t="s">
        <v>2386</v>
      </c>
      <c r="N162" s="8">
        <v>282</v>
      </c>
      <c r="O162" s="8">
        <v>159</v>
      </c>
      <c r="P162" s="8">
        <v>123</v>
      </c>
      <c r="Q162" s="8">
        <v>79</v>
      </c>
      <c r="R162" s="8">
        <v>41</v>
      </c>
      <c r="S162" s="8">
        <v>66</v>
      </c>
      <c r="T162" s="8">
        <v>37</v>
      </c>
      <c r="U162" s="8">
        <v>35</v>
      </c>
      <c r="V162" s="8">
        <v>21</v>
      </c>
      <c r="W162" s="8">
        <v>70</v>
      </c>
      <c r="X162" s="8">
        <v>42</v>
      </c>
      <c r="Y162" s="8">
        <v>32</v>
      </c>
      <c r="Z162" s="8">
        <v>18</v>
      </c>
      <c r="AA162" s="8">
        <v>0</v>
      </c>
      <c r="AB162" s="8">
        <v>0</v>
      </c>
      <c r="AC162" s="19">
        <f t="shared" si="12"/>
        <v>38</v>
      </c>
      <c r="AD162" s="19">
        <f t="shared" si="13"/>
        <v>29</v>
      </c>
      <c r="AE162" s="19">
        <f t="shared" si="14"/>
        <v>14</v>
      </c>
      <c r="AF162" s="19">
        <f t="shared" si="15"/>
        <v>28</v>
      </c>
      <c r="AG162" s="19">
        <f t="shared" si="16"/>
        <v>14</v>
      </c>
      <c r="AH162" s="19">
        <f t="shared" si="17"/>
        <v>0</v>
      </c>
    </row>
    <row r="163" spans="1:34">
      <c r="A163" s="8" t="s">
        <v>896</v>
      </c>
      <c r="B163" s="8" t="s">
        <v>2388</v>
      </c>
      <c r="C163" s="8" t="s">
        <v>118</v>
      </c>
      <c r="D163" s="8" t="s">
        <v>5</v>
      </c>
      <c r="E163" s="8" t="s">
        <v>41</v>
      </c>
      <c r="F163" s="8" t="s">
        <v>388</v>
      </c>
      <c r="G163" s="8" t="s">
        <v>5</v>
      </c>
      <c r="H163" s="8" t="s">
        <v>119</v>
      </c>
      <c r="I163" s="8" t="s">
        <v>41</v>
      </c>
      <c r="J163" s="8" t="s">
        <v>41</v>
      </c>
      <c r="K163" s="8" t="s">
        <v>41</v>
      </c>
      <c r="L163" s="8" t="s">
        <v>110</v>
      </c>
      <c r="M163" s="11" t="s">
        <v>4057</v>
      </c>
      <c r="N163" s="8">
        <v>46</v>
      </c>
      <c r="O163" s="8">
        <v>26</v>
      </c>
      <c r="P163" s="8">
        <v>20</v>
      </c>
      <c r="Q163" s="8">
        <v>16</v>
      </c>
      <c r="R163" s="8">
        <v>9</v>
      </c>
      <c r="S163" s="8">
        <v>5</v>
      </c>
      <c r="T163" s="8">
        <v>5</v>
      </c>
      <c r="U163" s="8">
        <v>16</v>
      </c>
      <c r="V163" s="8">
        <v>7</v>
      </c>
      <c r="W163" s="8">
        <v>9</v>
      </c>
      <c r="X163" s="8">
        <v>5</v>
      </c>
      <c r="Y163" s="8">
        <v>0</v>
      </c>
      <c r="Z163" s="8">
        <v>0</v>
      </c>
      <c r="AA163" s="8">
        <v>0</v>
      </c>
      <c r="AB163" s="8">
        <v>0</v>
      </c>
      <c r="AC163" s="19">
        <f t="shared" si="12"/>
        <v>7</v>
      </c>
      <c r="AD163" s="19">
        <f t="shared" si="13"/>
        <v>0</v>
      </c>
      <c r="AE163" s="19">
        <f t="shared" si="14"/>
        <v>9</v>
      </c>
      <c r="AF163" s="19">
        <f t="shared" si="15"/>
        <v>4</v>
      </c>
      <c r="AG163" s="19">
        <f t="shared" si="16"/>
        <v>0</v>
      </c>
      <c r="AH163" s="19">
        <f t="shared" si="17"/>
        <v>0</v>
      </c>
    </row>
    <row r="164" spans="1:34">
      <c r="A164" s="8" t="s">
        <v>947</v>
      </c>
      <c r="B164" s="8" t="s">
        <v>2389</v>
      </c>
      <c r="C164" s="8" t="s">
        <v>954</v>
      </c>
      <c r="D164" s="8" t="s">
        <v>6</v>
      </c>
      <c r="E164" s="8" t="s">
        <v>80</v>
      </c>
      <c r="F164" s="8" t="s">
        <v>5</v>
      </c>
      <c r="G164" s="8" t="s">
        <v>11</v>
      </c>
      <c r="H164" s="8" t="s">
        <v>175</v>
      </c>
      <c r="I164" s="8" t="s">
        <v>41</v>
      </c>
      <c r="J164" s="8" t="s">
        <v>43</v>
      </c>
      <c r="K164" s="8" t="s">
        <v>5696</v>
      </c>
      <c r="L164" s="8" t="s">
        <v>110</v>
      </c>
      <c r="M164" s="11" t="s">
        <v>2390</v>
      </c>
      <c r="N164" s="8">
        <v>29</v>
      </c>
      <c r="O164" s="8">
        <v>22</v>
      </c>
      <c r="P164" s="8">
        <v>7</v>
      </c>
      <c r="Q164" s="8">
        <v>8</v>
      </c>
      <c r="R164" s="8">
        <v>8</v>
      </c>
      <c r="S164" s="8">
        <v>0</v>
      </c>
      <c r="T164" s="8">
        <v>0</v>
      </c>
      <c r="U164" s="8">
        <v>0</v>
      </c>
      <c r="V164" s="8">
        <v>0</v>
      </c>
      <c r="W164" s="8">
        <v>14</v>
      </c>
      <c r="X164" s="8">
        <v>9</v>
      </c>
      <c r="Y164" s="8">
        <v>7</v>
      </c>
      <c r="Z164" s="8">
        <v>5</v>
      </c>
      <c r="AA164" s="8">
        <v>0</v>
      </c>
      <c r="AB164" s="8">
        <v>0</v>
      </c>
      <c r="AC164" s="19">
        <f t="shared" si="12"/>
        <v>0</v>
      </c>
      <c r="AD164" s="19">
        <f t="shared" si="13"/>
        <v>0</v>
      </c>
      <c r="AE164" s="19">
        <f t="shared" si="14"/>
        <v>0</v>
      </c>
      <c r="AF164" s="19">
        <f t="shared" si="15"/>
        <v>5</v>
      </c>
      <c r="AG164" s="19">
        <f t="shared" si="16"/>
        <v>2</v>
      </c>
      <c r="AH164" s="19">
        <f t="shared" si="17"/>
        <v>0</v>
      </c>
    </row>
    <row r="165" spans="1:34">
      <c r="A165" s="8" t="s">
        <v>897</v>
      </c>
      <c r="B165" s="8" t="s">
        <v>2392</v>
      </c>
      <c r="C165" s="8" t="s">
        <v>954</v>
      </c>
      <c r="D165" s="8" t="s">
        <v>5</v>
      </c>
      <c r="E165" s="8" t="s">
        <v>80</v>
      </c>
      <c r="F165" s="8" t="s">
        <v>5</v>
      </c>
      <c r="G165" s="8" t="s">
        <v>5</v>
      </c>
      <c r="H165" s="8" t="s">
        <v>542</v>
      </c>
      <c r="I165" s="8" t="s">
        <v>41</v>
      </c>
      <c r="J165" s="8" t="s">
        <v>43</v>
      </c>
      <c r="K165" s="8" t="s">
        <v>41</v>
      </c>
      <c r="L165" s="8" t="s">
        <v>110</v>
      </c>
      <c r="M165" s="11" t="s">
        <v>2393</v>
      </c>
      <c r="N165" s="8">
        <v>37</v>
      </c>
      <c r="O165" s="8">
        <v>16</v>
      </c>
      <c r="P165" s="8">
        <v>21</v>
      </c>
      <c r="Q165" s="8">
        <v>8</v>
      </c>
      <c r="R165" s="8">
        <v>5</v>
      </c>
      <c r="S165" s="8">
        <v>9</v>
      </c>
      <c r="T165" s="8">
        <v>3</v>
      </c>
      <c r="U165" s="8">
        <v>3</v>
      </c>
      <c r="V165" s="8">
        <v>1</v>
      </c>
      <c r="W165" s="8">
        <v>10</v>
      </c>
      <c r="X165" s="8">
        <v>3</v>
      </c>
      <c r="Y165" s="8">
        <v>7</v>
      </c>
      <c r="Z165" s="8">
        <v>4</v>
      </c>
      <c r="AA165" s="8">
        <v>0</v>
      </c>
      <c r="AB165" s="8">
        <v>0</v>
      </c>
      <c r="AC165" s="19">
        <f t="shared" si="12"/>
        <v>3</v>
      </c>
      <c r="AD165" s="19">
        <f t="shared" si="13"/>
        <v>6</v>
      </c>
      <c r="AE165" s="19">
        <f t="shared" si="14"/>
        <v>2</v>
      </c>
      <c r="AF165" s="19">
        <f t="shared" si="15"/>
        <v>7</v>
      </c>
      <c r="AG165" s="19">
        <f t="shared" si="16"/>
        <v>3</v>
      </c>
      <c r="AH165" s="19">
        <f t="shared" si="17"/>
        <v>0</v>
      </c>
    </row>
    <row r="166" spans="1:34">
      <c r="A166" s="8" t="s">
        <v>1066</v>
      </c>
      <c r="B166" s="8" t="s">
        <v>2395</v>
      </c>
      <c r="C166" s="8" t="s">
        <v>5</v>
      </c>
      <c r="D166" s="8" t="s">
        <v>13</v>
      </c>
      <c r="E166" s="8" t="s">
        <v>43</v>
      </c>
      <c r="F166" s="8" t="s">
        <v>5</v>
      </c>
      <c r="G166" s="8" t="s">
        <v>6</v>
      </c>
      <c r="H166" s="8" t="s">
        <v>637</v>
      </c>
      <c r="I166" s="8" t="s">
        <v>41</v>
      </c>
      <c r="J166" s="8" t="s">
        <v>41</v>
      </c>
      <c r="K166" s="8" t="s">
        <v>41</v>
      </c>
      <c r="L166" s="8" t="s">
        <v>110</v>
      </c>
      <c r="M166" s="11" t="s">
        <v>5565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19">
        <f t="shared" si="12"/>
        <v>0</v>
      </c>
      <c r="AD166" s="19">
        <f t="shared" si="13"/>
        <v>0</v>
      </c>
      <c r="AE166" s="19">
        <f t="shared" si="14"/>
        <v>0</v>
      </c>
      <c r="AF166" s="19">
        <f t="shared" si="15"/>
        <v>0</v>
      </c>
      <c r="AG166" s="19">
        <f t="shared" si="16"/>
        <v>0</v>
      </c>
      <c r="AH166" s="19">
        <f t="shared" si="17"/>
        <v>0</v>
      </c>
    </row>
    <row r="167" spans="1:34">
      <c r="A167" s="8" t="s">
        <v>898</v>
      </c>
      <c r="B167" s="8" t="s">
        <v>1992</v>
      </c>
      <c r="C167" s="8" t="s">
        <v>304</v>
      </c>
      <c r="D167" s="8" t="s">
        <v>3</v>
      </c>
      <c r="E167" s="8" t="s">
        <v>68</v>
      </c>
      <c r="F167" s="8" t="s">
        <v>3</v>
      </c>
      <c r="G167" s="8" t="s">
        <v>3</v>
      </c>
      <c r="H167" s="8" t="s">
        <v>2398</v>
      </c>
      <c r="I167" s="8" t="s">
        <v>43</v>
      </c>
      <c r="J167" s="8" t="s">
        <v>41</v>
      </c>
      <c r="K167" s="8" t="s">
        <v>5696</v>
      </c>
      <c r="L167" s="8" t="s">
        <v>110</v>
      </c>
      <c r="M167" s="11" t="s">
        <v>3481</v>
      </c>
      <c r="N167" s="8">
        <v>2</v>
      </c>
      <c r="O167" s="8">
        <v>2</v>
      </c>
      <c r="P167" s="8">
        <v>0</v>
      </c>
      <c r="Q167" s="8">
        <v>1</v>
      </c>
      <c r="R167" s="8">
        <v>1</v>
      </c>
      <c r="S167" s="8">
        <v>1</v>
      </c>
      <c r="T167" s="8">
        <v>1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19">
        <f t="shared" si="12"/>
        <v>0</v>
      </c>
      <c r="AD167" s="19">
        <f t="shared" si="13"/>
        <v>0</v>
      </c>
      <c r="AE167" s="19">
        <f t="shared" si="14"/>
        <v>0</v>
      </c>
      <c r="AF167" s="19">
        <f t="shared" si="15"/>
        <v>0</v>
      </c>
      <c r="AG167" s="19">
        <f t="shared" si="16"/>
        <v>0</v>
      </c>
      <c r="AH167" s="19">
        <f t="shared" si="17"/>
        <v>0</v>
      </c>
    </row>
    <row r="168" spans="1:34">
      <c r="A168" s="8" t="s">
        <v>264</v>
      </c>
      <c r="B168" s="8" t="s">
        <v>2400</v>
      </c>
      <c r="C168" s="8" t="s">
        <v>304</v>
      </c>
      <c r="D168" s="8" t="s">
        <v>7</v>
      </c>
      <c r="E168" s="8" t="s">
        <v>68</v>
      </c>
      <c r="F168" s="8" t="s">
        <v>5</v>
      </c>
      <c r="G168" s="8" t="s">
        <v>9</v>
      </c>
      <c r="H168" s="8" t="s">
        <v>2402</v>
      </c>
      <c r="I168" s="8" t="s">
        <v>41</v>
      </c>
      <c r="J168" s="8" t="s">
        <v>41</v>
      </c>
      <c r="K168" s="8" t="s">
        <v>41</v>
      </c>
      <c r="L168" s="8" t="s">
        <v>110</v>
      </c>
      <c r="M168" s="11" t="s">
        <v>2401</v>
      </c>
      <c r="N168" s="8">
        <v>50</v>
      </c>
      <c r="O168" s="8">
        <v>29</v>
      </c>
      <c r="P168" s="8">
        <v>21</v>
      </c>
      <c r="Q168" s="8">
        <v>16</v>
      </c>
      <c r="R168" s="8">
        <v>9</v>
      </c>
      <c r="S168" s="8">
        <v>9</v>
      </c>
      <c r="T168" s="8">
        <v>5</v>
      </c>
      <c r="U168" s="8">
        <v>7</v>
      </c>
      <c r="V168" s="8">
        <v>4</v>
      </c>
      <c r="W168" s="8">
        <v>17</v>
      </c>
      <c r="X168" s="8">
        <v>10</v>
      </c>
      <c r="Y168" s="8">
        <v>1</v>
      </c>
      <c r="Z168" s="8">
        <v>1</v>
      </c>
      <c r="AA168" s="8">
        <v>0</v>
      </c>
      <c r="AB168" s="8">
        <v>0</v>
      </c>
      <c r="AC168" s="19">
        <f t="shared" si="12"/>
        <v>7</v>
      </c>
      <c r="AD168" s="19">
        <f t="shared" si="13"/>
        <v>4</v>
      </c>
      <c r="AE168" s="19">
        <f t="shared" si="14"/>
        <v>3</v>
      </c>
      <c r="AF168" s="19">
        <f t="shared" si="15"/>
        <v>7</v>
      </c>
      <c r="AG168" s="19">
        <f t="shared" si="16"/>
        <v>0</v>
      </c>
      <c r="AH168" s="19">
        <f t="shared" si="17"/>
        <v>0</v>
      </c>
    </row>
    <row r="169" spans="1:34">
      <c r="A169" s="8" t="s">
        <v>265</v>
      </c>
      <c r="B169" s="8" t="s">
        <v>2404</v>
      </c>
      <c r="C169" s="8" t="s">
        <v>959</v>
      </c>
      <c r="D169" s="8" t="s">
        <v>4</v>
      </c>
      <c r="E169" s="8" t="s">
        <v>68</v>
      </c>
      <c r="F169" s="8" t="s">
        <v>6</v>
      </c>
      <c r="G169" s="8" t="s">
        <v>6</v>
      </c>
      <c r="H169" s="8" t="s">
        <v>848</v>
      </c>
      <c r="I169" s="8" t="s">
        <v>41</v>
      </c>
      <c r="J169" s="8" t="s">
        <v>43</v>
      </c>
      <c r="K169" s="8" t="s">
        <v>41</v>
      </c>
      <c r="L169" s="8" t="s">
        <v>110</v>
      </c>
      <c r="M169" s="11" t="s">
        <v>5567</v>
      </c>
      <c r="N169" s="8">
        <v>82</v>
      </c>
      <c r="O169" s="8">
        <v>45</v>
      </c>
      <c r="P169" s="8">
        <v>37</v>
      </c>
      <c r="Q169" s="8">
        <v>39</v>
      </c>
      <c r="R169" s="8">
        <v>24</v>
      </c>
      <c r="S169" s="8">
        <v>19</v>
      </c>
      <c r="T169" s="8">
        <v>7</v>
      </c>
      <c r="U169" s="8">
        <v>1</v>
      </c>
      <c r="V169" s="8">
        <v>0</v>
      </c>
      <c r="W169" s="8">
        <v>19</v>
      </c>
      <c r="X169" s="8">
        <v>13</v>
      </c>
      <c r="Y169" s="8">
        <v>4</v>
      </c>
      <c r="Z169" s="8">
        <v>1</v>
      </c>
      <c r="AA169" s="8">
        <v>0</v>
      </c>
      <c r="AB169" s="8">
        <v>0</v>
      </c>
      <c r="AC169" s="19">
        <f t="shared" si="12"/>
        <v>15</v>
      </c>
      <c r="AD169" s="19">
        <f t="shared" si="13"/>
        <v>12</v>
      </c>
      <c r="AE169" s="19">
        <f t="shared" si="14"/>
        <v>1</v>
      </c>
      <c r="AF169" s="19">
        <f t="shared" si="15"/>
        <v>6</v>
      </c>
      <c r="AG169" s="19">
        <f t="shared" si="16"/>
        <v>3</v>
      </c>
      <c r="AH169" s="19">
        <f t="shared" si="17"/>
        <v>0</v>
      </c>
    </row>
    <row r="170" spans="1:34">
      <c r="A170" s="8" t="s">
        <v>267</v>
      </c>
      <c r="B170" s="8" t="s">
        <v>1992</v>
      </c>
      <c r="C170" s="8" t="s">
        <v>754</v>
      </c>
      <c r="D170" s="8" t="s">
        <v>3</v>
      </c>
      <c r="E170" s="8" t="s">
        <v>68</v>
      </c>
      <c r="F170" s="8" t="s">
        <v>4</v>
      </c>
      <c r="G170" s="8" t="s">
        <v>3</v>
      </c>
      <c r="H170" s="8" t="s">
        <v>211</v>
      </c>
      <c r="I170" s="8" t="s">
        <v>43</v>
      </c>
      <c r="J170" s="8" t="s">
        <v>41</v>
      </c>
      <c r="K170" s="8" t="s">
        <v>5696</v>
      </c>
      <c r="L170" s="8" t="s">
        <v>110</v>
      </c>
      <c r="M170" s="11" t="s">
        <v>5461</v>
      </c>
      <c r="N170" s="8">
        <v>21</v>
      </c>
      <c r="O170" s="8">
        <v>13</v>
      </c>
      <c r="P170" s="8">
        <v>8</v>
      </c>
      <c r="Q170" s="8">
        <v>0</v>
      </c>
      <c r="R170" s="8">
        <v>0</v>
      </c>
      <c r="S170" s="8">
        <v>14</v>
      </c>
      <c r="T170" s="8">
        <v>8</v>
      </c>
      <c r="U170" s="8">
        <v>4</v>
      </c>
      <c r="V170" s="8">
        <v>4</v>
      </c>
      <c r="W170" s="8">
        <v>3</v>
      </c>
      <c r="X170" s="8">
        <v>1</v>
      </c>
      <c r="Y170" s="8">
        <v>0</v>
      </c>
      <c r="Z170" s="8">
        <v>0</v>
      </c>
      <c r="AA170" s="8">
        <v>0</v>
      </c>
      <c r="AB170" s="8">
        <v>0</v>
      </c>
      <c r="AC170" s="19">
        <f t="shared" si="12"/>
        <v>0</v>
      </c>
      <c r="AD170" s="19">
        <f t="shared" si="13"/>
        <v>6</v>
      </c>
      <c r="AE170" s="19">
        <f t="shared" si="14"/>
        <v>0</v>
      </c>
      <c r="AF170" s="19">
        <f t="shared" si="15"/>
        <v>2</v>
      </c>
      <c r="AG170" s="19">
        <f t="shared" si="16"/>
        <v>0</v>
      </c>
      <c r="AH170" s="19">
        <f t="shared" si="17"/>
        <v>0</v>
      </c>
    </row>
    <row r="171" spans="1:34">
      <c r="A171" s="8" t="s">
        <v>268</v>
      </c>
      <c r="B171" s="8" t="s">
        <v>2406</v>
      </c>
      <c r="C171" s="8" t="s">
        <v>7</v>
      </c>
      <c r="D171" s="8" t="s">
        <v>4</v>
      </c>
      <c r="E171" s="8" t="s">
        <v>56</v>
      </c>
      <c r="F171" s="8" t="s">
        <v>3</v>
      </c>
      <c r="G171" s="8" t="s">
        <v>6</v>
      </c>
      <c r="H171" s="8" t="s">
        <v>2407</v>
      </c>
      <c r="I171" s="8" t="s">
        <v>56</v>
      </c>
      <c r="J171" s="8" t="s">
        <v>41</v>
      </c>
      <c r="K171" s="8" t="s">
        <v>43</v>
      </c>
      <c r="L171" s="8" t="s">
        <v>110</v>
      </c>
      <c r="M171" s="11" t="s">
        <v>5716</v>
      </c>
      <c r="N171" s="8">
        <v>49</v>
      </c>
      <c r="O171" s="8">
        <v>24</v>
      </c>
      <c r="P171" s="8">
        <v>25</v>
      </c>
      <c r="Q171" s="8">
        <v>15</v>
      </c>
      <c r="R171" s="8">
        <v>10</v>
      </c>
      <c r="S171" s="8">
        <v>7</v>
      </c>
      <c r="T171" s="8">
        <v>2</v>
      </c>
      <c r="U171" s="8">
        <v>18</v>
      </c>
      <c r="V171" s="8">
        <v>7</v>
      </c>
      <c r="W171" s="8">
        <v>7</v>
      </c>
      <c r="X171" s="8">
        <v>5</v>
      </c>
      <c r="Y171" s="8">
        <v>2</v>
      </c>
      <c r="Z171" s="8">
        <v>0</v>
      </c>
      <c r="AA171" s="8">
        <v>0</v>
      </c>
      <c r="AB171" s="8">
        <v>0</v>
      </c>
      <c r="AC171" s="19">
        <f t="shared" si="12"/>
        <v>5</v>
      </c>
      <c r="AD171" s="19">
        <f t="shared" si="13"/>
        <v>5</v>
      </c>
      <c r="AE171" s="19">
        <f t="shared" si="14"/>
        <v>11</v>
      </c>
      <c r="AF171" s="19">
        <f t="shared" si="15"/>
        <v>2</v>
      </c>
      <c r="AG171" s="19">
        <f t="shared" si="16"/>
        <v>2</v>
      </c>
      <c r="AH171" s="19">
        <f t="shared" si="17"/>
        <v>0</v>
      </c>
    </row>
    <row r="172" spans="1:34">
      <c r="A172" s="8" t="s">
        <v>269</v>
      </c>
      <c r="B172" s="8" t="s">
        <v>2408</v>
      </c>
      <c r="C172" s="8" t="s">
        <v>7</v>
      </c>
      <c r="D172" s="8" t="s">
        <v>6</v>
      </c>
      <c r="E172" s="8" t="s">
        <v>56</v>
      </c>
      <c r="F172" s="8" t="s">
        <v>9</v>
      </c>
      <c r="G172" s="8" t="s">
        <v>4</v>
      </c>
      <c r="H172" s="8" t="s">
        <v>761</v>
      </c>
      <c r="I172" s="8" t="s">
        <v>41</v>
      </c>
      <c r="J172" s="8" t="s">
        <v>41</v>
      </c>
      <c r="K172" s="8" t="s">
        <v>43</v>
      </c>
      <c r="L172" s="8" t="s">
        <v>110</v>
      </c>
      <c r="M172" s="11" t="s">
        <v>2409</v>
      </c>
      <c r="N172" s="8">
        <v>256</v>
      </c>
      <c r="O172" s="8">
        <v>155</v>
      </c>
      <c r="P172" s="8">
        <v>101</v>
      </c>
      <c r="Q172" s="8">
        <v>67</v>
      </c>
      <c r="R172" s="8">
        <v>37</v>
      </c>
      <c r="S172" s="8">
        <v>49</v>
      </c>
      <c r="T172" s="8">
        <v>31</v>
      </c>
      <c r="U172" s="8">
        <v>61</v>
      </c>
      <c r="V172" s="8">
        <v>35</v>
      </c>
      <c r="W172" s="8">
        <v>49</v>
      </c>
      <c r="X172" s="8">
        <v>29</v>
      </c>
      <c r="Y172" s="8">
        <v>30</v>
      </c>
      <c r="Z172" s="8">
        <v>23</v>
      </c>
      <c r="AA172" s="8">
        <v>0</v>
      </c>
      <c r="AB172" s="8">
        <v>0</v>
      </c>
      <c r="AC172" s="19">
        <f t="shared" si="12"/>
        <v>30</v>
      </c>
      <c r="AD172" s="19">
        <f t="shared" si="13"/>
        <v>18</v>
      </c>
      <c r="AE172" s="19">
        <f t="shared" si="14"/>
        <v>26</v>
      </c>
      <c r="AF172" s="19">
        <f t="shared" si="15"/>
        <v>20</v>
      </c>
      <c r="AG172" s="19">
        <f t="shared" si="16"/>
        <v>7</v>
      </c>
      <c r="AH172" s="19">
        <f t="shared" si="17"/>
        <v>0</v>
      </c>
    </row>
    <row r="173" spans="1:34">
      <c r="A173" s="8" t="s">
        <v>270</v>
      </c>
      <c r="B173" s="8" t="s">
        <v>1992</v>
      </c>
      <c r="C173" s="8" t="s">
        <v>6</v>
      </c>
      <c r="D173" s="8" t="s">
        <v>8</v>
      </c>
      <c r="E173" s="8" t="s">
        <v>43</v>
      </c>
      <c r="F173" s="8" t="s">
        <v>9</v>
      </c>
      <c r="G173" s="8" t="s">
        <v>5</v>
      </c>
      <c r="H173" s="8" t="s">
        <v>5700</v>
      </c>
      <c r="I173" s="8" t="s">
        <v>43</v>
      </c>
      <c r="J173" s="8" t="s">
        <v>41</v>
      </c>
      <c r="K173" s="8" t="s">
        <v>5696</v>
      </c>
      <c r="L173" s="8" t="s">
        <v>110</v>
      </c>
      <c r="M173" s="11" t="s">
        <v>5717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19">
        <f t="shared" si="12"/>
        <v>0</v>
      </c>
      <c r="AD173" s="19">
        <f t="shared" si="13"/>
        <v>0</v>
      </c>
      <c r="AE173" s="19">
        <f t="shared" si="14"/>
        <v>0</v>
      </c>
      <c r="AF173" s="19">
        <f t="shared" si="15"/>
        <v>0</v>
      </c>
      <c r="AG173" s="19">
        <f t="shared" si="16"/>
        <v>0</v>
      </c>
      <c r="AH173" s="19">
        <f t="shared" si="17"/>
        <v>0</v>
      </c>
    </row>
    <row r="174" spans="1:34">
      <c r="A174" s="8" t="s">
        <v>74</v>
      </c>
      <c r="B174" s="8" t="s">
        <v>2410</v>
      </c>
      <c r="C174" s="8" t="s">
        <v>388</v>
      </c>
      <c r="D174" s="8" t="s">
        <v>5</v>
      </c>
      <c r="E174" s="8" t="s">
        <v>43</v>
      </c>
      <c r="F174" s="8" t="s">
        <v>18</v>
      </c>
      <c r="G174" s="8" t="s">
        <v>5</v>
      </c>
      <c r="H174" s="8" t="s">
        <v>129</v>
      </c>
      <c r="I174" s="8" t="s">
        <v>41</v>
      </c>
      <c r="J174" s="8" t="s">
        <v>43</v>
      </c>
      <c r="K174" s="8" t="s">
        <v>41</v>
      </c>
      <c r="L174" s="8" t="s">
        <v>110</v>
      </c>
      <c r="M174" s="11" t="s">
        <v>2185</v>
      </c>
      <c r="N174" s="8">
        <v>161</v>
      </c>
      <c r="O174" s="8">
        <v>89</v>
      </c>
      <c r="P174" s="8">
        <v>72</v>
      </c>
      <c r="Q174" s="8">
        <v>48</v>
      </c>
      <c r="R174" s="8">
        <v>26</v>
      </c>
      <c r="S174" s="8">
        <v>47</v>
      </c>
      <c r="T174" s="8">
        <v>23</v>
      </c>
      <c r="U174" s="8">
        <v>37</v>
      </c>
      <c r="V174" s="8">
        <v>22</v>
      </c>
      <c r="W174" s="8">
        <v>13</v>
      </c>
      <c r="X174" s="8">
        <v>8</v>
      </c>
      <c r="Y174" s="8">
        <v>16</v>
      </c>
      <c r="Z174" s="8">
        <v>10</v>
      </c>
      <c r="AA174" s="8">
        <v>0</v>
      </c>
      <c r="AB174" s="8">
        <v>0</v>
      </c>
      <c r="AC174" s="19">
        <f t="shared" si="12"/>
        <v>22</v>
      </c>
      <c r="AD174" s="19">
        <f t="shared" si="13"/>
        <v>24</v>
      </c>
      <c r="AE174" s="19">
        <f t="shared" si="14"/>
        <v>15</v>
      </c>
      <c r="AF174" s="19">
        <f t="shared" si="15"/>
        <v>5</v>
      </c>
      <c r="AG174" s="19">
        <f t="shared" si="16"/>
        <v>6</v>
      </c>
      <c r="AH174" s="19">
        <f t="shared" si="17"/>
        <v>0</v>
      </c>
    </row>
    <row r="175" spans="1:34">
      <c r="A175" s="8" t="s">
        <v>157</v>
      </c>
      <c r="B175" s="8" t="s">
        <v>1992</v>
      </c>
      <c r="C175" s="8" t="s">
        <v>957</v>
      </c>
      <c r="D175" s="8" t="s">
        <v>3</v>
      </c>
      <c r="E175" s="8" t="s">
        <v>41</v>
      </c>
      <c r="F175" s="8" t="s">
        <v>3</v>
      </c>
      <c r="G175" s="8" t="s">
        <v>11</v>
      </c>
      <c r="H175" s="8" t="s">
        <v>105</v>
      </c>
      <c r="I175" s="8" t="s">
        <v>43</v>
      </c>
      <c r="J175" s="8" t="s">
        <v>41</v>
      </c>
      <c r="K175" s="8" t="s">
        <v>5696</v>
      </c>
      <c r="L175" s="8" t="s">
        <v>110</v>
      </c>
      <c r="M175" s="11" t="s">
        <v>5462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19">
        <f t="shared" si="12"/>
        <v>0</v>
      </c>
      <c r="AD175" s="19">
        <f t="shared" si="13"/>
        <v>0</v>
      </c>
      <c r="AE175" s="19">
        <f t="shared" si="14"/>
        <v>0</v>
      </c>
      <c r="AF175" s="19">
        <f t="shared" si="15"/>
        <v>0</v>
      </c>
      <c r="AG175" s="19">
        <f t="shared" si="16"/>
        <v>0</v>
      </c>
      <c r="AH175" s="19">
        <f t="shared" si="17"/>
        <v>0</v>
      </c>
    </row>
    <row r="176" spans="1:34">
      <c r="A176" s="8" t="s">
        <v>1180</v>
      </c>
      <c r="B176" s="8" t="s">
        <v>2413</v>
      </c>
      <c r="C176" s="8" t="s">
        <v>957</v>
      </c>
      <c r="D176" s="8" t="s">
        <v>7</v>
      </c>
      <c r="E176" s="8" t="s">
        <v>41</v>
      </c>
      <c r="F176" s="8" t="s">
        <v>18</v>
      </c>
      <c r="G176" s="8" t="s">
        <v>7</v>
      </c>
      <c r="H176" s="8" t="s">
        <v>859</v>
      </c>
      <c r="I176" s="8" t="s">
        <v>41</v>
      </c>
      <c r="J176" s="8" t="s">
        <v>41</v>
      </c>
      <c r="K176" s="8" t="s">
        <v>56</v>
      </c>
      <c r="L176" s="8" t="s">
        <v>110</v>
      </c>
      <c r="M176" s="11" t="s">
        <v>4058</v>
      </c>
      <c r="N176" s="8">
        <v>160</v>
      </c>
      <c r="O176" s="8">
        <v>73</v>
      </c>
      <c r="P176" s="8">
        <v>87</v>
      </c>
      <c r="Q176" s="8">
        <v>34</v>
      </c>
      <c r="R176" s="8">
        <v>17</v>
      </c>
      <c r="S176" s="8">
        <v>30</v>
      </c>
      <c r="T176" s="8">
        <v>14</v>
      </c>
      <c r="U176" s="8">
        <v>62</v>
      </c>
      <c r="V176" s="8">
        <v>29</v>
      </c>
      <c r="W176" s="8">
        <v>18</v>
      </c>
      <c r="X176" s="8">
        <v>10</v>
      </c>
      <c r="Y176" s="8">
        <v>16</v>
      </c>
      <c r="Z176" s="8">
        <v>3</v>
      </c>
      <c r="AA176" s="8">
        <v>0</v>
      </c>
      <c r="AB176" s="8">
        <v>0</v>
      </c>
      <c r="AC176" s="19">
        <f t="shared" si="12"/>
        <v>17</v>
      </c>
      <c r="AD176" s="19">
        <f t="shared" si="13"/>
        <v>16</v>
      </c>
      <c r="AE176" s="19">
        <f t="shared" si="14"/>
        <v>33</v>
      </c>
      <c r="AF176" s="19">
        <f t="shared" si="15"/>
        <v>8</v>
      </c>
      <c r="AG176" s="19">
        <f t="shared" si="16"/>
        <v>13</v>
      </c>
      <c r="AH176" s="19">
        <f t="shared" si="17"/>
        <v>0</v>
      </c>
    </row>
    <row r="177" spans="1:34">
      <c r="A177" s="8" t="s">
        <v>272</v>
      </c>
      <c r="B177" s="8" t="s">
        <v>2414</v>
      </c>
      <c r="C177" s="8" t="s">
        <v>752</v>
      </c>
      <c r="D177" s="8" t="s">
        <v>6</v>
      </c>
      <c r="E177" s="8" t="s">
        <v>41</v>
      </c>
      <c r="F177" s="8" t="s">
        <v>5</v>
      </c>
      <c r="G177" s="8" t="s">
        <v>8</v>
      </c>
      <c r="H177" s="8" t="s">
        <v>201</v>
      </c>
      <c r="I177" s="8" t="s">
        <v>41</v>
      </c>
      <c r="J177" s="8" t="s">
        <v>43</v>
      </c>
      <c r="K177" s="8" t="s">
        <v>41</v>
      </c>
      <c r="L177" s="8" t="s">
        <v>110</v>
      </c>
      <c r="M177" s="11" t="s">
        <v>2415</v>
      </c>
      <c r="N177" s="8">
        <v>46</v>
      </c>
      <c r="O177" s="8">
        <v>28</v>
      </c>
      <c r="P177" s="8">
        <v>18</v>
      </c>
      <c r="Q177" s="8">
        <v>14</v>
      </c>
      <c r="R177" s="8">
        <v>8</v>
      </c>
      <c r="S177" s="8">
        <v>13</v>
      </c>
      <c r="T177" s="8">
        <v>7</v>
      </c>
      <c r="U177" s="8">
        <v>4</v>
      </c>
      <c r="V177" s="8">
        <v>1</v>
      </c>
      <c r="W177" s="8">
        <v>12</v>
      </c>
      <c r="X177" s="8">
        <v>9</v>
      </c>
      <c r="Y177" s="8">
        <v>3</v>
      </c>
      <c r="Z177" s="8">
        <v>3</v>
      </c>
      <c r="AA177" s="8">
        <v>0</v>
      </c>
      <c r="AB177" s="8">
        <v>0</v>
      </c>
      <c r="AC177" s="19">
        <f t="shared" si="12"/>
        <v>6</v>
      </c>
      <c r="AD177" s="19">
        <f t="shared" si="13"/>
        <v>6</v>
      </c>
      <c r="AE177" s="19">
        <f t="shared" si="14"/>
        <v>3</v>
      </c>
      <c r="AF177" s="19">
        <f t="shared" si="15"/>
        <v>3</v>
      </c>
      <c r="AG177" s="19">
        <f t="shared" si="16"/>
        <v>0</v>
      </c>
      <c r="AH177" s="19">
        <f t="shared" si="17"/>
        <v>0</v>
      </c>
    </row>
    <row r="178" spans="1:34">
      <c r="A178" s="8" t="s">
        <v>162</v>
      </c>
      <c r="B178" s="8" t="s">
        <v>1992</v>
      </c>
      <c r="C178" s="8" t="s">
        <v>956</v>
      </c>
      <c r="D178" s="8" t="s">
        <v>5</v>
      </c>
      <c r="E178" s="8" t="s">
        <v>41</v>
      </c>
      <c r="F178" s="8" t="s">
        <v>107</v>
      </c>
      <c r="G178" s="8" t="s">
        <v>3</v>
      </c>
      <c r="H178" s="8" t="s">
        <v>76</v>
      </c>
      <c r="I178" s="8" t="s">
        <v>43</v>
      </c>
      <c r="J178" s="8" t="s">
        <v>41</v>
      </c>
      <c r="K178" s="8" t="s">
        <v>5696</v>
      </c>
      <c r="L178" s="8" t="s">
        <v>110</v>
      </c>
      <c r="M178" s="11" t="s">
        <v>461</v>
      </c>
      <c r="N178" s="8">
        <v>13</v>
      </c>
      <c r="O178" s="8">
        <v>8</v>
      </c>
      <c r="P178" s="8">
        <v>5</v>
      </c>
      <c r="Q178" s="8">
        <v>2</v>
      </c>
      <c r="R178" s="8">
        <v>1</v>
      </c>
      <c r="S178" s="8">
        <v>3</v>
      </c>
      <c r="T178" s="8">
        <v>1</v>
      </c>
      <c r="U178" s="8">
        <v>0</v>
      </c>
      <c r="V178" s="8">
        <v>0</v>
      </c>
      <c r="W178" s="8">
        <v>6</v>
      </c>
      <c r="X178" s="8">
        <v>4</v>
      </c>
      <c r="Y178" s="8">
        <v>2</v>
      </c>
      <c r="Z178" s="8">
        <v>2</v>
      </c>
      <c r="AA178" s="8">
        <v>0</v>
      </c>
      <c r="AB178" s="8">
        <v>0</v>
      </c>
      <c r="AC178" s="19">
        <f t="shared" si="12"/>
        <v>1</v>
      </c>
      <c r="AD178" s="19">
        <f t="shared" si="13"/>
        <v>2</v>
      </c>
      <c r="AE178" s="19">
        <f t="shared" si="14"/>
        <v>0</v>
      </c>
      <c r="AF178" s="19">
        <f t="shared" si="15"/>
        <v>2</v>
      </c>
      <c r="AG178" s="19">
        <f t="shared" si="16"/>
        <v>0</v>
      </c>
      <c r="AH178" s="19">
        <f t="shared" si="17"/>
        <v>0</v>
      </c>
    </row>
    <row r="179" spans="1:34">
      <c r="A179" s="8" t="s">
        <v>139</v>
      </c>
      <c r="B179" s="8" t="s">
        <v>1992</v>
      </c>
      <c r="C179" s="8" t="s">
        <v>956</v>
      </c>
      <c r="D179" s="8" t="s">
        <v>5</v>
      </c>
      <c r="E179" s="8" t="s">
        <v>56</v>
      </c>
      <c r="F179" s="8" t="s">
        <v>5</v>
      </c>
      <c r="G179" s="8" t="s">
        <v>5</v>
      </c>
      <c r="H179" s="8" t="s">
        <v>94</v>
      </c>
      <c r="I179" s="8" t="s">
        <v>43</v>
      </c>
      <c r="J179" s="8" t="s">
        <v>41</v>
      </c>
      <c r="K179" s="8" t="s">
        <v>5696</v>
      </c>
      <c r="L179" s="8" t="s">
        <v>110</v>
      </c>
      <c r="M179" s="11" t="s">
        <v>1816</v>
      </c>
      <c r="N179" s="8">
        <v>28</v>
      </c>
      <c r="O179" s="8">
        <v>16</v>
      </c>
      <c r="P179" s="8">
        <v>12</v>
      </c>
      <c r="Q179" s="8">
        <v>6</v>
      </c>
      <c r="R179" s="8">
        <v>4</v>
      </c>
      <c r="S179" s="8">
        <v>3</v>
      </c>
      <c r="T179" s="8">
        <v>1</v>
      </c>
      <c r="U179" s="8">
        <v>18</v>
      </c>
      <c r="V179" s="8">
        <v>10</v>
      </c>
      <c r="W179" s="8">
        <v>1</v>
      </c>
      <c r="X179" s="8">
        <v>1</v>
      </c>
      <c r="Y179" s="8">
        <v>0</v>
      </c>
      <c r="Z179" s="8">
        <v>0</v>
      </c>
      <c r="AA179" s="8">
        <v>0</v>
      </c>
      <c r="AB179" s="8">
        <v>0</v>
      </c>
      <c r="AC179" s="19">
        <f t="shared" si="12"/>
        <v>2</v>
      </c>
      <c r="AD179" s="19">
        <f t="shared" si="13"/>
        <v>2</v>
      </c>
      <c r="AE179" s="19">
        <f t="shared" si="14"/>
        <v>8</v>
      </c>
      <c r="AF179" s="19">
        <f t="shared" si="15"/>
        <v>0</v>
      </c>
      <c r="AG179" s="19">
        <f t="shared" si="16"/>
        <v>0</v>
      </c>
      <c r="AH179" s="19">
        <f t="shared" si="17"/>
        <v>0</v>
      </c>
    </row>
    <row r="180" spans="1:34">
      <c r="A180" s="8" t="s">
        <v>123</v>
      </c>
      <c r="B180" s="8" t="s">
        <v>5568</v>
      </c>
      <c r="C180" s="8" t="s">
        <v>11</v>
      </c>
      <c r="D180" s="8" t="s">
        <v>4</v>
      </c>
      <c r="E180" s="8" t="s">
        <v>126</v>
      </c>
      <c r="F180" s="8" t="s">
        <v>3</v>
      </c>
      <c r="G180" s="8" t="s">
        <v>3</v>
      </c>
      <c r="H180" s="8" t="s">
        <v>5698</v>
      </c>
      <c r="I180" s="8" t="s">
        <v>41</v>
      </c>
      <c r="J180" s="8" t="s">
        <v>41</v>
      </c>
      <c r="K180" s="8" t="s">
        <v>41</v>
      </c>
      <c r="L180" s="8" t="s">
        <v>110</v>
      </c>
      <c r="M180" s="11" t="s">
        <v>2417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19">
        <f t="shared" si="12"/>
        <v>0</v>
      </c>
      <c r="AD180" s="19">
        <f t="shared" si="13"/>
        <v>0</v>
      </c>
      <c r="AE180" s="19">
        <f t="shared" si="14"/>
        <v>0</v>
      </c>
      <c r="AF180" s="19">
        <f t="shared" si="15"/>
        <v>0</v>
      </c>
      <c r="AG180" s="19">
        <f t="shared" si="16"/>
        <v>0</v>
      </c>
      <c r="AH180" s="19">
        <f t="shared" si="17"/>
        <v>0</v>
      </c>
    </row>
    <row r="181" spans="1:34">
      <c r="A181" s="8" t="s">
        <v>96</v>
      </c>
      <c r="B181" s="8" t="s">
        <v>2420</v>
      </c>
      <c r="C181" s="8" t="s">
        <v>16</v>
      </c>
      <c r="D181" s="8" t="s">
        <v>6</v>
      </c>
      <c r="E181" s="8" t="s">
        <v>126</v>
      </c>
      <c r="F181" s="8" t="s">
        <v>9</v>
      </c>
      <c r="G181" s="8" t="s">
        <v>6</v>
      </c>
      <c r="H181" s="8" t="s">
        <v>582</v>
      </c>
      <c r="I181" s="8" t="s">
        <v>41</v>
      </c>
      <c r="J181" s="8" t="s">
        <v>43</v>
      </c>
      <c r="K181" s="8" t="s">
        <v>41</v>
      </c>
      <c r="L181" s="8" t="s">
        <v>110</v>
      </c>
      <c r="M181" s="11" t="s">
        <v>2421</v>
      </c>
      <c r="N181" s="8">
        <v>160</v>
      </c>
      <c r="O181" s="8">
        <v>88</v>
      </c>
      <c r="P181" s="8">
        <v>72</v>
      </c>
      <c r="Q181" s="8">
        <v>24</v>
      </c>
      <c r="R181" s="8">
        <v>11</v>
      </c>
      <c r="S181" s="8">
        <v>35</v>
      </c>
      <c r="T181" s="8">
        <v>18</v>
      </c>
      <c r="U181" s="8">
        <v>29</v>
      </c>
      <c r="V181" s="8">
        <v>20</v>
      </c>
      <c r="W181" s="8">
        <v>43</v>
      </c>
      <c r="X181" s="8">
        <v>18</v>
      </c>
      <c r="Y181" s="8">
        <v>29</v>
      </c>
      <c r="Z181" s="8">
        <v>21</v>
      </c>
      <c r="AA181" s="8">
        <v>0</v>
      </c>
      <c r="AB181" s="8">
        <v>0</v>
      </c>
      <c r="AC181" s="19">
        <f t="shared" si="12"/>
        <v>13</v>
      </c>
      <c r="AD181" s="19">
        <f t="shared" si="13"/>
        <v>17</v>
      </c>
      <c r="AE181" s="19">
        <f t="shared" si="14"/>
        <v>9</v>
      </c>
      <c r="AF181" s="19">
        <f t="shared" si="15"/>
        <v>25</v>
      </c>
      <c r="AG181" s="19">
        <f t="shared" si="16"/>
        <v>8</v>
      </c>
      <c r="AH181" s="19">
        <f t="shared" si="17"/>
        <v>0</v>
      </c>
    </row>
    <row r="182" spans="1:34">
      <c r="A182" s="8" t="s">
        <v>1744</v>
      </c>
      <c r="B182" s="8" t="s">
        <v>1992</v>
      </c>
      <c r="C182" s="8" t="s">
        <v>5</v>
      </c>
      <c r="D182" s="8" t="s">
        <v>12</v>
      </c>
      <c r="E182" s="8" t="s">
        <v>43</v>
      </c>
      <c r="F182" s="8" t="s">
        <v>12</v>
      </c>
      <c r="G182" s="8" t="s">
        <v>3</v>
      </c>
      <c r="H182" s="8" t="s">
        <v>1855</v>
      </c>
      <c r="I182" s="8" t="s">
        <v>43</v>
      </c>
      <c r="J182" s="8" t="s">
        <v>41</v>
      </c>
      <c r="K182" s="8" t="s">
        <v>5696</v>
      </c>
      <c r="L182" s="8" t="s">
        <v>110</v>
      </c>
      <c r="M182" s="11" t="s">
        <v>4693</v>
      </c>
      <c r="N182" s="8">
        <v>3</v>
      </c>
      <c r="O182" s="8">
        <v>2</v>
      </c>
      <c r="P182" s="8">
        <v>1</v>
      </c>
      <c r="Q182" s="8">
        <v>1</v>
      </c>
      <c r="R182" s="8">
        <v>0</v>
      </c>
      <c r="S182" s="8">
        <v>1</v>
      </c>
      <c r="T182" s="8">
        <v>1</v>
      </c>
      <c r="U182" s="8">
        <v>1</v>
      </c>
      <c r="V182" s="8">
        <v>1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19">
        <f t="shared" si="12"/>
        <v>1</v>
      </c>
      <c r="AD182" s="19">
        <f t="shared" si="13"/>
        <v>0</v>
      </c>
      <c r="AE182" s="19">
        <f t="shared" si="14"/>
        <v>0</v>
      </c>
      <c r="AF182" s="19">
        <f t="shared" si="15"/>
        <v>0</v>
      </c>
      <c r="AG182" s="19">
        <f t="shared" si="16"/>
        <v>0</v>
      </c>
      <c r="AH182" s="19">
        <f t="shared" si="17"/>
        <v>0</v>
      </c>
    </row>
    <row r="183" spans="1:34">
      <c r="A183" s="8" t="s">
        <v>275</v>
      </c>
      <c r="B183" s="8" t="s">
        <v>1992</v>
      </c>
      <c r="C183" s="8" t="s">
        <v>3</v>
      </c>
      <c r="D183" s="8" t="s">
        <v>5</v>
      </c>
      <c r="E183" s="8" t="s">
        <v>41</v>
      </c>
      <c r="F183" s="8" t="s">
        <v>3</v>
      </c>
      <c r="G183" s="8" t="s">
        <v>16</v>
      </c>
      <c r="H183" s="8" t="s">
        <v>1832</v>
      </c>
      <c r="I183" s="8" t="s">
        <v>43</v>
      </c>
      <c r="J183" s="8" t="s">
        <v>41</v>
      </c>
      <c r="K183" s="8" t="s">
        <v>5696</v>
      </c>
      <c r="L183" s="8" t="s">
        <v>110</v>
      </c>
      <c r="M183" s="11" t="s">
        <v>1831</v>
      </c>
      <c r="N183" s="8">
        <v>1</v>
      </c>
      <c r="O183" s="8">
        <v>0</v>
      </c>
      <c r="P183" s="8">
        <v>1</v>
      </c>
      <c r="Q183" s="8">
        <v>0</v>
      </c>
      <c r="R183" s="8">
        <v>0</v>
      </c>
      <c r="S183" s="8">
        <v>0</v>
      </c>
      <c r="T183" s="8">
        <v>0</v>
      </c>
      <c r="U183" s="8">
        <v>1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19">
        <f t="shared" si="12"/>
        <v>0</v>
      </c>
      <c r="AD183" s="19">
        <f t="shared" si="13"/>
        <v>0</v>
      </c>
      <c r="AE183" s="19">
        <f t="shared" si="14"/>
        <v>1</v>
      </c>
      <c r="AF183" s="19">
        <f t="shared" si="15"/>
        <v>0</v>
      </c>
      <c r="AG183" s="19">
        <f t="shared" si="16"/>
        <v>0</v>
      </c>
      <c r="AH183" s="19">
        <f t="shared" si="17"/>
        <v>0</v>
      </c>
    </row>
    <row r="184" spans="1:34">
      <c r="A184" s="8" t="s">
        <v>277</v>
      </c>
      <c r="B184" s="8" t="s">
        <v>1992</v>
      </c>
      <c r="C184" s="8" t="s">
        <v>957</v>
      </c>
      <c r="D184" s="8" t="s">
        <v>5</v>
      </c>
      <c r="E184" s="8" t="s">
        <v>41</v>
      </c>
      <c r="F184" s="8" t="s">
        <v>4</v>
      </c>
      <c r="G184" s="8" t="s">
        <v>5</v>
      </c>
      <c r="H184" s="8" t="s">
        <v>4325</v>
      </c>
      <c r="I184" s="8" t="s">
        <v>43</v>
      </c>
      <c r="J184" s="8" t="s">
        <v>41</v>
      </c>
      <c r="K184" s="8" t="s">
        <v>5696</v>
      </c>
      <c r="L184" s="8" t="s">
        <v>110</v>
      </c>
      <c r="M184" s="11" t="s">
        <v>4294</v>
      </c>
      <c r="N184" s="8">
        <v>2</v>
      </c>
      <c r="O184" s="8">
        <v>1</v>
      </c>
      <c r="P184" s="8">
        <v>1</v>
      </c>
      <c r="Q184" s="8">
        <v>0</v>
      </c>
      <c r="R184" s="8">
        <v>0</v>
      </c>
      <c r="S184" s="8">
        <v>0</v>
      </c>
      <c r="T184" s="8">
        <v>0</v>
      </c>
      <c r="U184" s="8">
        <v>2</v>
      </c>
      <c r="V184" s="8">
        <v>1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19">
        <f t="shared" si="12"/>
        <v>0</v>
      </c>
      <c r="AD184" s="19">
        <f t="shared" si="13"/>
        <v>0</v>
      </c>
      <c r="AE184" s="19">
        <f t="shared" si="14"/>
        <v>1</v>
      </c>
      <c r="AF184" s="19">
        <f t="shared" si="15"/>
        <v>0</v>
      </c>
      <c r="AG184" s="19">
        <f t="shared" si="16"/>
        <v>0</v>
      </c>
      <c r="AH184" s="19">
        <f t="shared" si="17"/>
        <v>0</v>
      </c>
    </row>
    <row r="185" spans="1:34">
      <c r="A185" s="8" t="s">
        <v>278</v>
      </c>
      <c r="B185" s="8" t="s">
        <v>1992</v>
      </c>
      <c r="C185" s="8" t="s">
        <v>956</v>
      </c>
      <c r="D185" s="8" t="s">
        <v>7</v>
      </c>
      <c r="E185" s="8" t="s">
        <v>41</v>
      </c>
      <c r="F185" s="8" t="s">
        <v>118</v>
      </c>
      <c r="G185" s="8" t="s">
        <v>3</v>
      </c>
      <c r="H185" s="8" t="s">
        <v>83</v>
      </c>
      <c r="I185" s="8" t="s">
        <v>43</v>
      </c>
      <c r="J185" s="8" t="s">
        <v>41</v>
      </c>
      <c r="K185" s="8" t="s">
        <v>5696</v>
      </c>
      <c r="L185" s="8" t="s">
        <v>110</v>
      </c>
      <c r="M185" s="11" t="s">
        <v>2425</v>
      </c>
      <c r="N185" s="8">
        <v>1</v>
      </c>
      <c r="O185" s="8">
        <v>1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1</v>
      </c>
      <c r="X185" s="8">
        <v>1</v>
      </c>
      <c r="Y185" s="8">
        <v>0</v>
      </c>
      <c r="Z185" s="8">
        <v>0</v>
      </c>
      <c r="AA185" s="8">
        <v>0</v>
      </c>
      <c r="AB185" s="8">
        <v>0</v>
      </c>
      <c r="AC185" s="19">
        <f t="shared" si="12"/>
        <v>0</v>
      </c>
      <c r="AD185" s="19">
        <f t="shared" si="13"/>
        <v>0</v>
      </c>
      <c r="AE185" s="19">
        <f t="shared" si="14"/>
        <v>0</v>
      </c>
      <c r="AF185" s="19">
        <f t="shared" si="15"/>
        <v>0</v>
      </c>
      <c r="AG185" s="19">
        <f t="shared" si="16"/>
        <v>0</v>
      </c>
      <c r="AH185" s="19">
        <f t="shared" si="17"/>
        <v>0</v>
      </c>
    </row>
    <row r="186" spans="1:34">
      <c r="A186" s="8" t="s">
        <v>280</v>
      </c>
      <c r="B186" s="8" t="s">
        <v>2427</v>
      </c>
      <c r="C186" s="8" t="s">
        <v>953</v>
      </c>
      <c r="D186" s="8" t="s">
        <v>3</v>
      </c>
      <c r="E186" s="8" t="s">
        <v>110</v>
      </c>
      <c r="F186" s="8" t="s">
        <v>13</v>
      </c>
      <c r="G186" s="8" t="s">
        <v>4</v>
      </c>
      <c r="H186" s="8" t="s">
        <v>599</v>
      </c>
      <c r="I186" s="8" t="s">
        <v>41</v>
      </c>
      <c r="J186" s="8" t="s">
        <v>43</v>
      </c>
      <c r="K186" s="8" t="s">
        <v>41</v>
      </c>
      <c r="L186" s="8" t="s">
        <v>110</v>
      </c>
      <c r="M186" s="11" t="s">
        <v>2428</v>
      </c>
      <c r="N186" s="8">
        <v>233</v>
      </c>
      <c r="O186" s="8">
        <v>130</v>
      </c>
      <c r="P186" s="8">
        <v>103</v>
      </c>
      <c r="Q186" s="8">
        <v>63</v>
      </c>
      <c r="R186" s="8">
        <v>38</v>
      </c>
      <c r="S186" s="8">
        <v>66</v>
      </c>
      <c r="T186" s="8">
        <v>37</v>
      </c>
      <c r="U186" s="8">
        <v>26</v>
      </c>
      <c r="V186" s="8">
        <v>14</v>
      </c>
      <c r="W186" s="8">
        <v>60</v>
      </c>
      <c r="X186" s="8">
        <v>32</v>
      </c>
      <c r="Y186" s="8">
        <v>18</v>
      </c>
      <c r="Z186" s="8">
        <v>9</v>
      </c>
      <c r="AA186" s="8">
        <v>0</v>
      </c>
      <c r="AB186" s="8">
        <v>0</v>
      </c>
      <c r="AC186" s="19">
        <f t="shared" si="12"/>
        <v>25</v>
      </c>
      <c r="AD186" s="19">
        <f t="shared" si="13"/>
        <v>29</v>
      </c>
      <c r="AE186" s="19">
        <f t="shared" si="14"/>
        <v>12</v>
      </c>
      <c r="AF186" s="19">
        <f t="shared" si="15"/>
        <v>28</v>
      </c>
      <c r="AG186" s="19">
        <f t="shared" si="16"/>
        <v>9</v>
      </c>
      <c r="AH186" s="19">
        <f t="shared" si="17"/>
        <v>0</v>
      </c>
    </row>
    <row r="187" spans="1:34">
      <c r="A187" s="8" t="s">
        <v>282</v>
      </c>
      <c r="B187" s="8" t="s">
        <v>2430</v>
      </c>
      <c r="C187" s="8" t="s">
        <v>9</v>
      </c>
      <c r="D187" s="8" t="s">
        <v>6</v>
      </c>
      <c r="E187" s="8" t="s">
        <v>110</v>
      </c>
      <c r="F187" s="8" t="s">
        <v>4</v>
      </c>
      <c r="G187" s="8" t="s">
        <v>8</v>
      </c>
      <c r="H187" s="8" t="s">
        <v>5668</v>
      </c>
      <c r="I187" s="8" t="s">
        <v>41</v>
      </c>
      <c r="J187" s="8" t="s">
        <v>41</v>
      </c>
      <c r="K187" s="8" t="s">
        <v>41</v>
      </c>
      <c r="L187" s="8" t="s">
        <v>110</v>
      </c>
      <c r="M187" s="11" t="s">
        <v>3789</v>
      </c>
      <c r="N187" s="8">
        <v>230</v>
      </c>
      <c r="O187" s="8">
        <v>131</v>
      </c>
      <c r="P187" s="8">
        <v>99</v>
      </c>
      <c r="Q187" s="8">
        <v>66</v>
      </c>
      <c r="R187" s="8">
        <v>34</v>
      </c>
      <c r="S187" s="8">
        <v>48</v>
      </c>
      <c r="T187" s="8">
        <v>26</v>
      </c>
      <c r="U187" s="8">
        <v>39</v>
      </c>
      <c r="V187" s="8">
        <v>19</v>
      </c>
      <c r="W187" s="8">
        <v>47</v>
      </c>
      <c r="X187" s="8">
        <v>32</v>
      </c>
      <c r="Y187" s="8">
        <v>30</v>
      </c>
      <c r="Z187" s="8">
        <v>20</v>
      </c>
      <c r="AA187" s="8">
        <v>0</v>
      </c>
      <c r="AB187" s="8">
        <v>0</v>
      </c>
      <c r="AC187" s="19">
        <f t="shared" si="12"/>
        <v>32</v>
      </c>
      <c r="AD187" s="19">
        <f t="shared" si="13"/>
        <v>22</v>
      </c>
      <c r="AE187" s="19">
        <f t="shared" si="14"/>
        <v>20</v>
      </c>
      <c r="AF187" s="19">
        <f t="shared" si="15"/>
        <v>15</v>
      </c>
      <c r="AG187" s="19">
        <f t="shared" si="16"/>
        <v>10</v>
      </c>
      <c r="AH187" s="19">
        <f t="shared" si="17"/>
        <v>0</v>
      </c>
    </row>
    <row r="188" spans="1:34">
      <c r="A188" s="8" t="s">
        <v>284</v>
      </c>
      <c r="B188" s="8" t="s">
        <v>2433</v>
      </c>
      <c r="C188" s="8" t="s">
        <v>107</v>
      </c>
      <c r="D188" s="8" t="s">
        <v>4</v>
      </c>
      <c r="E188" s="8" t="s">
        <v>80</v>
      </c>
      <c r="F188" s="8" t="s">
        <v>9</v>
      </c>
      <c r="G188" s="8" t="s">
        <v>6</v>
      </c>
      <c r="H188" s="8" t="s">
        <v>833</v>
      </c>
      <c r="I188" s="8" t="s">
        <v>41</v>
      </c>
      <c r="J188" s="8" t="s">
        <v>43</v>
      </c>
      <c r="K188" s="8" t="s">
        <v>41</v>
      </c>
      <c r="L188" s="8" t="s">
        <v>110</v>
      </c>
      <c r="M188" s="11" t="s">
        <v>5570</v>
      </c>
      <c r="N188" s="8">
        <v>89</v>
      </c>
      <c r="O188" s="8">
        <v>55</v>
      </c>
      <c r="P188" s="8">
        <v>34</v>
      </c>
      <c r="Q188" s="8">
        <v>23</v>
      </c>
      <c r="R188" s="8">
        <v>16</v>
      </c>
      <c r="S188" s="8">
        <v>26</v>
      </c>
      <c r="T188" s="8">
        <v>18</v>
      </c>
      <c r="U188" s="8">
        <v>8</v>
      </c>
      <c r="V188" s="8">
        <v>4</v>
      </c>
      <c r="W188" s="8">
        <v>20</v>
      </c>
      <c r="X188" s="8">
        <v>9</v>
      </c>
      <c r="Y188" s="8">
        <v>12</v>
      </c>
      <c r="Z188" s="8">
        <v>8</v>
      </c>
      <c r="AA188" s="8">
        <v>0</v>
      </c>
      <c r="AB188" s="8">
        <v>0</v>
      </c>
      <c r="AC188" s="19">
        <f t="shared" si="12"/>
        <v>7</v>
      </c>
      <c r="AD188" s="19">
        <f t="shared" si="13"/>
        <v>8</v>
      </c>
      <c r="AE188" s="19">
        <f t="shared" si="14"/>
        <v>4</v>
      </c>
      <c r="AF188" s="19">
        <f t="shared" si="15"/>
        <v>11</v>
      </c>
      <c r="AG188" s="19">
        <f t="shared" si="16"/>
        <v>4</v>
      </c>
      <c r="AH188" s="19">
        <f t="shared" si="17"/>
        <v>0</v>
      </c>
    </row>
    <row r="189" spans="1:34">
      <c r="A189" s="8" t="s">
        <v>143</v>
      </c>
      <c r="B189" s="8" t="s">
        <v>2435</v>
      </c>
      <c r="C189" s="8" t="s">
        <v>8</v>
      </c>
      <c r="D189" s="8" t="s">
        <v>3</v>
      </c>
      <c r="E189" s="8" t="s">
        <v>56</v>
      </c>
      <c r="F189" s="8" t="s">
        <v>6</v>
      </c>
      <c r="G189" s="8" t="s">
        <v>4</v>
      </c>
      <c r="H189" s="8" t="s">
        <v>2437</v>
      </c>
      <c r="I189" s="8" t="s">
        <v>41</v>
      </c>
      <c r="J189" s="8" t="s">
        <v>43</v>
      </c>
      <c r="K189" s="8" t="s">
        <v>41</v>
      </c>
      <c r="L189" s="8" t="s">
        <v>110</v>
      </c>
      <c r="M189" s="11" t="s">
        <v>2436</v>
      </c>
      <c r="N189" s="8">
        <v>94</v>
      </c>
      <c r="O189" s="8">
        <v>50</v>
      </c>
      <c r="P189" s="8">
        <v>44</v>
      </c>
      <c r="Q189" s="8">
        <v>13</v>
      </c>
      <c r="R189" s="8">
        <v>5</v>
      </c>
      <c r="S189" s="8">
        <v>15</v>
      </c>
      <c r="T189" s="8">
        <v>10</v>
      </c>
      <c r="U189" s="8">
        <v>8</v>
      </c>
      <c r="V189" s="8">
        <v>2</v>
      </c>
      <c r="W189" s="8">
        <v>24</v>
      </c>
      <c r="X189" s="8">
        <v>13</v>
      </c>
      <c r="Y189" s="8">
        <v>34</v>
      </c>
      <c r="Z189" s="8">
        <v>20</v>
      </c>
      <c r="AA189" s="8">
        <v>0</v>
      </c>
      <c r="AB189" s="8">
        <v>0</v>
      </c>
      <c r="AC189" s="19">
        <f t="shared" si="12"/>
        <v>8</v>
      </c>
      <c r="AD189" s="19">
        <f t="shared" si="13"/>
        <v>5</v>
      </c>
      <c r="AE189" s="19">
        <f t="shared" si="14"/>
        <v>6</v>
      </c>
      <c r="AF189" s="19">
        <f t="shared" si="15"/>
        <v>11</v>
      </c>
      <c r="AG189" s="19">
        <f t="shared" si="16"/>
        <v>14</v>
      </c>
      <c r="AH189" s="19">
        <f t="shared" si="17"/>
        <v>0</v>
      </c>
    </row>
    <row r="190" spans="1:34">
      <c r="A190" s="8" t="s">
        <v>1747</v>
      </c>
      <c r="B190" s="8" t="s">
        <v>2441</v>
      </c>
      <c r="C190" s="8" t="s">
        <v>7</v>
      </c>
      <c r="D190" s="8" t="s">
        <v>9</v>
      </c>
      <c r="E190" s="8" t="s">
        <v>56</v>
      </c>
      <c r="F190" s="8" t="s">
        <v>3</v>
      </c>
      <c r="G190" s="8" t="s">
        <v>7</v>
      </c>
      <c r="H190" s="8" t="s">
        <v>757</v>
      </c>
      <c r="I190" s="8" t="s">
        <v>41</v>
      </c>
      <c r="J190" s="8" t="s">
        <v>41</v>
      </c>
      <c r="K190" s="8" t="s">
        <v>43</v>
      </c>
      <c r="L190" s="8" t="s">
        <v>110</v>
      </c>
      <c r="M190" s="11" t="s">
        <v>2442</v>
      </c>
      <c r="N190" s="8">
        <v>420</v>
      </c>
      <c r="O190" s="8">
        <v>214</v>
      </c>
      <c r="P190" s="8">
        <v>206</v>
      </c>
      <c r="Q190" s="8">
        <v>70</v>
      </c>
      <c r="R190" s="8">
        <v>32</v>
      </c>
      <c r="S190" s="8">
        <v>83</v>
      </c>
      <c r="T190" s="8">
        <v>42</v>
      </c>
      <c r="U190" s="8">
        <v>67</v>
      </c>
      <c r="V190" s="8">
        <v>45</v>
      </c>
      <c r="W190" s="8">
        <v>131</v>
      </c>
      <c r="X190" s="8">
        <v>63</v>
      </c>
      <c r="Y190" s="8">
        <v>69</v>
      </c>
      <c r="Z190" s="8">
        <v>32</v>
      </c>
      <c r="AA190" s="8">
        <v>0</v>
      </c>
      <c r="AB190" s="8">
        <v>0</v>
      </c>
      <c r="AC190" s="19">
        <f t="shared" si="12"/>
        <v>38</v>
      </c>
      <c r="AD190" s="19">
        <f t="shared" si="13"/>
        <v>41</v>
      </c>
      <c r="AE190" s="19">
        <f t="shared" si="14"/>
        <v>22</v>
      </c>
      <c r="AF190" s="19">
        <f t="shared" si="15"/>
        <v>68</v>
      </c>
      <c r="AG190" s="19">
        <f t="shared" si="16"/>
        <v>37</v>
      </c>
      <c r="AH190" s="19">
        <f t="shared" si="17"/>
        <v>0</v>
      </c>
    </row>
    <row r="191" spans="1:34">
      <c r="A191" s="8" t="s">
        <v>1749</v>
      </c>
      <c r="B191" s="8" t="s">
        <v>2443</v>
      </c>
      <c r="C191" s="8" t="s">
        <v>17</v>
      </c>
      <c r="D191" s="8" t="s">
        <v>5</v>
      </c>
      <c r="E191" s="8" t="s">
        <v>80</v>
      </c>
      <c r="F191" s="8" t="s">
        <v>3</v>
      </c>
      <c r="G191" s="8" t="s">
        <v>5</v>
      </c>
      <c r="H191" s="8" t="s">
        <v>823</v>
      </c>
      <c r="I191" s="8" t="s">
        <v>41</v>
      </c>
      <c r="J191" s="8" t="s">
        <v>43</v>
      </c>
      <c r="K191" s="8" t="s">
        <v>41</v>
      </c>
      <c r="L191" s="8" t="s">
        <v>110</v>
      </c>
      <c r="M191" s="11" t="s">
        <v>2444</v>
      </c>
      <c r="N191" s="8">
        <v>220</v>
      </c>
      <c r="O191" s="8">
        <v>136</v>
      </c>
      <c r="P191" s="8">
        <v>84</v>
      </c>
      <c r="Q191" s="8">
        <v>59</v>
      </c>
      <c r="R191" s="8">
        <v>45</v>
      </c>
      <c r="S191" s="8">
        <v>46</v>
      </c>
      <c r="T191" s="8">
        <v>23</v>
      </c>
      <c r="U191" s="8">
        <v>20</v>
      </c>
      <c r="V191" s="8">
        <v>14</v>
      </c>
      <c r="W191" s="8">
        <v>63</v>
      </c>
      <c r="X191" s="8">
        <v>38</v>
      </c>
      <c r="Y191" s="8">
        <v>32</v>
      </c>
      <c r="Z191" s="8">
        <v>16</v>
      </c>
      <c r="AA191" s="8">
        <v>0</v>
      </c>
      <c r="AB191" s="8">
        <v>0</v>
      </c>
      <c r="AC191" s="19">
        <f t="shared" si="12"/>
        <v>14</v>
      </c>
      <c r="AD191" s="19">
        <f t="shared" si="13"/>
        <v>23</v>
      </c>
      <c r="AE191" s="19">
        <f t="shared" si="14"/>
        <v>6</v>
      </c>
      <c r="AF191" s="19">
        <f t="shared" si="15"/>
        <v>25</v>
      </c>
      <c r="AG191" s="19">
        <f t="shared" si="16"/>
        <v>16</v>
      </c>
      <c r="AH191" s="19">
        <f t="shared" si="17"/>
        <v>0</v>
      </c>
    </row>
    <row r="192" spans="1:34">
      <c r="A192" s="8" t="s">
        <v>287</v>
      </c>
      <c r="B192" s="8" t="s">
        <v>1992</v>
      </c>
      <c r="C192" s="8" t="s">
        <v>5</v>
      </c>
      <c r="D192" s="8" t="s">
        <v>7</v>
      </c>
      <c r="E192" s="8" t="s">
        <v>43</v>
      </c>
      <c r="F192" s="8" t="s">
        <v>3</v>
      </c>
      <c r="G192" s="8" t="s">
        <v>6</v>
      </c>
      <c r="H192" s="8" t="s">
        <v>610</v>
      </c>
      <c r="I192" s="8" t="s">
        <v>43</v>
      </c>
      <c r="J192" s="8" t="s">
        <v>41</v>
      </c>
      <c r="K192" s="8" t="s">
        <v>5696</v>
      </c>
      <c r="L192" s="8" t="s">
        <v>110</v>
      </c>
      <c r="M192" s="11" t="s">
        <v>2445</v>
      </c>
      <c r="N192" s="8">
        <v>27</v>
      </c>
      <c r="O192" s="8">
        <v>17</v>
      </c>
      <c r="P192" s="8">
        <v>10</v>
      </c>
      <c r="Q192" s="8">
        <v>3</v>
      </c>
      <c r="R192" s="8">
        <v>2</v>
      </c>
      <c r="S192" s="8">
        <v>6</v>
      </c>
      <c r="T192" s="8">
        <v>2</v>
      </c>
      <c r="U192" s="8">
        <v>5</v>
      </c>
      <c r="V192" s="8">
        <v>2</v>
      </c>
      <c r="W192" s="8">
        <v>7</v>
      </c>
      <c r="X192" s="8">
        <v>6</v>
      </c>
      <c r="Y192" s="8">
        <v>6</v>
      </c>
      <c r="Z192" s="8">
        <v>5</v>
      </c>
      <c r="AA192" s="8">
        <v>0</v>
      </c>
      <c r="AB192" s="8">
        <v>0</v>
      </c>
      <c r="AC192" s="19">
        <f t="shared" si="12"/>
        <v>1</v>
      </c>
      <c r="AD192" s="19">
        <f t="shared" si="13"/>
        <v>4</v>
      </c>
      <c r="AE192" s="19">
        <f t="shared" si="14"/>
        <v>3</v>
      </c>
      <c r="AF192" s="19">
        <f t="shared" si="15"/>
        <v>1</v>
      </c>
      <c r="AG192" s="19">
        <f t="shared" si="16"/>
        <v>1</v>
      </c>
      <c r="AH192" s="19">
        <f t="shared" si="17"/>
        <v>0</v>
      </c>
    </row>
    <row r="193" spans="1:34">
      <c r="A193" s="8" t="s">
        <v>1751</v>
      </c>
      <c r="B193" s="8" t="s">
        <v>2447</v>
      </c>
      <c r="C193" s="8" t="s">
        <v>7</v>
      </c>
      <c r="D193" s="8" t="s">
        <v>8</v>
      </c>
      <c r="E193" s="8" t="s">
        <v>56</v>
      </c>
      <c r="F193" s="8" t="s">
        <v>5</v>
      </c>
      <c r="G193" s="8" t="s">
        <v>7</v>
      </c>
      <c r="H193" s="8" t="s">
        <v>60</v>
      </c>
      <c r="I193" s="8" t="s">
        <v>41</v>
      </c>
      <c r="J193" s="8" t="s">
        <v>41</v>
      </c>
      <c r="K193" s="8" t="s">
        <v>43</v>
      </c>
      <c r="L193" s="8" t="s">
        <v>110</v>
      </c>
      <c r="M193" s="11" t="s">
        <v>2448</v>
      </c>
      <c r="N193" s="8">
        <v>310</v>
      </c>
      <c r="O193" s="8">
        <v>174</v>
      </c>
      <c r="P193" s="8">
        <v>136</v>
      </c>
      <c r="Q193" s="8">
        <v>73</v>
      </c>
      <c r="R193" s="8">
        <v>39</v>
      </c>
      <c r="S193" s="8">
        <v>86</v>
      </c>
      <c r="T193" s="8">
        <v>47</v>
      </c>
      <c r="U193" s="8">
        <v>64</v>
      </c>
      <c r="V193" s="8">
        <v>43</v>
      </c>
      <c r="W193" s="8">
        <v>57</v>
      </c>
      <c r="X193" s="8">
        <v>30</v>
      </c>
      <c r="Y193" s="8">
        <v>30</v>
      </c>
      <c r="Z193" s="8">
        <v>15</v>
      </c>
      <c r="AA193" s="8">
        <v>0</v>
      </c>
      <c r="AB193" s="8">
        <v>0</v>
      </c>
      <c r="AC193" s="19">
        <f t="shared" si="12"/>
        <v>34</v>
      </c>
      <c r="AD193" s="19">
        <f t="shared" si="13"/>
        <v>39</v>
      </c>
      <c r="AE193" s="19">
        <f t="shared" si="14"/>
        <v>21</v>
      </c>
      <c r="AF193" s="19">
        <f t="shared" si="15"/>
        <v>27</v>
      </c>
      <c r="AG193" s="19">
        <f t="shared" si="16"/>
        <v>15</v>
      </c>
      <c r="AH193" s="19">
        <f t="shared" si="17"/>
        <v>0</v>
      </c>
    </row>
    <row r="194" spans="1:34">
      <c r="A194" s="8" t="s">
        <v>288</v>
      </c>
      <c r="B194" s="8" t="s">
        <v>1992</v>
      </c>
      <c r="C194" s="8" t="s">
        <v>752</v>
      </c>
      <c r="D194" s="8" t="s">
        <v>4</v>
      </c>
      <c r="E194" s="8" t="s">
        <v>41</v>
      </c>
      <c r="F194" s="8" t="s">
        <v>5</v>
      </c>
      <c r="G194" s="8" t="s">
        <v>4</v>
      </c>
      <c r="H194" s="8" t="s">
        <v>49</v>
      </c>
      <c r="I194" s="8" t="s">
        <v>43</v>
      </c>
      <c r="J194" s="8" t="s">
        <v>41</v>
      </c>
      <c r="K194" s="8" t="s">
        <v>41</v>
      </c>
      <c r="L194" s="8" t="s">
        <v>110</v>
      </c>
      <c r="M194" s="11" t="s">
        <v>1836</v>
      </c>
      <c r="N194" s="8">
        <v>21</v>
      </c>
      <c r="O194" s="8">
        <v>14</v>
      </c>
      <c r="P194" s="8">
        <v>7</v>
      </c>
      <c r="Q194" s="8">
        <v>9</v>
      </c>
      <c r="R194" s="8">
        <v>8</v>
      </c>
      <c r="S194" s="8">
        <v>10</v>
      </c>
      <c r="T194" s="8">
        <v>6</v>
      </c>
      <c r="U194" s="8">
        <v>2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19">
        <f t="shared" si="12"/>
        <v>1</v>
      </c>
      <c r="AD194" s="19">
        <f t="shared" si="13"/>
        <v>4</v>
      </c>
      <c r="AE194" s="19">
        <f t="shared" si="14"/>
        <v>2</v>
      </c>
      <c r="AF194" s="19">
        <f t="shared" si="15"/>
        <v>0</v>
      </c>
      <c r="AG194" s="19">
        <f t="shared" si="16"/>
        <v>0</v>
      </c>
      <c r="AH194" s="19">
        <f t="shared" si="17"/>
        <v>0</v>
      </c>
    </row>
    <row r="195" spans="1:34">
      <c r="A195" s="8" t="s">
        <v>291</v>
      </c>
      <c r="B195" s="8" t="s">
        <v>2451</v>
      </c>
      <c r="C195" s="8" t="s">
        <v>17</v>
      </c>
      <c r="D195" s="8" t="s">
        <v>5</v>
      </c>
      <c r="E195" s="8" t="s">
        <v>80</v>
      </c>
      <c r="F195" s="8" t="s">
        <v>3</v>
      </c>
      <c r="G195" s="8" t="s">
        <v>18</v>
      </c>
      <c r="H195" s="8" t="s">
        <v>2453</v>
      </c>
      <c r="I195" s="8" t="s">
        <v>41</v>
      </c>
      <c r="J195" s="8" t="s">
        <v>43</v>
      </c>
      <c r="K195" s="8" t="s">
        <v>41</v>
      </c>
      <c r="L195" s="8" t="s">
        <v>110</v>
      </c>
      <c r="M195" s="11" t="s">
        <v>2452</v>
      </c>
      <c r="N195" s="8">
        <v>58</v>
      </c>
      <c r="O195" s="8">
        <v>47</v>
      </c>
      <c r="P195" s="8">
        <v>11</v>
      </c>
      <c r="Q195" s="8">
        <v>8</v>
      </c>
      <c r="R195" s="8">
        <v>6</v>
      </c>
      <c r="S195" s="8">
        <v>16</v>
      </c>
      <c r="T195" s="8">
        <v>14</v>
      </c>
      <c r="U195" s="8">
        <v>15</v>
      </c>
      <c r="V195" s="8">
        <v>13</v>
      </c>
      <c r="W195" s="8">
        <v>10</v>
      </c>
      <c r="X195" s="8">
        <v>8</v>
      </c>
      <c r="Y195" s="8">
        <v>9</v>
      </c>
      <c r="Z195" s="8">
        <v>6</v>
      </c>
      <c r="AA195" s="8">
        <v>0</v>
      </c>
      <c r="AB195" s="8">
        <v>0</v>
      </c>
      <c r="AC195" s="19">
        <f t="shared" si="12"/>
        <v>2</v>
      </c>
      <c r="AD195" s="19">
        <f t="shared" si="13"/>
        <v>2</v>
      </c>
      <c r="AE195" s="19">
        <f t="shared" si="14"/>
        <v>2</v>
      </c>
      <c r="AF195" s="19">
        <f t="shared" si="15"/>
        <v>2</v>
      </c>
      <c r="AG195" s="19">
        <f t="shared" si="16"/>
        <v>3</v>
      </c>
      <c r="AH195" s="19">
        <f t="shared" si="17"/>
        <v>0</v>
      </c>
    </row>
    <row r="196" spans="1:34">
      <c r="A196" s="8" t="s">
        <v>293</v>
      </c>
      <c r="B196" s="8" t="s">
        <v>1992</v>
      </c>
      <c r="C196" s="8" t="s">
        <v>957</v>
      </c>
      <c r="D196" s="8" t="s">
        <v>6</v>
      </c>
      <c r="E196" s="8" t="s">
        <v>110</v>
      </c>
      <c r="F196" s="8" t="s">
        <v>9</v>
      </c>
      <c r="G196" s="8" t="s">
        <v>3</v>
      </c>
      <c r="H196" s="8" t="s">
        <v>132</v>
      </c>
      <c r="I196" s="8" t="s">
        <v>43</v>
      </c>
      <c r="J196" s="8" t="s">
        <v>41</v>
      </c>
      <c r="K196" s="8" t="s">
        <v>5696</v>
      </c>
      <c r="L196" s="8" t="s">
        <v>110</v>
      </c>
      <c r="M196" s="11" t="s">
        <v>4916</v>
      </c>
      <c r="N196" s="8">
        <v>1</v>
      </c>
      <c r="O196" s="8">
        <v>1</v>
      </c>
      <c r="P196" s="8">
        <v>0</v>
      </c>
      <c r="Q196" s="8">
        <v>1</v>
      </c>
      <c r="R196" s="8">
        <v>1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19">
        <f t="shared" ref="AC196:AC259" si="18">+Q196-R196</f>
        <v>0</v>
      </c>
      <c r="AD196" s="19">
        <f t="shared" ref="AD196:AD259" si="19">+S196-T196</f>
        <v>0</v>
      </c>
      <c r="AE196" s="19">
        <f t="shared" ref="AE196:AE259" si="20">+U196-V196</f>
        <v>0</v>
      </c>
      <c r="AF196" s="19">
        <f t="shared" ref="AF196:AF259" si="21">+W196-X196</f>
        <v>0</v>
      </c>
      <c r="AG196" s="19">
        <f t="shared" ref="AG196:AG259" si="22">+Y196-Z196</f>
        <v>0</v>
      </c>
      <c r="AH196" s="19">
        <f t="shared" ref="AH196:AH259" si="23">+AA196-AB196</f>
        <v>0</v>
      </c>
    </row>
    <row r="197" spans="1:34">
      <c r="A197" s="8" t="s">
        <v>222</v>
      </c>
      <c r="B197" s="8" t="s">
        <v>2454</v>
      </c>
      <c r="C197" s="8" t="s">
        <v>956</v>
      </c>
      <c r="D197" s="8" t="s">
        <v>7</v>
      </c>
      <c r="E197" s="8" t="s">
        <v>41</v>
      </c>
      <c r="F197" s="8" t="s">
        <v>118</v>
      </c>
      <c r="G197" s="8" t="s">
        <v>5</v>
      </c>
      <c r="H197" s="8" t="s">
        <v>224</v>
      </c>
      <c r="I197" s="8" t="s">
        <v>41</v>
      </c>
      <c r="J197" s="8" t="s">
        <v>41</v>
      </c>
      <c r="K197" s="8" t="s">
        <v>41</v>
      </c>
      <c r="L197" s="8" t="s">
        <v>110</v>
      </c>
      <c r="M197" s="11" t="s">
        <v>4059</v>
      </c>
      <c r="N197" s="8">
        <v>98</v>
      </c>
      <c r="O197" s="8">
        <v>42</v>
      </c>
      <c r="P197" s="8">
        <v>56</v>
      </c>
      <c r="Q197" s="8">
        <v>9</v>
      </c>
      <c r="R197" s="8">
        <v>3</v>
      </c>
      <c r="S197" s="8">
        <v>24</v>
      </c>
      <c r="T197" s="8">
        <v>12</v>
      </c>
      <c r="U197" s="8">
        <v>24</v>
      </c>
      <c r="V197" s="8">
        <v>10</v>
      </c>
      <c r="W197" s="8">
        <v>38</v>
      </c>
      <c r="X197" s="8">
        <v>16</v>
      </c>
      <c r="Y197" s="8">
        <v>3</v>
      </c>
      <c r="Z197" s="8">
        <v>1</v>
      </c>
      <c r="AA197" s="8">
        <v>0</v>
      </c>
      <c r="AB197" s="8">
        <v>0</v>
      </c>
      <c r="AC197" s="19">
        <f t="shared" si="18"/>
        <v>6</v>
      </c>
      <c r="AD197" s="19">
        <f t="shared" si="19"/>
        <v>12</v>
      </c>
      <c r="AE197" s="19">
        <f t="shared" si="20"/>
        <v>14</v>
      </c>
      <c r="AF197" s="19">
        <f t="shared" si="21"/>
        <v>22</v>
      </c>
      <c r="AG197" s="19">
        <f t="shared" si="22"/>
        <v>2</v>
      </c>
      <c r="AH197" s="19">
        <f t="shared" si="23"/>
        <v>0</v>
      </c>
    </row>
    <row r="198" spans="1:34">
      <c r="A198" s="8" t="s">
        <v>296</v>
      </c>
      <c r="B198" s="8" t="s">
        <v>1992</v>
      </c>
      <c r="C198" s="8" t="s">
        <v>3</v>
      </c>
      <c r="D198" s="8" t="s">
        <v>5</v>
      </c>
      <c r="E198" s="8" t="s">
        <v>41</v>
      </c>
      <c r="F198" s="8" t="s">
        <v>70</v>
      </c>
      <c r="G198" s="8" t="s">
        <v>3</v>
      </c>
      <c r="H198" s="8" t="s">
        <v>1849</v>
      </c>
      <c r="I198" s="8" t="s">
        <v>43</v>
      </c>
      <c r="J198" s="8" t="s">
        <v>41</v>
      </c>
      <c r="K198" s="8" t="s">
        <v>5696</v>
      </c>
      <c r="L198" s="8" t="s">
        <v>110</v>
      </c>
      <c r="M198" s="11" t="s">
        <v>1838</v>
      </c>
      <c r="N198" s="8">
        <v>17</v>
      </c>
      <c r="O198" s="8">
        <v>8</v>
      </c>
      <c r="P198" s="8">
        <v>9</v>
      </c>
      <c r="Q198" s="8">
        <v>2</v>
      </c>
      <c r="R198" s="8">
        <v>0</v>
      </c>
      <c r="S198" s="8">
        <v>7</v>
      </c>
      <c r="T198" s="8">
        <v>3</v>
      </c>
      <c r="U198" s="8">
        <v>0</v>
      </c>
      <c r="V198" s="8">
        <v>0</v>
      </c>
      <c r="W198" s="8">
        <v>7</v>
      </c>
      <c r="X198" s="8">
        <v>5</v>
      </c>
      <c r="Y198" s="8">
        <v>1</v>
      </c>
      <c r="Z198" s="8">
        <v>0</v>
      </c>
      <c r="AA198" s="8">
        <v>0</v>
      </c>
      <c r="AB198" s="8">
        <v>0</v>
      </c>
      <c r="AC198" s="19">
        <f t="shared" si="18"/>
        <v>2</v>
      </c>
      <c r="AD198" s="19">
        <f t="shared" si="19"/>
        <v>4</v>
      </c>
      <c r="AE198" s="19">
        <f t="shared" si="20"/>
        <v>0</v>
      </c>
      <c r="AF198" s="19">
        <f t="shared" si="21"/>
        <v>2</v>
      </c>
      <c r="AG198" s="19">
        <f t="shared" si="22"/>
        <v>1</v>
      </c>
      <c r="AH198" s="19">
        <f t="shared" si="23"/>
        <v>0</v>
      </c>
    </row>
    <row r="199" spans="1:34">
      <c r="A199" s="8" t="s">
        <v>297</v>
      </c>
      <c r="B199" s="8" t="s">
        <v>1992</v>
      </c>
      <c r="C199" s="8" t="s">
        <v>956</v>
      </c>
      <c r="D199" s="8" t="s">
        <v>7</v>
      </c>
      <c r="E199" s="8" t="s">
        <v>41</v>
      </c>
      <c r="F199" s="8" t="s">
        <v>118</v>
      </c>
      <c r="G199" s="8" t="s">
        <v>3</v>
      </c>
      <c r="H199" s="8" t="s">
        <v>89</v>
      </c>
      <c r="I199" s="8" t="s">
        <v>43</v>
      </c>
      <c r="J199" s="8" t="s">
        <v>41</v>
      </c>
      <c r="K199" s="8" t="s">
        <v>5696</v>
      </c>
      <c r="L199" s="8" t="s">
        <v>110</v>
      </c>
      <c r="M199" s="11" t="s">
        <v>1852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19">
        <f t="shared" si="18"/>
        <v>0</v>
      </c>
      <c r="AD199" s="19">
        <f t="shared" si="19"/>
        <v>0</v>
      </c>
      <c r="AE199" s="19">
        <f t="shared" si="20"/>
        <v>0</v>
      </c>
      <c r="AF199" s="19">
        <f t="shared" si="21"/>
        <v>0</v>
      </c>
      <c r="AG199" s="19">
        <f t="shared" si="22"/>
        <v>0</v>
      </c>
      <c r="AH199" s="19">
        <f t="shared" si="23"/>
        <v>0</v>
      </c>
    </row>
    <row r="200" spans="1:34">
      <c r="A200" s="8" t="s">
        <v>314</v>
      </c>
      <c r="B200" s="8" t="s">
        <v>2458</v>
      </c>
      <c r="C200" s="8" t="s">
        <v>304</v>
      </c>
      <c r="D200" s="8" t="s">
        <v>12</v>
      </c>
      <c r="E200" s="8" t="s">
        <v>68</v>
      </c>
      <c r="F200" s="8" t="s">
        <v>7</v>
      </c>
      <c r="G200" s="8" t="s">
        <v>3</v>
      </c>
      <c r="H200" s="8" t="s">
        <v>2459</v>
      </c>
      <c r="I200" s="8" t="s">
        <v>41</v>
      </c>
      <c r="J200" s="8" t="s">
        <v>43</v>
      </c>
      <c r="K200" s="8" t="s">
        <v>41</v>
      </c>
      <c r="L200" s="8" t="s">
        <v>110</v>
      </c>
      <c r="M200" s="11" t="s">
        <v>5573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19">
        <f t="shared" si="18"/>
        <v>0</v>
      </c>
      <c r="AD200" s="19">
        <f t="shared" si="19"/>
        <v>0</v>
      </c>
      <c r="AE200" s="19">
        <f t="shared" si="20"/>
        <v>0</v>
      </c>
      <c r="AF200" s="19">
        <f t="shared" si="21"/>
        <v>0</v>
      </c>
      <c r="AG200" s="19">
        <f t="shared" si="22"/>
        <v>0</v>
      </c>
      <c r="AH200" s="19">
        <f t="shared" si="23"/>
        <v>0</v>
      </c>
    </row>
    <row r="201" spans="1:34">
      <c r="A201" s="8" t="s">
        <v>315</v>
      </c>
      <c r="B201" s="8" t="s">
        <v>2461</v>
      </c>
      <c r="C201" s="8" t="s">
        <v>954</v>
      </c>
      <c r="D201" s="8" t="s">
        <v>8</v>
      </c>
      <c r="E201" s="8" t="s">
        <v>80</v>
      </c>
      <c r="F201" s="8" t="s">
        <v>7</v>
      </c>
      <c r="G201" s="8" t="s">
        <v>3</v>
      </c>
      <c r="H201" s="8" t="s">
        <v>431</v>
      </c>
      <c r="I201" s="8" t="s">
        <v>41</v>
      </c>
      <c r="J201" s="8" t="s">
        <v>41</v>
      </c>
      <c r="K201" s="8" t="s">
        <v>41</v>
      </c>
      <c r="L201" s="8" t="s">
        <v>110</v>
      </c>
      <c r="M201" s="11" t="s">
        <v>2462</v>
      </c>
      <c r="N201" s="8">
        <v>167</v>
      </c>
      <c r="O201" s="8">
        <v>110</v>
      </c>
      <c r="P201" s="8">
        <v>57</v>
      </c>
      <c r="Q201" s="8">
        <v>18</v>
      </c>
      <c r="R201" s="8">
        <v>11</v>
      </c>
      <c r="S201" s="8">
        <v>26</v>
      </c>
      <c r="T201" s="8">
        <v>20</v>
      </c>
      <c r="U201" s="8">
        <v>34</v>
      </c>
      <c r="V201" s="8">
        <v>24</v>
      </c>
      <c r="W201" s="8">
        <v>49</v>
      </c>
      <c r="X201" s="8">
        <v>31</v>
      </c>
      <c r="Y201" s="8">
        <v>40</v>
      </c>
      <c r="Z201" s="8">
        <v>24</v>
      </c>
      <c r="AA201" s="8">
        <v>0</v>
      </c>
      <c r="AB201" s="8">
        <v>0</v>
      </c>
      <c r="AC201" s="19">
        <f t="shared" si="18"/>
        <v>7</v>
      </c>
      <c r="AD201" s="19">
        <f t="shared" si="19"/>
        <v>6</v>
      </c>
      <c r="AE201" s="19">
        <f t="shared" si="20"/>
        <v>10</v>
      </c>
      <c r="AF201" s="19">
        <f t="shared" si="21"/>
        <v>18</v>
      </c>
      <c r="AG201" s="19">
        <f t="shared" si="22"/>
        <v>16</v>
      </c>
      <c r="AH201" s="19">
        <f t="shared" si="23"/>
        <v>0</v>
      </c>
    </row>
    <row r="202" spans="1:34">
      <c r="A202" s="8" t="s">
        <v>316</v>
      </c>
      <c r="B202" s="8" t="s">
        <v>2464</v>
      </c>
      <c r="C202" s="8" t="s">
        <v>957</v>
      </c>
      <c r="D202" s="8" t="s">
        <v>3</v>
      </c>
      <c r="E202" s="8" t="s">
        <v>41</v>
      </c>
      <c r="F202" s="8" t="s">
        <v>3</v>
      </c>
      <c r="G202" s="8" t="s">
        <v>5</v>
      </c>
      <c r="H202" s="8" t="s">
        <v>55</v>
      </c>
      <c r="I202" s="8" t="s">
        <v>56</v>
      </c>
      <c r="J202" s="8" t="s">
        <v>41</v>
      </c>
      <c r="K202" s="8" t="s">
        <v>5696</v>
      </c>
      <c r="L202" s="8" t="s">
        <v>110</v>
      </c>
      <c r="M202" s="11" t="s">
        <v>4060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19">
        <f t="shared" si="18"/>
        <v>0</v>
      </c>
      <c r="AD202" s="19">
        <f t="shared" si="19"/>
        <v>0</v>
      </c>
      <c r="AE202" s="19">
        <f t="shared" si="20"/>
        <v>0</v>
      </c>
      <c r="AF202" s="19">
        <f t="shared" si="21"/>
        <v>0</v>
      </c>
      <c r="AG202" s="19">
        <f t="shared" si="22"/>
        <v>0</v>
      </c>
      <c r="AH202" s="19">
        <f t="shared" si="23"/>
        <v>0</v>
      </c>
    </row>
    <row r="203" spans="1:34">
      <c r="A203" s="8" t="s">
        <v>317</v>
      </c>
      <c r="B203" s="8" t="s">
        <v>2465</v>
      </c>
      <c r="C203" s="8" t="s">
        <v>304</v>
      </c>
      <c r="D203" s="8" t="s">
        <v>11</v>
      </c>
      <c r="E203" s="8" t="s">
        <v>68</v>
      </c>
      <c r="F203" s="8" t="s">
        <v>6</v>
      </c>
      <c r="G203" s="8" t="s">
        <v>4</v>
      </c>
      <c r="H203" s="8" t="s">
        <v>852</v>
      </c>
      <c r="I203" s="8" t="s">
        <v>41</v>
      </c>
      <c r="J203" s="8" t="s">
        <v>43</v>
      </c>
      <c r="K203" s="8" t="s">
        <v>41</v>
      </c>
      <c r="L203" s="8" t="s">
        <v>110</v>
      </c>
      <c r="M203" s="11" t="s">
        <v>5575</v>
      </c>
      <c r="N203" s="8">
        <v>47</v>
      </c>
      <c r="O203" s="8">
        <v>28</v>
      </c>
      <c r="P203" s="8">
        <v>19</v>
      </c>
      <c r="Q203" s="8">
        <v>9</v>
      </c>
      <c r="R203" s="8">
        <v>7</v>
      </c>
      <c r="S203" s="8">
        <v>8</v>
      </c>
      <c r="T203" s="8">
        <v>7</v>
      </c>
      <c r="U203" s="8">
        <v>5</v>
      </c>
      <c r="V203" s="8">
        <v>3</v>
      </c>
      <c r="W203" s="8">
        <v>19</v>
      </c>
      <c r="X203" s="8">
        <v>8</v>
      </c>
      <c r="Y203" s="8">
        <v>6</v>
      </c>
      <c r="Z203" s="8">
        <v>3</v>
      </c>
      <c r="AA203" s="8">
        <v>0</v>
      </c>
      <c r="AB203" s="8">
        <v>0</v>
      </c>
      <c r="AC203" s="19">
        <f t="shared" si="18"/>
        <v>2</v>
      </c>
      <c r="AD203" s="19">
        <f t="shared" si="19"/>
        <v>1</v>
      </c>
      <c r="AE203" s="19">
        <f t="shared" si="20"/>
        <v>2</v>
      </c>
      <c r="AF203" s="19">
        <f t="shared" si="21"/>
        <v>11</v>
      </c>
      <c r="AG203" s="19">
        <f t="shared" si="22"/>
        <v>3</v>
      </c>
      <c r="AH203" s="19">
        <f t="shared" si="23"/>
        <v>0</v>
      </c>
    </row>
    <row r="204" spans="1:34">
      <c r="A204" s="8" t="s">
        <v>318</v>
      </c>
      <c r="B204" s="8" t="s">
        <v>2467</v>
      </c>
      <c r="C204" s="8" t="s">
        <v>304</v>
      </c>
      <c r="D204" s="8" t="s">
        <v>4</v>
      </c>
      <c r="E204" s="8" t="s">
        <v>68</v>
      </c>
      <c r="F204" s="8" t="s">
        <v>3</v>
      </c>
      <c r="G204" s="8" t="s">
        <v>6</v>
      </c>
      <c r="H204" s="8" t="s">
        <v>4140</v>
      </c>
      <c r="I204" s="8" t="s">
        <v>41</v>
      </c>
      <c r="J204" s="8" t="s">
        <v>43</v>
      </c>
      <c r="K204" s="8" t="s">
        <v>41</v>
      </c>
      <c r="L204" s="8" t="s">
        <v>110</v>
      </c>
      <c r="M204" s="11" t="s">
        <v>3482</v>
      </c>
      <c r="N204" s="8">
        <v>174</v>
      </c>
      <c r="O204" s="8">
        <v>101</v>
      </c>
      <c r="P204" s="8">
        <v>73</v>
      </c>
      <c r="Q204" s="8">
        <v>32</v>
      </c>
      <c r="R204" s="8">
        <v>15</v>
      </c>
      <c r="S204" s="8">
        <v>39</v>
      </c>
      <c r="T204" s="8">
        <v>21</v>
      </c>
      <c r="U204" s="8">
        <v>47</v>
      </c>
      <c r="V204" s="8">
        <v>28</v>
      </c>
      <c r="W204" s="8">
        <v>31</v>
      </c>
      <c r="X204" s="8">
        <v>19</v>
      </c>
      <c r="Y204" s="8">
        <v>25</v>
      </c>
      <c r="Z204" s="8">
        <v>18</v>
      </c>
      <c r="AA204" s="8">
        <v>0</v>
      </c>
      <c r="AB204" s="8">
        <v>0</v>
      </c>
      <c r="AC204" s="19">
        <f t="shared" si="18"/>
        <v>17</v>
      </c>
      <c r="AD204" s="19">
        <f t="shared" si="19"/>
        <v>18</v>
      </c>
      <c r="AE204" s="19">
        <f t="shared" si="20"/>
        <v>19</v>
      </c>
      <c r="AF204" s="19">
        <f t="shared" si="21"/>
        <v>12</v>
      </c>
      <c r="AG204" s="19">
        <f t="shared" si="22"/>
        <v>7</v>
      </c>
      <c r="AH204" s="19">
        <f t="shared" si="23"/>
        <v>0</v>
      </c>
    </row>
    <row r="205" spans="1:34">
      <c r="A205" s="8" t="s">
        <v>319</v>
      </c>
      <c r="B205" s="8" t="s">
        <v>2468</v>
      </c>
      <c r="C205" s="8" t="s">
        <v>304</v>
      </c>
      <c r="D205" s="8" t="s">
        <v>4</v>
      </c>
      <c r="E205" s="8" t="s">
        <v>68</v>
      </c>
      <c r="F205" s="8" t="s">
        <v>3</v>
      </c>
      <c r="G205" s="8" t="s">
        <v>3</v>
      </c>
      <c r="H205" s="8" t="s">
        <v>4831</v>
      </c>
      <c r="I205" s="8" t="s">
        <v>41</v>
      </c>
      <c r="J205" s="8" t="s">
        <v>41</v>
      </c>
      <c r="K205" s="8" t="s">
        <v>41</v>
      </c>
      <c r="L205" s="8" t="s">
        <v>110</v>
      </c>
      <c r="M205" s="11" t="s">
        <v>3483</v>
      </c>
      <c r="N205" s="8">
        <v>111</v>
      </c>
      <c r="O205" s="8">
        <v>77</v>
      </c>
      <c r="P205" s="8">
        <v>34</v>
      </c>
      <c r="Q205" s="8">
        <v>6</v>
      </c>
      <c r="R205" s="8">
        <v>5</v>
      </c>
      <c r="S205" s="8">
        <v>16</v>
      </c>
      <c r="T205" s="8">
        <v>11</v>
      </c>
      <c r="U205" s="8">
        <v>30</v>
      </c>
      <c r="V205" s="8">
        <v>21</v>
      </c>
      <c r="W205" s="8">
        <v>25</v>
      </c>
      <c r="X205" s="8">
        <v>18</v>
      </c>
      <c r="Y205" s="8">
        <v>34</v>
      </c>
      <c r="Z205" s="8">
        <v>22</v>
      </c>
      <c r="AA205" s="8">
        <v>0</v>
      </c>
      <c r="AB205" s="8">
        <v>0</v>
      </c>
      <c r="AC205" s="19">
        <f t="shared" si="18"/>
        <v>1</v>
      </c>
      <c r="AD205" s="19">
        <f t="shared" si="19"/>
        <v>5</v>
      </c>
      <c r="AE205" s="19">
        <f t="shared" si="20"/>
        <v>9</v>
      </c>
      <c r="AF205" s="19">
        <f t="shared" si="21"/>
        <v>7</v>
      </c>
      <c r="AG205" s="19">
        <f t="shared" si="22"/>
        <v>12</v>
      </c>
      <c r="AH205" s="19">
        <f t="shared" si="23"/>
        <v>0</v>
      </c>
    </row>
    <row r="206" spans="1:34">
      <c r="A206" s="8" t="s">
        <v>87</v>
      </c>
      <c r="B206" s="8" t="s">
        <v>1992</v>
      </c>
      <c r="C206" s="8" t="s">
        <v>118</v>
      </c>
      <c r="D206" s="8" t="s">
        <v>3</v>
      </c>
      <c r="E206" s="8" t="s">
        <v>41</v>
      </c>
      <c r="F206" s="8" t="s">
        <v>388</v>
      </c>
      <c r="G206" s="8" t="s">
        <v>3</v>
      </c>
      <c r="H206" s="8" t="s">
        <v>2469</v>
      </c>
      <c r="I206" s="8" t="s">
        <v>43</v>
      </c>
      <c r="J206" s="8" t="s">
        <v>41</v>
      </c>
      <c r="K206" s="8" t="s">
        <v>5696</v>
      </c>
      <c r="L206" s="8" t="s">
        <v>110</v>
      </c>
      <c r="M206" s="11" t="s">
        <v>1823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19">
        <f t="shared" si="18"/>
        <v>0</v>
      </c>
      <c r="AD206" s="19">
        <f t="shared" si="19"/>
        <v>0</v>
      </c>
      <c r="AE206" s="19">
        <f t="shared" si="20"/>
        <v>0</v>
      </c>
      <c r="AF206" s="19">
        <f t="shared" si="21"/>
        <v>0</v>
      </c>
      <c r="AG206" s="19">
        <f t="shared" si="22"/>
        <v>0</v>
      </c>
      <c r="AH206" s="19">
        <f t="shared" si="23"/>
        <v>0</v>
      </c>
    </row>
    <row r="207" spans="1:34">
      <c r="A207" s="8" t="s">
        <v>325</v>
      </c>
      <c r="B207" s="8" t="s">
        <v>2471</v>
      </c>
      <c r="C207" s="8" t="s">
        <v>107</v>
      </c>
      <c r="D207" s="8" t="s">
        <v>9</v>
      </c>
      <c r="E207" s="8" t="s">
        <v>80</v>
      </c>
      <c r="F207" s="8" t="s">
        <v>11</v>
      </c>
      <c r="G207" s="8" t="s">
        <v>5</v>
      </c>
      <c r="H207" s="8" t="s">
        <v>834</v>
      </c>
      <c r="I207" s="8" t="s">
        <v>41</v>
      </c>
      <c r="J207" s="8" t="s">
        <v>43</v>
      </c>
      <c r="K207" s="8" t="s">
        <v>41</v>
      </c>
      <c r="L207" s="8" t="s">
        <v>110</v>
      </c>
      <c r="M207" s="11" t="s">
        <v>2472</v>
      </c>
      <c r="N207" s="8">
        <v>83</v>
      </c>
      <c r="O207" s="8">
        <v>53</v>
      </c>
      <c r="P207" s="8">
        <v>30</v>
      </c>
      <c r="Q207" s="8">
        <v>10</v>
      </c>
      <c r="R207" s="8">
        <v>6</v>
      </c>
      <c r="S207" s="8">
        <v>15</v>
      </c>
      <c r="T207" s="8">
        <v>10</v>
      </c>
      <c r="U207" s="8">
        <v>10</v>
      </c>
      <c r="V207" s="8">
        <v>5</v>
      </c>
      <c r="W207" s="8">
        <v>28</v>
      </c>
      <c r="X207" s="8">
        <v>18</v>
      </c>
      <c r="Y207" s="8">
        <v>20</v>
      </c>
      <c r="Z207" s="8">
        <v>14</v>
      </c>
      <c r="AA207" s="8">
        <v>0</v>
      </c>
      <c r="AB207" s="8">
        <v>0</v>
      </c>
      <c r="AC207" s="19">
        <f t="shared" si="18"/>
        <v>4</v>
      </c>
      <c r="AD207" s="19">
        <f t="shared" si="19"/>
        <v>5</v>
      </c>
      <c r="AE207" s="19">
        <f t="shared" si="20"/>
        <v>5</v>
      </c>
      <c r="AF207" s="19">
        <f t="shared" si="21"/>
        <v>10</v>
      </c>
      <c r="AG207" s="19">
        <f t="shared" si="22"/>
        <v>6</v>
      </c>
      <c r="AH207" s="19">
        <f t="shared" si="23"/>
        <v>0</v>
      </c>
    </row>
    <row r="208" spans="1:34">
      <c r="A208" s="8" t="s">
        <v>3457</v>
      </c>
      <c r="B208" s="8" t="s">
        <v>3458</v>
      </c>
      <c r="C208" s="8" t="s">
        <v>11</v>
      </c>
      <c r="D208" s="8" t="s">
        <v>4</v>
      </c>
      <c r="E208" s="8" t="s">
        <v>126</v>
      </c>
      <c r="F208" s="8" t="s">
        <v>3</v>
      </c>
      <c r="G208" s="8" t="s">
        <v>3</v>
      </c>
      <c r="H208" s="8" t="s">
        <v>3459</v>
      </c>
      <c r="I208" s="8" t="s">
        <v>41</v>
      </c>
      <c r="J208" s="8" t="s">
        <v>41</v>
      </c>
      <c r="K208" s="8" t="s">
        <v>5696</v>
      </c>
      <c r="L208" s="8" t="s">
        <v>110</v>
      </c>
      <c r="M208" s="11" t="s">
        <v>5663</v>
      </c>
      <c r="N208" s="8">
        <v>531</v>
      </c>
      <c r="O208" s="8">
        <v>254</v>
      </c>
      <c r="P208" s="8">
        <v>277</v>
      </c>
      <c r="Q208" s="8">
        <v>161</v>
      </c>
      <c r="R208" s="8">
        <v>71</v>
      </c>
      <c r="S208" s="8">
        <v>137</v>
      </c>
      <c r="T208" s="8">
        <v>75</v>
      </c>
      <c r="U208" s="8">
        <v>121</v>
      </c>
      <c r="V208" s="8">
        <v>51</v>
      </c>
      <c r="W208" s="8">
        <v>79</v>
      </c>
      <c r="X208" s="8">
        <v>40</v>
      </c>
      <c r="Y208" s="8">
        <v>31</v>
      </c>
      <c r="Z208" s="8">
        <v>15</v>
      </c>
      <c r="AA208" s="8">
        <v>2</v>
      </c>
      <c r="AB208" s="8">
        <v>2</v>
      </c>
      <c r="AC208" s="19">
        <f t="shared" si="18"/>
        <v>90</v>
      </c>
      <c r="AD208" s="19">
        <f t="shared" si="19"/>
        <v>62</v>
      </c>
      <c r="AE208" s="19">
        <f t="shared" si="20"/>
        <v>70</v>
      </c>
      <c r="AF208" s="19">
        <f t="shared" si="21"/>
        <v>39</v>
      </c>
      <c r="AG208" s="19">
        <f t="shared" si="22"/>
        <v>16</v>
      </c>
      <c r="AH208" s="19">
        <f t="shared" si="23"/>
        <v>0</v>
      </c>
    </row>
    <row r="209" spans="1:34">
      <c r="A209" s="8" t="s">
        <v>327</v>
      </c>
      <c r="B209" s="8" t="s">
        <v>1992</v>
      </c>
      <c r="C209" s="8" t="s">
        <v>956</v>
      </c>
      <c r="D209" s="8" t="s">
        <v>8</v>
      </c>
      <c r="E209" s="8" t="s">
        <v>41</v>
      </c>
      <c r="F209" s="8" t="s">
        <v>16</v>
      </c>
      <c r="G209" s="8" t="s">
        <v>3</v>
      </c>
      <c r="H209" s="8" t="s">
        <v>211</v>
      </c>
      <c r="I209" s="8" t="s">
        <v>43</v>
      </c>
      <c r="J209" s="8" t="s">
        <v>41</v>
      </c>
      <c r="K209" s="8" t="s">
        <v>5696</v>
      </c>
      <c r="L209" s="8" t="s">
        <v>110</v>
      </c>
      <c r="M209" s="11" t="s">
        <v>2473</v>
      </c>
      <c r="N209" s="8">
        <v>14</v>
      </c>
      <c r="O209" s="8">
        <v>11</v>
      </c>
      <c r="P209" s="8">
        <v>3</v>
      </c>
      <c r="Q209" s="8">
        <v>0</v>
      </c>
      <c r="R209" s="8">
        <v>0</v>
      </c>
      <c r="S209" s="8">
        <v>0</v>
      </c>
      <c r="T209" s="8">
        <v>0</v>
      </c>
      <c r="U209" s="8">
        <v>2</v>
      </c>
      <c r="V209" s="8">
        <v>1</v>
      </c>
      <c r="W209" s="8">
        <v>9</v>
      </c>
      <c r="X209" s="8">
        <v>7</v>
      </c>
      <c r="Y209" s="8">
        <v>3</v>
      </c>
      <c r="Z209" s="8">
        <v>3</v>
      </c>
      <c r="AA209" s="8">
        <v>0</v>
      </c>
      <c r="AB209" s="8">
        <v>0</v>
      </c>
      <c r="AC209" s="19">
        <f t="shared" si="18"/>
        <v>0</v>
      </c>
      <c r="AD209" s="19">
        <f t="shared" si="19"/>
        <v>0</v>
      </c>
      <c r="AE209" s="19">
        <f t="shared" si="20"/>
        <v>1</v>
      </c>
      <c r="AF209" s="19">
        <f t="shared" si="21"/>
        <v>2</v>
      </c>
      <c r="AG209" s="19">
        <f t="shared" si="22"/>
        <v>0</v>
      </c>
      <c r="AH209" s="19">
        <f t="shared" si="23"/>
        <v>0</v>
      </c>
    </row>
    <row r="210" spans="1:34">
      <c r="A210" s="8" t="s">
        <v>329</v>
      </c>
      <c r="B210" s="8" t="s">
        <v>2476</v>
      </c>
      <c r="C210" s="8" t="s">
        <v>754</v>
      </c>
      <c r="D210" s="8" t="s">
        <v>3</v>
      </c>
      <c r="E210" s="8" t="s">
        <v>68</v>
      </c>
      <c r="F210" s="8" t="s">
        <v>4</v>
      </c>
      <c r="G210" s="8" t="s">
        <v>3</v>
      </c>
      <c r="H210" s="8" t="s">
        <v>750</v>
      </c>
      <c r="I210" s="8" t="s">
        <v>41</v>
      </c>
      <c r="J210" s="8" t="s">
        <v>41</v>
      </c>
      <c r="K210" s="8" t="s">
        <v>43</v>
      </c>
      <c r="L210" s="8" t="s">
        <v>110</v>
      </c>
      <c r="M210" s="11" t="s">
        <v>5577</v>
      </c>
      <c r="N210" s="8">
        <v>11</v>
      </c>
      <c r="O210" s="8">
        <v>9</v>
      </c>
      <c r="P210" s="8">
        <v>2</v>
      </c>
      <c r="Q210" s="8">
        <v>2</v>
      </c>
      <c r="R210" s="8">
        <v>2</v>
      </c>
      <c r="S210" s="8">
        <v>1</v>
      </c>
      <c r="T210" s="8">
        <v>1</v>
      </c>
      <c r="U210" s="8">
        <v>2</v>
      </c>
      <c r="V210" s="8">
        <v>1</v>
      </c>
      <c r="W210" s="8">
        <v>1</v>
      </c>
      <c r="X210" s="8">
        <v>1</v>
      </c>
      <c r="Y210" s="8">
        <v>5</v>
      </c>
      <c r="Z210" s="8">
        <v>4</v>
      </c>
      <c r="AA210" s="8">
        <v>0</v>
      </c>
      <c r="AB210" s="8">
        <v>0</v>
      </c>
      <c r="AC210" s="19">
        <f t="shared" si="18"/>
        <v>0</v>
      </c>
      <c r="AD210" s="19">
        <f t="shared" si="19"/>
        <v>0</v>
      </c>
      <c r="AE210" s="19">
        <f t="shared" si="20"/>
        <v>1</v>
      </c>
      <c r="AF210" s="19">
        <f t="shared" si="21"/>
        <v>0</v>
      </c>
      <c r="AG210" s="19">
        <f t="shared" si="22"/>
        <v>1</v>
      </c>
      <c r="AH210" s="19">
        <f t="shared" si="23"/>
        <v>0</v>
      </c>
    </row>
    <row r="211" spans="1:34">
      <c r="A211" s="8" t="s">
        <v>331</v>
      </c>
      <c r="B211" s="8" t="s">
        <v>5578</v>
      </c>
      <c r="C211" s="8" t="s">
        <v>70</v>
      </c>
      <c r="D211" s="8" t="s">
        <v>4</v>
      </c>
      <c r="E211" s="8" t="s">
        <v>43</v>
      </c>
      <c r="F211" s="8" t="s">
        <v>13</v>
      </c>
      <c r="G211" s="8" t="s">
        <v>4</v>
      </c>
      <c r="H211" s="8" t="s">
        <v>701</v>
      </c>
      <c r="I211" s="8" t="s">
        <v>41</v>
      </c>
      <c r="J211" s="8" t="s">
        <v>41</v>
      </c>
      <c r="K211" s="8" t="s">
        <v>41</v>
      </c>
      <c r="L211" s="8" t="s">
        <v>110</v>
      </c>
      <c r="M211" s="11" t="s">
        <v>2478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19">
        <f t="shared" si="18"/>
        <v>0</v>
      </c>
      <c r="AD211" s="19">
        <f t="shared" si="19"/>
        <v>0</v>
      </c>
      <c r="AE211" s="19">
        <f t="shared" si="20"/>
        <v>0</v>
      </c>
      <c r="AF211" s="19">
        <f t="shared" si="21"/>
        <v>0</v>
      </c>
      <c r="AG211" s="19">
        <f t="shared" si="22"/>
        <v>0</v>
      </c>
      <c r="AH211" s="19">
        <f t="shared" si="23"/>
        <v>0</v>
      </c>
    </row>
    <row r="212" spans="1:34">
      <c r="A212" s="8" t="s">
        <v>332</v>
      </c>
      <c r="B212" s="8" t="s">
        <v>2480</v>
      </c>
      <c r="C212" s="8" t="s">
        <v>388</v>
      </c>
      <c r="D212" s="8" t="s">
        <v>6</v>
      </c>
      <c r="E212" s="8" t="s">
        <v>43</v>
      </c>
      <c r="F212" s="8" t="s">
        <v>18</v>
      </c>
      <c r="G212" s="8" t="s">
        <v>6</v>
      </c>
      <c r="H212" s="8" t="s">
        <v>5669</v>
      </c>
      <c r="I212" s="8" t="s">
        <v>41</v>
      </c>
      <c r="J212" s="8" t="s">
        <v>43</v>
      </c>
      <c r="K212" s="8" t="s">
        <v>41</v>
      </c>
      <c r="L212" s="8" t="s">
        <v>110</v>
      </c>
      <c r="M212" s="11" t="s">
        <v>2481</v>
      </c>
      <c r="N212" s="8">
        <v>108</v>
      </c>
      <c r="O212" s="8">
        <v>59</v>
      </c>
      <c r="P212" s="8">
        <v>49</v>
      </c>
      <c r="Q212" s="8">
        <v>26</v>
      </c>
      <c r="R212" s="8">
        <v>17</v>
      </c>
      <c r="S212" s="8">
        <v>26</v>
      </c>
      <c r="T212" s="8">
        <v>11</v>
      </c>
      <c r="U212" s="8">
        <v>17</v>
      </c>
      <c r="V212" s="8">
        <v>12</v>
      </c>
      <c r="W212" s="8">
        <v>19</v>
      </c>
      <c r="X212" s="8">
        <v>10</v>
      </c>
      <c r="Y212" s="8">
        <v>20</v>
      </c>
      <c r="Z212" s="8">
        <v>9</v>
      </c>
      <c r="AA212" s="8">
        <v>0</v>
      </c>
      <c r="AB212" s="8">
        <v>0</v>
      </c>
      <c r="AC212" s="19">
        <f t="shared" si="18"/>
        <v>9</v>
      </c>
      <c r="AD212" s="19">
        <f t="shared" si="19"/>
        <v>15</v>
      </c>
      <c r="AE212" s="19">
        <f t="shared" si="20"/>
        <v>5</v>
      </c>
      <c r="AF212" s="19">
        <f t="shared" si="21"/>
        <v>9</v>
      </c>
      <c r="AG212" s="19">
        <f t="shared" si="22"/>
        <v>11</v>
      </c>
      <c r="AH212" s="19">
        <f t="shared" si="23"/>
        <v>0</v>
      </c>
    </row>
    <row r="213" spans="1:34">
      <c r="A213" s="8" t="s">
        <v>333</v>
      </c>
      <c r="B213" s="8" t="s">
        <v>1992</v>
      </c>
      <c r="C213" s="8" t="s">
        <v>956</v>
      </c>
      <c r="D213" s="8" t="s">
        <v>5</v>
      </c>
      <c r="E213" s="8" t="s">
        <v>56</v>
      </c>
      <c r="F213" s="8" t="s">
        <v>5</v>
      </c>
      <c r="G213" s="8" t="s">
        <v>7</v>
      </c>
      <c r="H213" s="8" t="s">
        <v>1820</v>
      </c>
      <c r="I213" s="8" t="s">
        <v>43</v>
      </c>
      <c r="J213" s="8" t="s">
        <v>41</v>
      </c>
      <c r="K213" s="8" t="s">
        <v>5696</v>
      </c>
      <c r="L213" s="8" t="s">
        <v>110</v>
      </c>
      <c r="M213" s="11" t="s">
        <v>2484</v>
      </c>
      <c r="N213" s="8">
        <v>9</v>
      </c>
      <c r="O213" s="8">
        <v>5</v>
      </c>
      <c r="P213" s="8">
        <v>4</v>
      </c>
      <c r="Q213" s="8">
        <v>0</v>
      </c>
      <c r="R213" s="8">
        <v>0</v>
      </c>
      <c r="S213" s="8">
        <v>2</v>
      </c>
      <c r="T213" s="8">
        <v>1</v>
      </c>
      <c r="U213" s="8">
        <v>4</v>
      </c>
      <c r="V213" s="8">
        <v>3</v>
      </c>
      <c r="W213" s="8">
        <v>3</v>
      </c>
      <c r="X213" s="8">
        <v>1</v>
      </c>
      <c r="Y213" s="8">
        <v>0</v>
      </c>
      <c r="Z213" s="8">
        <v>0</v>
      </c>
      <c r="AA213" s="8">
        <v>0</v>
      </c>
      <c r="AB213" s="8">
        <v>0</v>
      </c>
      <c r="AC213" s="19">
        <f t="shared" si="18"/>
        <v>0</v>
      </c>
      <c r="AD213" s="19">
        <f t="shared" si="19"/>
        <v>1</v>
      </c>
      <c r="AE213" s="19">
        <f t="shared" si="20"/>
        <v>1</v>
      </c>
      <c r="AF213" s="19">
        <f t="shared" si="21"/>
        <v>2</v>
      </c>
      <c r="AG213" s="19">
        <f t="shared" si="22"/>
        <v>0</v>
      </c>
      <c r="AH213" s="19">
        <f t="shared" si="23"/>
        <v>0</v>
      </c>
    </row>
    <row r="214" spans="1:34">
      <c r="A214" s="8" t="s">
        <v>334</v>
      </c>
      <c r="B214" s="8" t="s">
        <v>2486</v>
      </c>
      <c r="C214" s="8" t="s">
        <v>118</v>
      </c>
      <c r="D214" s="8" t="s">
        <v>3</v>
      </c>
      <c r="E214" s="8" t="s">
        <v>41</v>
      </c>
      <c r="F214" s="8" t="s">
        <v>388</v>
      </c>
      <c r="G214" s="8" t="s">
        <v>3</v>
      </c>
      <c r="H214" s="8" t="s">
        <v>724</v>
      </c>
      <c r="I214" s="8" t="s">
        <v>56</v>
      </c>
      <c r="J214" s="8" t="s">
        <v>41</v>
      </c>
      <c r="K214" s="8" t="s">
        <v>5696</v>
      </c>
      <c r="L214" s="8" t="s">
        <v>110</v>
      </c>
      <c r="M214" s="11" t="s">
        <v>4061</v>
      </c>
      <c r="N214" s="8">
        <v>22</v>
      </c>
      <c r="O214" s="8">
        <v>12</v>
      </c>
      <c r="P214" s="8">
        <v>10</v>
      </c>
      <c r="Q214" s="8">
        <v>7</v>
      </c>
      <c r="R214" s="8">
        <v>3</v>
      </c>
      <c r="S214" s="8">
        <v>3</v>
      </c>
      <c r="T214" s="8">
        <v>1</v>
      </c>
      <c r="U214" s="8">
        <v>5</v>
      </c>
      <c r="V214" s="8">
        <v>4</v>
      </c>
      <c r="W214" s="8">
        <v>5</v>
      </c>
      <c r="X214" s="8">
        <v>3</v>
      </c>
      <c r="Y214" s="8">
        <v>2</v>
      </c>
      <c r="Z214" s="8">
        <v>1</v>
      </c>
      <c r="AA214" s="8">
        <v>0</v>
      </c>
      <c r="AB214" s="8">
        <v>0</v>
      </c>
      <c r="AC214" s="19">
        <f t="shared" si="18"/>
        <v>4</v>
      </c>
      <c r="AD214" s="19">
        <f t="shared" si="19"/>
        <v>2</v>
      </c>
      <c r="AE214" s="19">
        <f t="shared" si="20"/>
        <v>1</v>
      </c>
      <c r="AF214" s="19">
        <f t="shared" si="21"/>
        <v>2</v>
      </c>
      <c r="AG214" s="19">
        <f t="shared" si="22"/>
        <v>1</v>
      </c>
      <c r="AH214" s="19">
        <f t="shared" si="23"/>
        <v>0</v>
      </c>
    </row>
    <row r="215" spans="1:34">
      <c r="A215" s="8" t="s">
        <v>335</v>
      </c>
      <c r="B215" s="8" t="s">
        <v>2489</v>
      </c>
      <c r="C215" s="8" t="s">
        <v>118</v>
      </c>
      <c r="D215" s="8" t="s">
        <v>5</v>
      </c>
      <c r="E215" s="8" t="s">
        <v>41</v>
      </c>
      <c r="F215" s="8" t="s">
        <v>388</v>
      </c>
      <c r="G215" s="8" t="s">
        <v>5</v>
      </c>
      <c r="H215" s="8" t="s">
        <v>481</v>
      </c>
      <c r="I215" s="8" t="s">
        <v>41</v>
      </c>
      <c r="J215" s="8" t="s">
        <v>41</v>
      </c>
      <c r="K215" s="8" t="s">
        <v>43</v>
      </c>
      <c r="L215" s="8" t="s">
        <v>110</v>
      </c>
      <c r="M215" s="11" t="s">
        <v>4062</v>
      </c>
      <c r="N215" s="8">
        <v>250</v>
      </c>
      <c r="O215" s="8">
        <v>147</v>
      </c>
      <c r="P215" s="8">
        <v>103</v>
      </c>
      <c r="Q215" s="8">
        <v>46</v>
      </c>
      <c r="R215" s="8">
        <v>28</v>
      </c>
      <c r="S215" s="8">
        <v>64</v>
      </c>
      <c r="T215" s="8">
        <v>31</v>
      </c>
      <c r="U215" s="8">
        <v>45</v>
      </c>
      <c r="V215" s="8">
        <v>24</v>
      </c>
      <c r="W215" s="8">
        <v>51</v>
      </c>
      <c r="X215" s="8">
        <v>38</v>
      </c>
      <c r="Y215" s="8">
        <v>44</v>
      </c>
      <c r="Z215" s="8">
        <v>26</v>
      </c>
      <c r="AA215" s="8">
        <v>0</v>
      </c>
      <c r="AB215" s="8">
        <v>0</v>
      </c>
      <c r="AC215" s="19">
        <f t="shared" si="18"/>
        <v>18</v>
      </c>
      <c r="AD215" s="19">
        <f t="shared" si="19"/>
        <v>33</v>
      </c>
      <c r="AE215" s="19">
        <f t="shared" si="20"/>
        <v>21</v>
      </c>
      <c r="AF215" s="19">
        <f t="shared" si="21"/>
        <v>13</v>
      </c>
      <c r="AG215" s="19">
        <f t="shared" si="22"/>
        <v>18</v>
      </c>
      <c r="AH215" s="19">
        <f t="shared" si="23"/>
        <v>0</v>
      </c>
    </row>
    <row r="216" spans="1:34">
      <c r="A216" s="8" t="s">
        <v>50</v>
      </c>
      <c r="B216" s="8" t="s">
        <v>2491</v>
      </c>
      <c r="C216" s="8" t="s">
        <v>13</v>
      </c>
      <c r="D216" s="8" t="s">
        <v>3</v>
      </c>
      <c r="E216" s="8" t="s">
        <v>126</v>
      </c>
      <c r="F216" s="8" t="s">
        <v>5</v>
      </c>
      <c r="G216" s="8" t="s">
        <v>3</v>
      </c>
      <c r="H216" s="8" t="s">
        <v>125</v>
      </c>
      <c r="I216" s="8" t="s">
        <v>41</v>
      </c>
      <c r="J216" s="8" t="s">
        <v>41</v>
      </c>
      <c r="K216" s="8" t="s">
        <v>41</v>
      </c>
      <c r="L216" s="8" t="s">
        <v>110</v>
      </c>
      <c r="M216" s="11" t="s">
        <v>2492</v>
      </c>
      <c r="N216" s="8">
        <v>17</v>
      </c>
      <c r="O216" s="8">
        <v>8</v>
      </c>
      <c r="P216" s="8">
        <v>9</v>
      </c>
      <c r="Q216" s="8">
        <v>5</v>
      </c>
      <c r="R216" s="8">
        <v>2</v>
      </c>
      <c r="S216" s="8">
        <v>5</v>
      </c>
      <c r="T216" s="8">
        <v>2</v>
      </c>
      <c r="U216" s="8">
        <v>6</v>
      </c>
      <c r="V216" s="8">
        <v>3</v>
      </c>
      <c r="W216" s="8">
        <v>1</v>
      </c>
      <c r="X216" s="8">
        <v>1</v>
      </c>
      <c r="Y216" s="8">
        <v>0</v>
      </c>
      <c r="Z216" s="8">
        <v>0</v>
      </c>
      <c r="AA216" s="8">
        <v>0</v>
      </c>
      <c r="AB216" s="8">
        <v>0</v>
      </c>
      <c r="AC216" s="19">
        <f t="shared" si="18"/>
        <v>3</v>
      </c>
      <c r="AD216" s="19">
        <f t="shared" si="19"/>
        <v>3</v>
      </c>
      <c r="AE216" s="19">
        <f t="shared" si="20"/>
        <v>3</v>
      </c>
      <c r="AF216" s="19">
        <f t="shared" si="21"/>
        <v>0</v>
      </c>
      <c r="AG216" s="19">
        <f t="shared" si="22"/>
        <v>0</v>
      </c>
      <c r="AH216" s="19">
        <f t="shared" si="23"/>
        <v>0</v>
      </c>
    </row>
    <row r="217" spans="1:34">
      <c r="A217" s="8" t="s">
        <v>198</v>
      </c>
      <c r="B217" s="8" t="s">
        <v>1992</v>
      </c>
      <c r="C217" s="8" t="s">
        <v>5</v>
      </c>
      <c r="D217" s="8" t="s">
        <v>6</v>
      </c>
      <c r="E217" s="8" t="s">
        <v>43</v>
      </c>
      <c r="F217" s="8" t="s">
        <v>3</v>
      </c>
      <c r="G217" s="8" t="s">
        <v>11</v>
      </c>
      <c r="H217" s="8" t="s">
        <v>89</v>
      </c>
      <c r="I217" s="8" t="s">
        <v>43</v>
      </c>
      <c r="J217" s="8" t="s">
        <v>41</v>
      </c>
      <c r="K217" s="8" t="s">
        <v>5696</v>
      </c>
      <c r="L217" s="8" t="s">
        <v>110</v>
      </c>
      <c r="M217" s="11" t="s">
        <v>4694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19">
        <f t="shared" si="18"/>
        <v>0</v>
      </c>
      <c r="AD217" s="19">
        <f t="shared" si="19"/>
        <v>0</v>
      </c>
      <c r="AE217" s="19">
        <f t="shared" si="20"/>
        <v>0</v>
      </c>
      <c r="AF217" s="19">
        <f t="shared" si="21"/>
        <v>0</v>
      </c>
      <c r="AG217" s="19">
        <f t="shared" si="22"/>
        <v>0</v>
      </c>
      <c r="AH217" s="19">
        <f t="shared" si="23"/>
        <v>0</v>
      </c>
    </row>
    <row r="218" spans="1:34">
      <c r="A218" s="8" t="s">
        <v>337</v>
      </c>
      <c r="B218" s="8" t="s">
        <v>1992</v>
      </c>
      <c r="C218" s="8" t="s">
        <v>9</v>
      </c>
      <c r="D218" s="8" t="s">
        <v>8</v>
      </c>
      <c r="E218" s="8" t="s">
        <v>110</v>
      </c>
      <c r="F218" s="8" t="s">
        <v>8</v>
      </c>
      <c r="G218" s="8" t="s">
        <v>3</v>
      </c>
      <c r="H218" s="8" t="s">
        <v>5670</v>
      </c>
      <c r="I218" s="8" t="s">
        <v>43</v>
      </c>
      <c r="J218" s="8" t="s">
        <v>41</v>
      </c>
      <c r="K218" s="8" t="s">
        <v>5696</v>
      </c>
      <c r="L218" s="8" t="s">
        <v>110</v>
      </c>
      <c r="M218" s="11" t="s">
        <v>2494</v>
      </c>
      <c r="N218" s="8">
        <v>17</v>
      </c>
      <c r="O218" s="8">
        <v>11</v>
      </c>
      <c r="P218" s="8">
        <v>6</v>
      </c>
      <c r="Q218" s="8">
        <v>5</v>
      </c>
      <c r="R218" s="8">
        <v>3</v>
      </c>
      <c r="S218" s="8">
        <v>4</v>
      </c>
      <c r="T218" s="8">
        <v>3</v>
      </c>
      <c r="U218" s="8">
        <v>6</v>
      </c>
      <c r="V218" s="8">
        <v>4</v>
      </c>
      <c r="W218" s="8">
        <v>1</v>
      </c>
      <c r="X218" s="8">
        <v>0</v>
      </c>
      <c r="Y218" s="8">
        <v>1</v>
      </c>
      <c r="Z218" s="8">
        <v>1</v>
      </c>
      <c r="AA218" s="8">
        <v>0</v>
      </c>
      <c r="AB218" s="8">
        <v>0</v>
      </c>
      <c r="AC218" s="19">
        <f t="shared" si="18"/>
        <v>2</v>
      </c>
      <c r="AD218" s="19">
        <f t="shared" si="19"/>
        <v>1</v>
      </c>
      <c r="AE218" s="19">
        <f t="shared" si="20"/>
        <v>2</v>
      </c>
      <c r="AF218" s="19">
        <f t="shared" si="21"/>
        <v>1</v>
      </c>
      <c r="AG218" s="19">
        <f t="shared" si="22"/>
        <v>0</v>
      </c>
      <c r="AH218" s="19">
        <f t="shared" si="23"/>
        <v>0</v>
      </c>
    </row>
    <row r="219" spans="1:34">
      <c r="A219" s="8" t="s">
        <v>338</v>
      </c>
      <c r="B219" s="8" t="s">
        <v>1992</v>
      </c>
      <c r="C219" s="8" t="s">
        <v>9</v>
      </c>
      <c r="D219" s="8" t="s">
        <v>8</v>
      </c>
      <c r="E219" s="8" t="s">
        <v>110</v>
      </c>
      <c r="F219" s="8" t="s">
        <v>12</v>
      </c>
      <c r="G219" s="8" t="s">
        <v>3</v>
      </c>
      <c r="H219" s="8" t="s">
        <v>775</v>
      </c>
      <c r="I219" s="8" t="s">
        <v>43</v>
      </c>
      <c r="J219" s="8" t="s">
        <v>41</v>
      </c>
      <c r="K219" s="8" t="s">
        <v>5696</v>
      </c>
      <c r="L219" s="8" t="s">
        <v>110</v>
      </c>
      <c r="M219" s="11" t="s">
        <v>1858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19">
        <f t="shared" si="18"/>
        <v>0</v>
      </c>
      <c r="AD219" s="19">
        <f t="shared" si="19"/>
        <v>0</v>
      </c>
      <c r="AE219" s="19">
        <f t="shared" si="20"/>
        <v>0</v>
      </c>
      <c r="AF219" s="19">
        <f t="shared" si="21"/>
        <v>0</v>
      </c>
      <c r="AG219" s="19">
        <f t="shared" si="22"/>
        <v>0</v>
      </c>
      <c r="AH219" s="19">
        <f t="shared" si="23"/>
        <v>0</v>
      </c>
    </row>
    <row r="220" spans="1:34">
      <c r="A220" s="8" t="s">
        <v>341</v>
      </c>
      <c r="B220" s="8" t="s">
        <v>1992</v>
      </c>
      <c r="C220" s="8" t="s">
        <v>9</v>
      </c>
      <c r="D220" s="8" t="s">
        <v>4</v>
      </c>
      <c r="E220" s="8" t="s">
        <v>110</v>
      </c>
      <c r="F220" s="8" t="s">
        <v>3</v>
      </c>
      <c r="G220" s="8" t="s">
        <v>4</v>
      </c>
      <c r="H220" s="8" t="s">
        <v>294</v>
      </c>
      <c r="I220" s="8" t="s">
        <v>43</v>
      </c>
      <c r="J220" s="8" t="s">
        <v>41</v>
      </c>
      <c r="K220" s="8" t="s">
        <v>5696</v>
      </c>
      <c r="L220" s="8" t="s">
        <v>110</v>
      </c>
      <c r="M220" s="11" t="s">
        <v>3975</v>
      </c>
      <c r="N220" s="8">
        <v>47</v>
      </c>
      <c r="O220" s="8">
        <v>23</v>
      </c>
      <c r="P220" s="8">
        <v>24</v>
      </c>
      <c r="Q220" s="8">
        <v>29</v>
      </c>
      <c r="R220" s="8">
        <v>12</v>
      </c>
      <c r="S220" s="8">
        <v>5</v>
      </c>
      <c r="T220" s="8">
        <v>4</v>
      </c>
      <c r="U220" s="8">
        <v>5</v>
      </c>
      <c r="V220" s="8">
        <v>2</v>
      </c>
      <c r="W220" s="8">
        <v>7</v>
      </c>
      <c r="X220" s="8">
        <v>4</v>
      </c>
      <c r="Y220" s="8">
        <v>1</v>
      </c>
      <c r="Z220" s="8">
        <v>1</v>
      </c>
      <c r="AA220" s="8">
        <v>0</v>
      </c>
      <c r="AB220" s="8">
        <v>0</v>
      </c>
      <c r="AC220" s="19">
        <f t="shared" si="18"/>
        <v>17</v>
      </c>
      <c r="AD220" s="19">
        <f t="shared" si="19"/>
        <v>1</v>
      </c>
      <c r="AE220" s="19">
        <f t="shared" si="20"/>
        <v>3</v>
      </c>
      <c r="AF220" s="19">
        <f t="shared" si="21"/>
        <v>3</v>
      </c>
      <c r="AG220" s="19">
        <f t="shared" si="22"/>
        <v>0</v>
      </c>
      <c r="AH220" s="19">
        <f t="shared" si="23"/>
        <v>0</v>
      </c>
    </row>
    <row r="221" spans="1:34">
      <c r="A221" s="8" t="s">
        <v>343</v>
      </c>
      <c r="B221" s="8" t="s">
        <v>1992</v>
      </c>
      <c r="C221" s="8" t="s">
        <v>3</v>
      </c>
      <c r="D221" s="8" t="s">
        <v>3</v>
      </c>
      <c r="E221" s="8" t="s">
        <v>41</v>
      </c>
      <c r="F221" s="8" t="s">
        <v>3</v>
      </c>
      <c r="G221" s="8" t="s">
        <v>11</v>
      </c>
      <c r="H221" s="8" t="s">
        <v>104</v>
      </c>
      <c r="I221" s="8" t="s">
        <v>43</v>
      </c>
      <c r="J221" s="8" t="s">
        <v>41</v>
      </c>
      <c r="K221" s="8" t="s">
        <v>5696</v>
      </c>
      <c r="L221" s="8" t="s">
        <v>110</v>
      </c>
      <c r="M221" s="11" t="s">
        <v>2497</v>
      </c>
      <c r="N221" s="8">
        <v>44</v>
      </c>
      <c r="O221" s="8">
        <v>20</v>
      </c>
      <c r="P221" s="8">
        <v>24</v>
      </c>
      <c r="Q221" s="8">
        <v>6</v>
      </c>
      <c r="R221" s="8">
        <v>4</v>
      </c>
      <c r="S221" s="8">
        <v>7</v>
      </c>
      <c r="T221" s="8">
        <v>3</v>
      </c>
      <c r="U221" s="8">
        <v>6</v>
      </c>
      <c r="V221" s="8">
        <v>2</v>
      </c>
      <c r="W221" s="8">
        <v>10</v>
      </c>
      <c r="X221" s="8">
        <v>3</v>
      </c>
      <c r="Y221" s="8">
        <v>15</v>
      </c>
      <c r="Z221" s="8">
        <v>8</v>
      </c>
      <c r="AA221" s="8">
        <v>0</v>
      </c>
      <c r="AB221" s="8">
        <v>0</v>
      </c>
      <c r="AC221" s="19">
        <f t="shared" si="18"/>
        <v>2</v>
      </c>
      <c r="AD221" s="19">
        <f t="shared" si="19"/>
        <v>4</v>
      </c>
      <c r="AE221" s="19">
        <f t="shared" si="20"/>
        <v>4</v>
      </c>
      <c r="AF221" s="19">
        <f t="shared" si="21"/>
        <v>7</v>
      </c>
      <c r="AG221" s="19">
        <f t="shared" si="22"/>
        <v>7</v>
      </c>
      <c r="AH221" s="19">
        <f t="shared" si="23"/>
        <v>0</v>
      </c>
    </row>
    <row r="222" spans="1:34">
      <c r="A222" s="8" t="s">
        <v>1137</v>
      </c>
      <c r="B222" s="8" t="s">
        <v>1992</v>
      </c>
      <c r="C222" s="8" t="s">
        <v>7</v>
      </c>
      <c r="D222" s="8" t="s">
        <v>3</v>
      </c>
      <c r="E222" s="8" t="s">
        <v>56</v>
      </c>
      <c r="F222" s="8" t="s">
        <v>3</v>
      </c>
      <c r="G222" s="8" t="s">
        <v>3</v>
      </c>
      <c r="H222" s="8" t="s">
        <v>803</v>
      </c>
      <c r="I222" s="8" t="s">
        <v>43</v>
      </c>
      <c r="J222" s="8" t="s">
        <v>41</v>
      </c>
      <c r="K222" s="8" t="s">
        <v>5696</v>
      </c>
      <c r="L222" s="8" t="s">
        <v>110</v>
      </c>
      <c r="M222" s="11" t="s">
        <v>2500</v>
      </c>
      <c r="N222" s="8">
        <v>44</v>
      </c>
      <c r="O222" s="8">
        <v>29</v>
      </c>
      <c r="P222" s="8">
        <v>15</v>
      </c>
      <c r="Q222" s="8">
        <v>13</v>
      </c>
      <c r="R222" s="8">
        <v>9</v>
      </c>
      <c r="S222" s="8">
        <v>18</v>
      </c>
      <c r="T222" s="8">
        <v>14</v>
      </c>
      <c r="U222" s="8">
        <v>5</v>
      </c>
      <c r="V222" s="8">
        <v>2</v>
      </c>
      <c r="W222" s="8">
        <v>8</v>
      </c>
      <c r="X222" s="8">
        <v>4</v>
      </c>
      <c r="Y222" s="8">
        <v>0</v>
      </c>
      <c r="Z222" s="8">
        <v>0</v>
      </c>
      <c r="AA222" s="8">
        <v>0</v>
      </c>
      <c r="AB222" s="8">
        <v>0</v>
      </c>
      <c r="AC222" s="19">
        <f t="shared" si="18"/>
        <v>4</v>
      </c>
      <c r="AD222" s="19">
        <f t="shared" si="19"/>
        <v>4</v>
      </c>
      <c r="AE222" s="19">
        <f t="shared" si="20"/>
        <v>3</v>
      </c>
      <c r="AF222" s="19">
        <f t="shared" si="21"/>
        <v>4</v>
      </c>
      <c r="AG222" s="19">
        <f t="shared" si="22"/>
        <v>0</v>
      </c>
      <c r="AH222" s="19">
        <f t="shared" si="23"/>
        <v>0</v>
      </c>
    </row>
    <row r="223" spans="1:34">
      <c r="A223" s="8" t="s">
        <v>346</v>
      </c>
      <c r="B223" s="8" t="s">
        <v>1992</v>
      </c>
      <c r="C223" s="8" t="s">
        <v>304</v>
      </c>
      <c r="D223" s="8" t="s">
        <v>3</v>
      </c>
      <c r="E223" s="8" t="s">
        <v>68</v>
      </c>
      <c r="F223" s="8" t="s">
        <v>3</v>
      </c>
      <c r="G223" s="8" t="s">
        <v>3</v>
      </c>
      <c r="H223" s="8" t="s">
        <v>3484</v>
      </c>
      <c r="I223" s="8" t="s">
        <v>43</v>
      </c>
      <c r="J223" s="8" t="s">
        <v>41</v>
      </c>
      <c r="K223" s="8" t="s">
        <v>5696</v>
      </c>
      <c r="L223" s="8" t="s">
        <v>110</v>
      </c>
      <c r="M223" s="11" t="s">
        <v>3485</v>
      </c>
      <c r="N223" s="8">
        <v>29</v>
      </c>
      <c r="O223" s="8">
        <v>15</v>
      </c>
      <c r="P223" s="8">
        <v>14</v>
      </c>
      <c r="Q223" s="8">
        <v>4</v>
      </c>
      <c r="R223" s="8">
        <v>1</v>
      </c>
      <c r="S223" s="8">
        <v>12</v>
      </c>
      <c r="T223" s="8">
        <v>4</v>
      </c>
      <c r="U223" s="8">
        <v>7</v>
      </c>
      <c r="V223" s="8">
        <v>6</v>
      </c>
      <c r="W223" s="8">
        <v>5</v>
      </c>
      <c r="X223" s="8">
        <v>3</v>
      </c>
      <c r="Y223" s="8">
        <v>1</v>
      </c>
      <c r="Z223" s="8">
        <v>1</v>
      </c>
      <c r="AA223" s="8">
        <v>0</v>
      </c>
      <c r="AB223" s="8">
        <v>0</v>
      </c>
      <c r="AC223" s="19">
        <f t="shared" si="18"/>
        <v>3</v>
      </c>
      <c r="AD223" s="19">
        <f t="shared" si="19"/>
        <v>8</v>
      </c>
      <c r="AE223" s="19">
        <f t="shared" si="20"/>
        <v>1</v>
      </c>
      <c r="AF223" s="19">
        <f t="shared" si="21"/>
        <v>2</v>
      </c>
      <c r="AG223" s="19">
        <f t="shared" si="22"/>
        <v>0</v>
      </c>
      <c r="AH223" s="19">
        <f t="shared" si="23"/>
        <v>0</v>
      </c>
    </row>
    <row r="224" spans="1:34">
      <c r="A224" s="8" t="s">
        <v>348</v>
      </c>
      <c r="B224" s="8" t="s">
        <v>2502</v>
      </c>
      <c r="C224" s="8" t="s">
        <v>752</v>
      </c>
      <c r="D224" s="8" t="s">
        <v>8</v>
      </c>
      <c r="E224" s="8" t="s">
        <v>41</v>
      </c>
      <c r="F224" s="8" t="s">
        <v>17</v>
      </c>
      <c r="G224" s="8" t="s">
        <v>7</v>
      </c>
      <c r="H224" s="8" t="s">
        <v>261</v>
      </c>
      <c r="I224" s="8" t="s">
        <v>41</v>
      </c>
      <c r="J224" s="8" t="s">
        <v>43</v>
      </c>
      <c r="K224" s="8" t="s">
        <v>41</v>
      </c>
      <c r="L224" s="8" t="s">
        <v>110</v>
      </c>
      <c r="M224" s="11" t="s">
        <v>2503</v>
      </c>
      <c r="N224" s="8">
        <v>31</v>
      </c>
      <c r="O224" s="8">
        <v>16</v>
      </c>
      <c r="P224" s="8">
        <v>15</v>
      </c>
      <c r="Q224" s="8">
        <v>4</v>
      </c>
      <c r="R224" s="8">
        <v>2</v>
      </c>
      <c r="S224" s="8">
        <v>6</v>
      </c>
      <c r="T224" s="8">
        <v>4</v>
      </c>
      <c r="U224" s="8">
        <v>6</v>
      </c>
      <c r="V224" s="8">
        <v>4</v>
      </c>
      <c r="W224" s="8">
        <v>7</v>
      </c>
      <c r="X224" s="8">
        <v>2</v>
      </c>
      <c r="Y224" s="8">
        <v>8</v>
      </c>
      <c r="Z224" s="8">
        <v>4</v>
      </c>
      <c r="AA224" s="8">
        <v>0</v>
      </c>
      <c r="AB224" s="8">
        <v>0</v>
      </c>
      <c r="AC224" s="19">
        <f t="shared" si="18"/>
        <v>2</v>
      </c>
      <c r="AD224" s="19">
        <f t="shared" si="19"/>
        <v>2</v>
      </c>
      <c r="AE224" s="19">
        <f t="shared" si="20"/>
        <v>2</v>
      </c>
      <c r="AF224" s="19">
        <f t="shared" si="21"/>
        <v>5</v>
      </c>
      <c r="AG224" s="19">
        <f t="shared" si="22"/>
        <v>4</v>
      </c>
      <c r="AH224" s="19">
        <f t="shared" si="23"/>
        <v>0</v>
      </c>
    </row>
    <row r="225" spans="1:34">
      <c r="A225" s="8" t="s">
        <v>349</v>
      </c>
      <c r="B225" s="8" t="s">
        <v>2504</v>
      </c>
      <c r="C225" s="8" t="s">
        <v>16</v>
      </c>
      <c r="D225" s="8" t="s">
        <v>5</v>
      </c>
      <c r="E225" s="8" t="s">
        <v>126</v>
      </c>
      <c r="F225" s="8" t="s">
        <v>11</v>
      </c>
      <c r="G225" s="8" t="s">
        <v>9</v>
      </c>
      <c r="H225" s="8" t="s">
        <v>1196</v>
      </c>
      <c r="I225" s="8" t="s">
        <v>41</v>
      </c>
      <c r="J225" s="8" t="s">
        <v>43</v>
      </c>
      <c r="K225" s="8" t="s">
        <v>41</v>
      </c>
      <c r="L225" s="8" t="s">
        <v>110</v>
      </c>
      <c r="M225" s="11" t="s">
        <v>2505</v>
      </c>
      <c r="N225" s="8">
        <v>61</v>
      </c>
      <c r="O225" s="8">
        <v>33</v>
      </c>
      <c r="P225" s="8">
        <v>28</v>
      </c>
      <c r="Q225" s="8">
        <v>4</v>
      </c>
      <c r="R225" s="8">
        <v>2</v>
      </c>
      <c r="S225" s="8">
        <v>10</v>
      </c>
      <c r="T225" s="8">
        <v>4</v>
      </c>
      <c r="U225" s="8">
        <v>14</v>
      </c>
      <c r="V225" s="8">
        <v>8</v>
      </c>
      <c r="W225" s="8">
        <v>12</v>
      </c>
      <c r="X225" s="8">
        <v>6</v>
      </c>
      <c r="Y225" s="8">
        <v>21</v>
      </c>
      <c r="Z225" s="8">
        <v>13</v>
      </c>
      <c r="AA225" s="8">
        <v>0</v>
      </c>
      <c r="AB225" s="8">
        <v>0</v>
      </c>
      <c r="AC225" s="19">
        <f t="shared" si="18"/>
        <v>2</v>
      </c>
      <c r="AD225" s="19">
        <f t="shared" si="19"/>
        <v>6</v>
      </c>
      <c r="AE225" s="19">
        <f t="shared" si="20"/>
        <v>6</v>
      </c>
      <c r="AF225" s="19">
        <f t="shared" si="21"/>
        <v>6</v>
      </c>
      <c r="AG225" s="19">
        <f t="shared" si="22"/>
        <v>8</v>
      </c>
      <c r="AH225" s="19">
        <f t="shared" si="23"/>
        <v>0</v>
      </c>
    </row>
    <row r="226" spans="1:34">
      <c r="A226" s="8" t="s">
        <v>352</v>
      </c>
      <c r="B226" s="8" t="s">
        <v>1992</v>
      </c>
      <c r="C226" s="8" t="s">
        <v>8</v>
      </c>
      <c r="D226" s="8" t="s">
        <v>4</v>
      </c>
      <c r="E226" s="8" t="s">
        <v>56</v>
      </c>
      <c r="F226" s="8" t="s">
        <v>7</v>
      </c>
      <c r="G226" s="8" t="s">
        <v>3</v>
      </c>
      <c r="H226" s="8" t="s">
        <v>1779</v>
      </c>
      <c r="I226" s="8" t="s">
        <v>43</v>
      </c>
      <c r="J226" s="8" t="s">
        <v>41</v>
      </c>
      <c r="K226" s="8" t="s">
        <v>5696</v>
      </c>
      <c r="L226" s="8" t="s">
        <v>110</v>
      </c>
      <c r="M226" s="11" t="s">
        <v>1177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19">
        <f t="shared" si="18"/>
        <v>0</v>
      </c>
      <c r="AD226" s="19">
        <f t="shared" si="19"/>
        <v>0</v>
      </c>
      <c r="AE226" s="19">
        <f t="shared" si="20"/>
        <v>0</v>
      </c>
      <c r="AF226" s="19">
        <f t="shared" si="21"/>
        <v>0</v>
      </c>
      <c r="AG226" s="19">
        <f t="shared" si="22"/>
        <v>0</v>
      </c>
      <c r="AH226" s="19">
        <f t="shared" si="23"/>
        <v>0</v>
      </c>
    </row>
    <row r="227" spans="1:34">
      <c r="A227" s="8" t="s">
        <v>354</v>
      </c>
      <c r="B227" s="8" t="s">
        <v>2507</v>
      </c>
      <c r="C227" s="8" t="s">
        <v>8</v>
      </c>
      <c r="D227" s="8" t="s">
        <v>11</v>
      </c>
      <c r="E227" s="8" t="s">
        <v>56</v>
      </c>
      <c r="F227" s="8" t="s">
        <v>7</v>
      </c>
      <c r="G227" s="8" t="s">
        <v>7</v>
      </c>
      <c r="H227" s="8" t="s">
        <v>214</v>
      </c>
      <c r="I227" s="8" t="s">
        <v>41</v>
      </c>
      <c r="J227" s="8" t="s">
        <v>43</v>
      </c>
      <c r="K227" s="8" t="s">
        <v>41</v>
      </c>
      <c r="L227" s="8" t="s">
        <v>110</v>
      </c>
      <c r="M227" s="11" t="s">
        <v>2508</v>
      </c>
      <c r="N227" s="8">
        <v>141</v>
      </c>
      <c r="O227" s="8">
        <v>69</v>
      </c>
      <c r="P227" s="8">
        <v>72</v>
      </c>
      <c r="Q227" s="8">
        <v>9</v>
      </c>
      <c r="R227" s="8">
        <v>5</v>
      </c>
      <c r="S227" s="8">
        <v>36</v>
      </c>
      <c r="T227" s="8">
        <v>15</v>
      </c>
      <c r="U227" s="8">
        <v>37</v>
      </c>
      <c r="V227" s="8">
        <v>19</v>
      </c>
      <c r="W227" s="8">
        <v>32</v>
      </c>
      <c r="X227" s="8">
        <v>16</v>
      </c>
      <c r="Y227" s="8">
        <v>27</v>
      </c>
      <c r="Z227" s="8">
        <v>14</v>
      </c>
      <c r="AA227" s="8">
        <v>0</v>
      </c>
      <c r="AB227" s="8">
        <v>0</v>
      </c>
      <c r="AC227" s="19">
        <f t="shared" si="18"/>
        <v>4</v>
      </c>
      <c r="AD227" s="19">
        <f t="shared" si="19"/>
        <v>21</v>
      </c>
      <c r="AE227" s="19">
        <f t="shared" si="20"/>
        <v>18</v>
      </c>
      <c r="AF227" s="19">
        <f t="shared" si="21"/>
        <v>16</v>
      </c>
      <c r="AG227" s="19">
        <f t="shared" si="22"/>
        <v>13</v>
      </c>
      <c r="AH227" s="19">
        <f t="shared" si="23"/>
        <v>0</v>
      </c>
    </row>
    <row r="228" spans="1:34">
      <c r="A228" s="8" t="s">
        <v>356</v>
      </c>
      <c r="B228" s="8" t="s">
        <v>1992</v>
      </c>
      <c r="C228" s="8" t="s">
        <v>754</v>
      </c>
      <c r="D228" s="8" t="s">
        <v>3</v>
      </c>
      <c r="E228" s="8" t="s">
        <v>68</v>
      </c>
      <c r="F228" s="8" t="s">
        <v>4</v>
      </c>
      <c r="G228" s="8" t="s">
        <v>3</v>
      </c>
      <c r="H228" s="8" t="s">
        <v>1811</v>
      </c>
      <c r="I228" s="8" t="s">
        <v>43</v>
      </c>
      <c r="J228" s="8" t="s">
        <v>41</v>
      </c>
      <c r="K228" s="8" t="s">
        <v>5696</v>
      </c>
      <c r="L228" s="8" t="s">
        <v>110</v>
      </c>
      <c r="M228" s="11" t="s">
        <v>1810</v>
      </c>
      <c r="N228" s="8">
        <v>6</v>
      </c>
      <c r="O228" s="8">
        <v>2</v>
      </c>
      <c r="P228" s="8">
        <v>4</v>
      </c>
      <c r="Q228" s="8">
        <v>1</v>
      </c>
      <c r="R228" s="8">
        <v>0</v>
      </c>
      <c r="S228" s="8">
        <v>1</v>
      </c>
      <c r="T228" s="8">
        <v>0</v>
      </c>
      <c r="U228" s="8">
        <v>3</v>
      </c>
      <c r="V228" s="8">
        <v>1</v>
      </c>
      <c r="W228" s="8">
        <v>1</v>
      </c>
      <c r="X228" s="8">
        <v>1</v>
      </c>
      <c r="Y228" s="8">
        <v>0</v>
      </c>
      <c r="Z228" s="8">
        <v>0</v>
      </c>
      <c r="AA228" s="8">
        <v>0</v>
      </c>
      <c r="AB228" s="8">
        <v>0</v>
      </c>
      <c r="AC228" s="19">
        <f t="shared" si="18"/>
        <v>1</v>
      </c>
      <c r="AD228" s="19">
        <f t="shared" si="19"/>
        <v>1</v>
      </c>
      <c r="AE228" s="19">
        <f t="shared" si="20"/>
        <v>2</v>
      </c>
      <c r="AF228" s="19">
        <f t="shared" si="21"/>
        <v>0</v>
      </c>
      <c r="AG228" s="19">
        <f t="shared" si="22"/>
        <v>0</v>
      </c>
      <c r="AH228" s="19">
        <f t="shared" si="23"/>
        <v>0</v>
      </c>
    </row>
    <row r="229" spans="1:34">
      <c r="A229" s="8" t="s">
        <v>142</v>
      </c>
      <c r="B229" s="8" t="s">
        <v>2512</v>
      </c>
      <c r="C229" s="8" t="s">
        <v>754</v>
      </c>
      <c r="D229" s="8" t="s">
        <v>4</v>
      </c>
      <c r="E229" s="8" t="s">
        <v>68</v>
      </c>
      <c r="F229" s="8" t="s">
        <v>4</v>
      </c>
      <c r="G229" s="8" t="s">
        <v>5</v>
      </c>
      <c r="H229" s="8" t="s">
        <v>855</v>
      </c>
      <c r="I229" s="8" t="s">
        <v>41</v>
      </c>
      <c r="J229" s="8" t="s">
        <v>43</v>
      </c>
      <c r="K229" s="8" t="s">
        <v>41</v>
      </c>
      <c r="L229" s="8" t="s">
        <v>110</v>
      </c>
      <c r="M229" s="11" t="s">
        <v>2513</v>
      </c>
      <c r="N229" s="8">
        <v>217</v>
      </c>
      <c r="O229" s="8">
        <v>128</v>
      </c>
      <c r="P229" s="8">
        <v>89</v>
      </c>
      <c r="Q229" s="8">
        <v>46</v>
      </c>
      <c r="R229" s="8">
        <v>25</v>
      </c>
      <c r="S229" s="8">
        <v>49</v>
      </c>
      <c r="T229" s="8">
        <v>31</v>
      </c>
      <c r="U229" s="8">
        <v>14</v>
      </c>
      <c r="V229" s="8">
        <v>6</v>
      </c>
      <c r="W229" s="8">
        <v>48</v>
      </c>
      <c r="X229" s="8">
        <v>33</v>
      </c>
      <c r="Y229" s="8">
        <v>60</v>
      </c>
      <c r="Z229" s="8">
        <v>33</v>
      </c>
      <c r="AA229" s="8">
        <v>0</v>
      </c>
      <c r="AB229" s="8">
        <v>0</v>
      </c>
      <c r="AC229" s="19">
        <f t="shared" si="18"/>
        <v>21</v>
      </c>
      <c r="AD229" s="19">
        <f t="shared" si="19"/>
        <v>18</v>
      </c>
      <c r="AE229" s="19">
        <f t="shared" si="20"/>
        <v>8</v>
      </c>
      <c r="AF229" s="19">
        <f t="shared" si="21"/>
        <v>15</v>
      </c>
      <c r="AG229" s="19">
        <f t="shared" si="22"/>
        <v>27</v>
      </c>
      <c r="AH229" s="19">
        <f t="shared" si="23"/>
        <v>0</v>
      </c>
    </row>
    <row r="230" spans="1:34">
      <c r="A230" s="8" t="s">
        <v>235</v>
      </c>
      <c r="B230" s="8" t="s">
        <v>2516</v>
      </c>
      <c r="C230" s="8" t="s">
        <v>754</v>
      </c>
      <c r="D230" s="8" t="s">
        <v>11</v>
      </c>
      <c r="E230" s="8" t="s">
        <v>68</v>
      </c>
      <c r="F230" s="8" t="s">
        <v>4</v>
      </c>
      <c r="G230" s="8" t="s">
        <v>5</v>
      </c>
      <c r="H230" s="8" t="s">
        <v>2517</v>
      </c>
      <c r="I230" s="8" t="s">
        <v>41</v>
      </c>
      <c r="J230" s="8" t="s">
        <v>43</v>
      </c>
      <c r="K230" s="8" t="s">
        <v>41</v>
      </c>
      <c r="L230" s="8" t="s">
        <v>110</v>
      </c>
      <c r="M230" s="11" t="s">
        <v>5582</v>
      </c>
      <c r="N230" s="8">
        <v>140</v>
      </c>
      <c r="O230" s="8">
        <v>89</v>
      </c>
      <c r="P230" s="8">
        <v>51</v>
      </c>
      <c r="Q230" s="8">
        <v>26</v>
      </c>
      <c r="R230" s="8">
        <v>16</v>
      </c>
      <c r="S230" s="8">
        <v>29</v>
      </c>
      <c r="T230" s="8">
        <v>17</v>
      </c>
      <c r="U230" s="8">
        <v>27</v>
      </c>
      <c r="V230" s="8">
        <v>19</v>
      </c>
      <c r="W230" s="8">
        <v>28</v>
      </c>
      <c r="X230" s="8">
        <v>19</v>
      </c>
      <c r="Y230" s="8">
        <v>30</v>
      </c>
      <c r="Z230" s="8">
        <v>18</v>
      </c>
      <c r="AA230" s="8">
        <v>0</v>
      </c>
      <c r="AB230" s="8">
        <v>0</v>
      </c>
      <c r="AC230" s="19">
        <f t="shared" si="18"/>
        <v>10</v>
      </c>
      <c r="AD230" s="19">
        <f t="shared" si="19"/>
        <v>12</v>
      </c>
      <c r="AE230" s="19">
        <f t="shared" si="20"/>
        <v>8</v>
      </c>
      <c r="AF230" s="19">
        <f t="shared" si="21"/>
        <v>9</v>
      </c>
      <c r="AG230" s="19">
        <f t="shared" si="22"/>
        <v>12</v>
      </c>
      <c r="AH230" s="19">
        <f t="shared" si="23"/>
        <v>0</v>
      </c>
    </row>
    <row r="231" spans="1:34">
      <c r="A231" s="8" t="s">
        <v>360</v>
      </c>
      <c r="B231" s="8" t="s">
        <v>2519</v>
      </c>
      <c r="C231" s="8" t="s">
        <v>11</v>
      </c>
      <c r="D231" s="8" t="s">
        <v>7</v>
      </c>
      <c r="E231" s="8" t="s">
        <v>126</v>
      </c>
      <c r="F231" s="8" t="s">
        <v>13</v>
      </c>
      <c r="G231" s="8" t="s">
        <v>4</v>
      </c>
      <c r="H231" s="8" t="s">
        <v>2521</v>
      </c>
      <c r="I231" s="8" t="s">
        <v>41</v>
      </c>
      <c r="J231" s="8" t="s">
        <v>43</v>
      </c>
      <c r="K231" s="8" t="s">
        <v>41</v>
      </c>
      <c r="L231" s="8" t="s">
        <v>110</v>
      </c>
      <c r="M231" s="11" t="s">
        <v>2520</v>
      </c>
      <c r="N231" s="8">
        <v>127</v>
      </c>
      <c r="O231" s="8">
        <v>80</v>
      </c>
      <c r="P231" s="8">
        <v>47</v>
      </c>
      <c r="Q231" s="8">
        <v>11</v>
      </c>
      <c r="R231" s="8">
        <v>7</v>
      </c>
      <c r="S231" s="8">
        <v>27</v>
      </c>
      <c r="T231" s="8">
        <v>18</v>
      </c>
      <c r="U231" s="8">
        <v>27</v>
      </c>
      <c r="V231" s="8">
        <v>16</v>
      </c>
      <c r="W231" s="8">
        <v>36</v>
      </c>
      <c r="X231" s="8">
        <v>21</v>
      </c>
      <c r="Y231" s="8">
        <v>26</v>
      </c>
      <c r="Z231" s="8">
        <v>18</v>
      </c>
      <c r="AA231" s="8">
        <v>0</v>
      </c>
      <c r="AB231" s="8">
        <v>0</v>
      </c>
      <c r="AC231" s="19">
        <f t="shared" si="18"/>
        <v>4</v>
      </c>
      <c r="AD231" s="19">
        <f t="shared" si="19"/>
        <v>9</v>
      </c>
      <c r="AE231" s="19">
        <f t="shared" si="20"/>
        <v>11</v>
      </c>
      <c r="AF231" s="19">
        <f t="shared" si="21"/>
        <v>15</v>
      </c>
      <c r="AG231" s="19">
        <f t="shared" si="22"/>
        <v>8</v>
      </c>
      <c r="AH231" s="19">
        <f t="shared" si="23"/>
        <v>0</v>
      </c>
    </row>
    <row r="232" spans="1:34">
      <c r="A232" s="8" t="s">
        <v>362</v>
      </c>
      <c r="B232" s="8" t="s">
        <v>2524</v>
      </c>
      <c r="C232" s="8" t="s">
        <v>70</v>
      </c>
      <c r="D232" s="8" t="s">
        <v>4</v>
      </c>
      <c r="E232" s="8" t="s">
        <v>43</v>
      </c>
      <c r="F232" s="8" t="s">
        <v>13</v>
      </c>
      <c r="G232" s="8" t="s">
        <v>4</v>
      </c>
      <c r="H232" s="8" t="s">
        <v>135</v>
      </c>
      <c r="I232" s="8" t="s">
        <v>41</v>
      </c>
      <c r="J232" s="8" t="s">
        <v>41</v>
      </c>
      <c r="K232" s="8" t="s">
        <v>41</v>
      </c>
      <c r="L232" s="8" t="s">
        <v>110</v>
      </c>
      <c r="M232" s="11" t="s">
        <v>2525</v>
      </c>
      <c r="N232" s="8">
        <v>307</v>
      </c>
      <c r="O232" s="8">
        <v>164</v>
      </c>
      <c r="P232" s="8">
        <v>143</v>
      </c>
      <c r="Q232" s="8">
        <v>76</v>
      </c>
      <c r="R232" s="8">
        <v>48</v>
      </c>
      <c r="S232" s="8">
        <v>53</v>
      </c>
      <c r="T232" s="8">
        <v>26</v>
      </c>
      <c r="U232" s="8">
        <v>61</v>
      </c>
      <c r="V232" s="8">
        <v>27</v>
      </c>
      <c r="W232" s="8">
        <v>72</v>
      </c>
      <c r="X232" s="8">
        <v>33</v>
      </c>
      <c r="Y232" s="8">
        <v>45</v>
      </c>
      <c r="Z232" s="8">
        <v>30</v>
      </c>
      <c r="AA232" s="8">
        <v>0</v>
      </c>
      <c r="AB232" s="8">
        <v>0</v>
      </c>
      <c r="AC232" s="19">
        <f t="shared" si="18"/>
        <v>28</v>
      </c>
      <c r="AD232" s="19">
        <f t="shared" si="19"/>
        <v>27</v>
      </c>
      <c r="AE232" s="19">
        <f t="shared" si="20"/>
        <v>34</v>
      </c>
      <c r="AF232" s="19">
        <f t="shared" si="21"/>
        <v>39</v>
      </c>
      <c r="AG232" s="19">
        <f t="shared" si="22"/>
        <v>15</v>
      </c>
      <c r="AH232" s="19">
        <f t="shared" si="23"/>
        <v>0</v>
      </c>
    </row>
    <row r="233" spans="1:34">
      <c r="A233" s="8" t="s">
        <v>363</v>
      </c>
      <c r="B233" s="8" t="s">
        <v>2526</v>
      </c>
      <c r="C233" s="8" t="s">
        <v>70</v>
      </c>
      <c r="D233" s="8" t="s">
        <v>118</v>
      </c>
      <c r="E233" s="8" t="s">
        <v>43</v>
      </c>
      <c r="F233" s="8" t="s">
        <v>13</v>
      </c>
      <c r="G233" s="8" t="s">
        <v>3</v>
      </c>
      <c r="H233" s="8" t="s">
        <v>711</v>
      </c>
      <c r="I233" s="8" t="s">
        <v>41</v>
      </c>
      <c r="J233" s="8" t="s">
        <v>41</v>
      </c>
      <c r="K233" s="8" t="s">
        <v>41</v>
      </c>
      <c r="L233" s="8" t="s">
        <v>110</v>
      </c>
      <c r="M233" s="11" t="s">
        <v>2527</v>
      </c>
      <c r="N233" s="8">
        <v>48</v>
      </c>
      <c r="O233" s="8">
        <v>32</v>
      </c>
      <c r="P233" s="8">
        <v>16</v>
      </c>
      <c r="Q233" s="8">
        <v>6</v>
      </c>
      <c r="R233" s="8">
        <v>2</v>
      </c>
      <c r="S233" s="8">
        <v>7</v>
      </c>
      <c r="T233" s="8">
        <v>4</v>
      </c>
      <c r="U233" s="8">
        <v>9</v>
      </c>
      <c r="V233" s="8">
        <v>6</v>
      </c>
      <c r="W233" s="8">
        <v>14</v>
      </c>
      <c r="X233" s="8">
        <v>11</v>
      </c>
      <c r="Y233" s="8">
        <v>12</v>
      </c>
      <c r="Z233" s="8">
        <v>9</v>
      </c>
      <c r="AA233" s="8">
        <v>0</v>
      </c>
      <c r="AB233" s="8">
        <v>0</v>
      </c>
      <c r="AC233" s="19">
        <f t="shared" si="18"/>
        <v>4</v>
      </c>
      <c r="AD233" s="19">
        <f t="shared" si="19"/>
        <v>3</v>
      </c>
      <c r="AE233" s="19">
        <f t="shared" si="20"/>
        <v>3</v>
      </c>
      <c r="AF233" s="19">
        <f t="shared" si="21"/>
        <v>3</v>
      </c>
      <c r="AG233" s="19">
        <f t="shared" si="22"/>
        <v>3</v>
      </c>
      <c r="AH233" s="19">
        <f t="shared" si="23"/>
        <v>0</v>
      </c>
    </row>
    <row r="234" spans="1:34">
      <c r="A234" s="8" t="s">
        <v>364</v>
      </c>
      <c r="B234" s="8" t="s">
        <v>1992</v>
      </c>
      <c r="C234" s="8" t="s">
        <v>5</v>
      </c>
      <c r="D234" s="8" t="s">
        <v>5</v>
      </c>
      <c r="E234" s="8" t="s">
        <v>43</v>
      </c>
      <c r="F234" s="8" t="s">
        <v>3</v>
      </c>
      <c r="G234" s="8" t="s">
        <v>4</v>
      </c>
      <c r="H234" s="8" t="s">
        <v>3486</v>
      </c>
      <c r="I234" s="8" t="s">
        <v>43</v>
      </c>
      <c r="J234" s="8" t="s">
        <v>41</v>
      </c>
      <c r="K234" s="8" t="s">
        <v>5696</v>
      </c>
      <c r="L234" s="8" t="s">
        <v>110</v>
      </c>
      <c r="M234" s="11" t="s">
        <v>484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19">
        <f t="shared" si="18"/>
        <v>0</v>
      </c>
      <c r="AD234" s="19">
        <f t="shared" si="19"/>
        <v>0</v>
      </c>
      <c r="AE234" s="19">
        <f t="shared" si="20"/>
        <v>0</v>
      </c>
      <c r="AF234" s="19">
        <f t="shared" si="21"/>
        <v>0</v>
      </c>
      <c r="AG234" s="19">
        <f t="shared" si="22"/>
        <v>0</v>
      </c>
      <c r="AH234" s="19">
        <f t="shared" si="23"/>
        <v>0</v>
      </c>
    </row>
    <row r="235" spans="1:34">
      <c r="A235" s="8" t="s">
        <v>366</v>
      </c>
      <c r="B235" s="8" t="s">
        <v>1992</v>
      </c>
      <c r="C235" s="8" t="s">
        <v>5</v>
      </c>
      <c r="D235" s="8" t="s">
        <v>3</v>
      </c>
      <c r="E235" s="8" t="s">
        <v>43</v>
      </c>
      <c r="F235" s="8" t="s">
        <v>3</v>
      </c>
      <c r="G235" s="8" t="s">
        <v>3</v>
      </c>
      <c r="H235" s="8" t="s">
        <v>1726</v>
      </c>
      <c r="I235" s="8" t="s">
        <v>43</v>
      </c>
      <c r="J235" s="8" t="s">
        <v>41</v>
      </c>
      <c r="K235" s="8" t="s">
        <v>5696</v>
      </c>
      <c r="L235" s="8" t="s">
        <v>110</v>
      </c>
      <c r="M235" s="11" t="s">
        <v>2530</v>
      </c>
      <c r="N235" s="8">
        <v>8</v>
      </c>
      <c r="O235" s="8">
        <v>7</v>
      </c>
      <c r="P235" s="8">
        <v>1</v>
      </c>
      <c r="Q235" s="8">
        <v>2</v>
      </c>
      <c r="R235" s="8">
        <v>2</v>
      </c>
      <c r="S235" s="8">
        <v>1</v>
      </c>
      <c r="T235" s="8">
        <v>1</v>
      </c>
      <c r="U235" s="8">
        <v>1</v>
      </c>
      <c r="V235" s="8">
        <v>1</v>
      </c>
      <c r="W235" s="8">
        <v>1</v>
      </c>
      <c r="X235" s="8">
        <v>1</v>
      </c>
      <c r="Y235" s="8">
        <v>3</v>
      </c>
      <c r="Z235" s="8">
        <v>2</v>
      </c>
      <c r="AA235" s="8">
        <v>0</v>
      </c>
      <c r="AB235" s="8">
        <v>0</v>
      </c>
      <c r="AC235" s="19">
        <f t="shared" si="18"/>
        <v>0</v>
      </c>
      <c r="AD235" s="19">
        <f t="shared" si="19"/>
        <v>0</v>
      </c>
      <c r="AE235" s="19">
        <f t="shared" si="20"/>
        <v>0</v>
      </c>
      <c r="AF235" s="19">
        <f t="shared" si="21"/>
        <v>0</v>
      </c>
      <c r="AG235" s="19">
        <f t="shared" si="22"/>
        <v>1</v>
      </c>
      <c r="AH235" s="19">
        <f t="shared" si="23"/>
        <v>0</v>
      </c>
    </row>
    <row r="236" spans="1:34">
      <c r="A236" s="8" t="s">
        <v>368</v>
      </c>
      <c r="B236" s="8" t="s">
        <v>2532</v>
      </c>
      <c r="C236" s="8" t="s">
        <v>5</v>
      </c>
      <c r="D236" s="8" t="s">
        <v>9</v>
      </c>
      <c r="E236" s="8" t="s">
        <v>43</v>
      </c>
      <c r="F236" s="8" t="s">
        <v>11</v>
      </c>
      <c r="G236" s="8" t="s">
        <v>6</v>
      </c>
      <c r="H236" s="8" t="s">
        <v>620</v>
      </c>
      <c r="I236" s="8" t="s">
        <v>41</v>
      </c>
      <c r="J236" s="8" t="s">
        <v>41</v>
      </c>
      <c r="K236" s="8" t="s">
        <v>41</v>
      </c>
      <c r="L236" s="8" t="s">
        <v>110</v>
      </c>
      <c r="M236" s="11" t="s">
        <v>2533</v>
      </c>
      <c r="N236" s="8">
        <v>240</v>
      </c>
      <c r="O236" s="8">
        <v>130</v>
      </c>
      <c r="P236" s="8">
        <v>110</v>
      </c>
      <c r="Q236" s="8">
        <v>50</v>
      </c>
      <c r="R236" s="8">
        <v>28</v>
      </c>
      <c r="S236" s="8">
        <v>86</v>
      </c>
      <c r="T236" s="8">
        <v>48</v>
      </c>
      <c r="U236" s="8">
        <v>47</v>
      </c>
      <c r="V236" s="8">
        <v>24</v>
      </c>
      <c r="W236" s="8">
        <v>41</v>
      </c>
      <c r="X236" s="8">
        <v>18</v>
      </c>
      <c r="Y236" s="8">
        <v>16</v>
      </c>
      <c r="Z236" s="8">
        <v>12</v>
      </c>
      <c r="AA236" s="8">
        <v>0</v>
      </c>
      <c r="AB236" s="8">
        <v>0</v>
      </c>
      <c r="AC236" s="19">
        <f t="shared" si="18"/>
        <v>22</v>
      </c>
      <c r="AD236" s="19">
        <f t="shared" si="19"/>
        <v>38</v>
      </c>
      <c r="AE236" s="19">
        <f t="shared" si="20"/>
        <v>23</v>
      </c>
      <c r="AF236" s="19">
        <f t="shared" si="21"/>
        <v>23</v>
      </c>
      <c r="AG236" s="19">
        <f t="shared" si="22"/>
        <v>4</v>
      </c>
      <c r="AH236" s="19">
        <f t="shared" si="23"/>
        <v>0</v>
      </c>
    </row>
    <row r="237" spans="1:34">
      <c r="A237" s="8" t="s">
        <v>221</v>
      </c>
      <c r="B237" s="8" t="s">
        <v>2534</v>
      </c>
      <c r="C237" s="8" t="s">
        <v>4</v>
      </c>
      <c r="D237" s="8" t="s">
        <v>7</v>
      </c>
      <c r="E237" s="8" t="s">
        <v>41</v>
      </c>
      <c r="F237" s="8" t="s">
        <v>9</v>
      </c>
      <c r="G237" s="8" t="s">
        <v>5</v>
      </c>
      <c r="H237" s="8" t="s">
        <v>339</v>
      </c>
      <c r="I237" s="8" t="s">
        <v>41</v>
      </c>
      <c r="J237" s="8" t="s">
        <v>43</v>
      </c>
      <c r="K237" s="8" t="s">
        <v>41</v>
      </c>
      <c r="L237" s="8" t="s">
        <v>110</v>
      </c>
      <c r="M237" s="11" t="s">
        <v>2535</v>
      </c>
      <c r="N237" s="8">
        <v>59</v>
      </c>
      <c r="O237" s="8">
        <v>41</v>
      </c>
      <c r="P237" s="8">
        <v>18</v>
      </c>
      <c r="Q237" s="8">
        <v>12</v>
      </c>
      <c r="R237" s="8">
        <v>7</v>
      </c>
      <c r="S237" s="8">
        <v>7</v>
      </c>
      <c r="T237" s="8">
        <v>4</v>
      </c>
      <c r="U237" s="8">
        <v>10</v>
      </c>
      <c r="V237" s="8">
        <v>10</v>
      </c>
      <c r="W237" s="8">
        <v>10</v>
      </c>
      <c r="X237" s="8">
        <v>6</v>
      </c>
      <c r="Y237" s="8">
        <v>20</v>
      </c>
      <c r="Z237" s="8">
        <v>14</v>
      </c>
      <c r="AA237" s="8">
        <v>0</v>
      </c>
      <c r="AB237" s="8">
        <v>0</v>
      </c>
      <c r="AC237" s="19">
        <f t="shared" si="18"/>
        <v>5</v>
      </c>
      <c r="AD237" s="19">
        <f t="shared" si="19"/>
        <v>3</v>
      </c>
      <c r="AE237" s="19">
        <f t="shared" si="20"/>
        <v>0</v>
      </c>
      <c r="AF237" s="19">
        <f t="shared" si="21"/>
        <v>4</v>
      </c>
      <c r="AG237" s="19">
        <f t="shared" si="22"/>
        <v>6</v>
      </c>
      <c r="AH237" s="19">
        <f t="shared" si="23"/>
        <v>0</v>
      </c>
    </row>
    <row r="238" spans="1:34">
      <c r="A238" s="8" t="s">
        <v>91</v>
      </c>
      <c r="B238" s="8" t="s">
        <v>2536</v>
      </c>
      <c r="C238" s="8" t="s">
        <v>12</v>
      </c>
      <c r="D238" s="8" t="s">
        <v>8</v>
      </c>
      <c r="E238" s="8" t="s">
        <v>126</v>
      </c>
      <c r="F238" s="8" t="s">
        <v>4</v>
      </c>
      <c r="G238" s="8" t="s">
        <v>8</v>
      </c>
      <c r="H238" s="8" t="s">
        <v>214</v>
      </c>
      <c r="I238" s="8" t="s">
        <v>41</v>
      </c>
      <c r="J238" s="8" t="s">
        <v>43</v>
      </c>
      <c r="K238" s="8" t="s">
        <v>41</v>
      </c>
      <c r="L238" s="8" t="s">
        <v>110</v>
      </c>
      <c r="M238" s="11" t="s">
        <v>2537</v>
      </c>
      <c r="N238" s="8">
        <v>190</v>
      </c>
      <c r="O238" s="8">
        <v>96</v>
      </c>
      <c r="P238" s="8">
        <v>94</v>
      </c>
      <c r="Q238" s="8">
        <v>35</v>
      </c>
      <c r="R238" s="8">
        <v>14</v>
      </c>
      <c r="S238" s="8">
        <v>40</v>
      </c>
      <c r="T238" s="8">
        <v>21</v>
      </c>
      <c r="U238" s="8">
        <v>39</v>
      </c>
      <c r="V238" s="8">
        <v>16</v>
      </c>
      <c r="W238" s="8">
        <v>51</v>
      </c>
      <c r="X238" s="8">
        <v>29</v>
      </c>
      <c r="Y238" s="8">
        <v>25</v>
      </c>
      <c r="Z238" s="8">
        <v>16</v>
      </c>
      <c r="AA238" s="8">
        <v>0</v>
      </c>
      <c r="AB238" s="8">
        <v>0</v>
      </c>
      <c r="AC238" s="19">
        <f t="shared" si="18"/>
        <v>21</v>
      </c>
      <c r="AD238" s="19">
        <f t="shared" si="19"/>
        <v>19</v>
      </c>
      <c r="AE238" s="19">
        <f t="shared" si="20"/>
        <v>23</v>
      </c>
      <c r="AF238" s="19">
        <f t="shared" si="21"/>
        <v>22</v>
      </c>
      <c r="AG238" s="19">
        <f t="shared" si="22"/>
        <v>9</v>
      </c>
      <c r="AH238" s="19">
        <f t="shared" si="23"/>
        <v>0</v>
      </c>
    </row>
    <row r="239" spans="1:34">
      <c r="A239" s="8" t="s">
        <v>146</v>
      </c>
      <c r="B239" s="8" t="s">
        <v>1992</v>
      </c>
      <c r="C239" s="8" t="s">
        <v>9</v>
      </c>
      <c r="D239" s="8" t="s">
        <v>7</v>
      </c>
      <c r="E239" s="8" t="s">
        <v>110</v>
      </c>
      <c r="F239" s="8" t="s">
        <v>5</v>
      </c>
      <c r="G239" s="8" t="s">
        <v>8</v>
      </c>
      <c r="H239" s="8" t="s">
        <v>402</v>
      </c>
      <c r="I239" s="8" t="s">
        <v>43</v>
      </c>
      <c r="J239" s="8" t="s">
        <v>41</v>
      </c>
      <c r="K239" s="8" t="s">
        <v>5696</v>
      </c>
      <c r="L239" s="8" t="s">
        <v>110</v>
      </c>
      <c r="M239" s="11" t="s">
        <v>3487</v>
      </c>
      <c r="N239" s="8">
        <v>1</v>
      </c>
      <c r="O239" s="8">
        <v>1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1</v>
      </c>
      <c r="Z239" s="8">
        <v>1</v>
      </c>
      <c r="AA239" s="8">
        <v>0</v>
      </c>
      <c r="AB239" s="8">
        <v>0</v>
      </c>
      <c r="AC239" s="19">
        <f t="shared" si="18"/>
        <v>0</v>
      </c>
      <c r="AD239" s="19">
        <f t="shared" si="19"/>
        <v>0</v>
      </c>
      <c r="AE239" s="19">
        <f t="shared" si="20"/>
        <v>0</v>
      </c>
      <c r="AF239" s="19">
        <f t="shared" si="21"/>
        <v>0</v>
      </c>
      <c r="AG239" s="19">
        <f t="shared" si="22"/>
        <v>0</v>
      </c>
      <c r="AH239" s="19">
        <f t="shared" si="23"/>
        <v>0</v>
      </c>
    </row>
    <row r="240" spans="1:34">
      <c r="A240" s="8" t="s">
        <v>183</v>
      </c>
      <c r="B240" s="8" t="s">
        <v>2539</v>
      </c>
      <c r="C240" s="8" t="s">
        <v>388</v>
      </c>
      <c r="D240" s="8" t="s">
        <v>4</v>
      </c>
      <c r="E240" s="8" t="s">
        <v>43</v>
      </c>
      <c r="F240" s="8" t="s">
        <v>18</v>
      </c>
      <c r="G240" s="8" t="s">
        <v>4</v>
      </c>
      <c r="H240" s="8" t="s">
        <v>784</v>
      </c>
      <c r="I240" s="8" t="s">
        <v>41</v>
      </c>
      <c r="J240" s="8" t="s">
        <v>43</v>
      </c>
      <c r="K240" s="8" t="s">
        <v>41</v>
      </c>
      <c r="L240" s="8" t="s">
        <v>110</v>
      </c>
      <c r="M240" s="11" t="s">
        <v>2540</v>
      </c>
      <c r="N240" s="8">
        <v>68</v>
      </c>
      <c r="O240" s="8">
        <v>44</v>
      </c>
      <c r="P240" s="8">
        <v>24</v>
      </c>
      <c r="Q240" s="8">
        <v>9</v>
      </c>
      <c r="R240" s="8">
        <v>8</v>
      </c>
      <c r="S240" s="8">
        <v>17</v>
      </c>
      <c r="T240" s="8">
        <v>9</v>
      </c>
      <c r="U240" s="8">
        <v>11</v>
      </c>
      <c r="V240" s="8">
        <v>7</v>
      </c>
      <c r="W240" s="8">
        <v>16</v>
      </c>
      <c r="X240" s="8">
        <v>8</v>
      </c>
      <c r="Y240" s="8">
        <v>15</v>
      </c>
      <c r="Z240" s="8">
        <v>12</v>
      </c>
      <c r="AA240" s="8">
        <v>0</v>
      </c>
      <c r="AB240" s="8">
        <v>0</v>
      </c>
      <c r="AC240" s="19">
        <f t="shared" si="18"/>
        <v>1</v>
      </c>
      <c r="AD240" s="19">
        <f t="shared" si="19"/>
        <v>8</v>
      </c>
      <c r="AE240" s="19">
        <f t="shared" si="20"/>
        <v>4</v>
      </c>
      <c r="AF240" s="19">
        <f t="shared" si="21"/>
        <v>8</v>
      </c>
      <c r="AG240" s="19">
        <f t="shared" si="22"/>
        <v>3</v>
      </c>
      <c r="AH240" s="19">
        <f t="shared" si="23"/>
        <v>0</v>
      </c>
    </row>
    <row r="241" spans="1:34">
      <c r="A241" s="8" t="s">
        <v>369</v>
      </c>
      <c r="B241" s="8" t="s">
        <v>2543</v>
      </c>
      <c r="C241" s="8" t="s">
        <v>388</v>
      </c>
      <c r="D241" s="8" t="s">
        <v>8</v>
      </c>
      <c r="E241" s="8" t="s">
        <v>43</v>
      </c>
      <c r="F241" s="8" t="s">
        <v>107</v>
      </c>
      <c r="G241" s="8" t="s">
        <v>6</v>
      </c>
      <c r="H241" s="8" t="s">
        <v>112</v>
      </c>
      <c r="I241" s="8" t="s">
        <v>41</v>
      </c>
      <c r="J241" s="8" t="s">
        <v>43</v>
      </c>
      <c r="K241" s="8" t="s">
        <v>41</v>
      </c>
      <c r="L241" s="8" t="s">
        <v>110</v>
      </c>
      <c r="M241" s="11" t="s">
        <v>2544</v>
      </c>
      <c r="N241" s="8">
        <v>148</v>
      </c>
      <c r="O241" s="8">
        <v>96</v>
      </c>
      <c r="P241" s="8">
        <v>52</v>
      </c>
      <c r="Q241" s="8">
        <v>46</v>
      </c>
      <c r="R241" s="8">
        <v>36</v>
      </c>
      <c r="S241" s="8">
        <v>23</v>
      </c>
      <c r="T241" s="8">
        <v>13</v>
      </c>
      <c r="U241" s="8">
        <v>12</v>
      </c>
      <c r="V241" s="8">
        <v>9</v>
      </c>
      <c r="W241" s="8">
        <v>33</v>
      </c>
      <c r="X241" s="8">
        <v>19</v>
      </c>
      <c r="Y241" s="8">
        <v>34</v>
      </c>
      <c r="Z241" s="8">
        <v>19</v>
      </c>
      <c r="AA241" s="8">
        <v>0</v>
      </c>
      <c r="AB241" s="8">
        <v>0</v>
      </c>
      <c r="AC241" s="19">
        <f t="shared" si="18"/>
        <v>10</v>
      </c>
      <c r="AD241" s="19">
        <f t="shared" si="19"/>
        <v>10</v>
      </c>
      <c r="AE241" s="19">
        <f t="shared" si="20"/>
        <v>3</v>
      </c>
      <c r="AF241" s="19">
        <f t="shared" si="21"/>
        <v>14</v>
      </c>
      <c r="AG241" s="19">
        <f t="shared" si="22"/>
        <v>15</v>
      </c>
      <c r="AH241" s="19">
        <f t="shared" si="23"/>
        <v>0</v>
      </c>
    </row>
    <row r="242" spans="1:34">
      <c r="A242" s="8" t="s">
        <v>1772</v>
      </c>
      <c r="B242" s="8" t="s">
        <v>2547</v>
      </c>
      <c r="C242" s="8" t="s">
        <v>388</v>
      </c>
      <c r="D242" s="8" t="s">
        <v>9</v>
      </c>
      <c r="E242" s="8" t="s">
        <v>43</v>
      </c>
      <c r="F242" s="8" t="s">
        <v>18</v>
      </c>
      <c r="G242" s="8" t="s">
        <v>8</v>
      </c>
      <c r="H242" s="8" t="s">
        <v>787</v>
      </c>
      <c r="I242" s="8" t="s">
        <v>41</v>
      </c>
      <c r="J242" s="8" t="s">
        <v>43</v>
      </c>
      <c r="K242" s="8" t="s">
        <v>41</v>
      </c>
      <c r="L242" s="8" t="s">
        <v>110</v>
      </c>
      <c r="M242" s="11" t="s">
        <v>2548</v>
      </c>
      <c r="N242" s="8">
        <v>70</v>
      </c>
      <c r="O242" s="8">
        <v>43</v>
      </c>
      <c r="P242" s="8">
        <v>27</v>
      </c>
      <c r="Q242" s="8">
        <v>30</v>
      </c>
      <c r="R242" s="8">
        <v>17</v>
      </c>
      <c r="S242" s="8">
        <v>14</v>
      </c>
      <c r="T242" s="8">
        <v>10</v>
      </c>
      <c r="U242" s="8">
        <v>12</v>
      </c>
      <c r="V242" s="8">
        <v>8</v>
      </c>
      <c r="W242" s="8">
        <v>9</v>
      </c>
      <c r="X242" s="8">
        <v>3</v>
      </c>
      <c r="Y242" s="8">
        <v>5</v>
      </c>
      <c r="Z242" s="8">
        <v>5</v>
      </c>
      <c r="AA242" s="8">
        <v>0</v>
      </c>
      <c r="AB242" s="8">
        <v>0</v>
      </c>
      <c r="AC242" s="19">
        <f t="shared" si="18"/>
        <v>13</v>
      </c>
      <c r="AD242" s="19">
        <f t="shared" si="19"/>
        <v>4</v>
      </c>
      <c r="AE242" s="19">
        <f t="shared" si="20"/>
        <v>4</v>
      </c>
      <c r="AF242" s="19">
        <f t="shared" si="21"/>
        <v>6</v>
      </c>
      <c r="AG242" s="19">
        <f t="shared" si="22"/>
        <v>0</v>
      </c>
      <c r="AH242" s="19">
        <f t="shared" si="23"/>
        <v>0</v>
      </c>
    </row>
    <row r="243" spans="1:34">
      <c r="A243" s="8" t="s">
        <v>370</v>
      </c>
      <c r="B243" s="8" t="s">
        <v>2550</v>
      </c>
      <c r="C243" s="8" t="s">
        <v>3</v>
      </c>
      <c r="D243" s="8" t="s">
        <v>8</v>
      </c>
      <c r="E243" s="8" t="s">
        <v>41</v>
      </c>
      <c r="F243" s="8" t="s">
        <v>13</v>
      </c>
      <c r="G243" s="8" t="s">
        <v>3</v>
      </c>
      <c r="H243" s="8" t="s">
        <v>138</v>
      </c>
      <c r="I243" s="8" t="s">
        <v>41</v>
      </c>
      <c r="J243" s="8" t="s">
        <v>41</v>
      </c>
      <c r="K243" s="8" t="s">
        <v>43</v>
      </c>
      <c r="L243" s="8" t="s">
        <v>110</v>
      </c>
      <c r="M243" s="11" t="s">
        <v>2551</v>
      </c>
      <c r="N243" s="8">
        <v>590</v>
      </c>
      <c r="O243" s="8">
        <v>312</v>
      </c>
      <c r="P243" s="8">
        <v>278</v>
      </c>
      <c r="Q243" s="8">
        <v>144</v>
      </c>
      <c r="R243" s="8">
        <v>64</v>
      </c>
      <c r="S243" s="8">
        <v>134</v>
      </c>
      <c r="T243" s="8">
        <v>67</v>
      </c>
      <c r="U243" s="8">
        <v>84</v>
      </c>
      <c r="V243" s="8">
        <v>55</v>
      </c>
      <c r="W243" s="8">
        <v>137</v>
      </c>
      <c r="X243" s="8">
        <v>78</v>
      </c>
      <c r="Y243" s="8">
        <v>91</v>
      </c>
      <c r="Z243" s="8">
        <v>48</v>
      </c>
      <c r="AA243" s="8">
        <v>0</v>
      </c>
      <c r="AB243" s="8">
        <v>0</v>
      </c>
      <c r="AC243" s="19">
        <f t="shared" si="18"/>
        <v>80</v>
      </c>
      <c r="AD243" s="19">
        <f t="shared" si="19"/>
        <v>67</v>
      </c>
      <c r="AE243" s="19">
        <f t="shared" si="20"/>
        <v>29</v>
      </c>
      <c r="AF243" s="19">
        <f t="shared" si="21"/>
        <v>59</v>
      </c>
      <c r="AG243" s="19">
        <f t="shared" si="22"/>
        <v>43</v>
      </c>
      <c r="AH243" s="19">
        <f t="shared" si="23"/>
        <v>0</v>
      </c>
    </row>
    <row r="244" spans="1:34">
      <c r="A244" s="8" t="s">
        <v>1773</v>
      </c>
      <c r="B244" s="8" t="s">
        <v>2553</v>
      </c>
      <c r="C244" s="8" t="s">
        <v>956</v>
      </c>
      <c r="D244" s="8" t="s">
        <v>8</v>
      </c>
      <c r="E244" s="8" t="s">
        <v>41</v>
      </c>
      <c r="F244" s="8" t="s">
        <v>16</v>
      </c>
      <c r="G244" s="8" t="s">
        <v>6</v>
      </c>
      <c r="H244" s="8" t="s">
        <v>132</v>
      </c>
      <c r="I244" s="8" t="s">
        <v>41</v>
      </c>
      <c r="J244" s="8" t="s">
        <v>41</v>
      </c>
      <c r="K244" s="8" t="s">
        <v>43</v>
      </c>
      <c r="L244" s="8" t="s">
        <v>110</v>
      </c>
      <c r="M244" s="11" t="s">
        <v>2085</v>
      </c>
      <c r="N244" s="8">
        <v>275</v>
      </c>
      <c r="O244" s="8">
        <v>163</v>
      </c>
      <c r="P244" s="8">
        <v>112</v>
      </c>
      <c r="Q244" s="8">
        <v>69</v>
      </c>
      <c r="R244" s="8">
        <v>43</v>
      </c>
      <c r="S244" s="8">
        <v>52</v>
      </c>
      <c r="T244" s="8">
        <v>29</v>
      </c>
      <c r="U244" s="8">
        <v>49</v>
      </c>
      <c r="V244" s="8">
        <v>28</v>
      </c>
      <c r="W244" s="8">
        <v>66</v>
      </c>
      <c r="X244" s="8">
        <v>44</v>
      </c>
      <c r="Y244" s="8">
        <v>39</v>
      </c>
      <c r="Z244" s="8">
        <v>19</v>
      </c>
      <c r="AA244" s="8">
        <v>0</v>
      </c>
      <c r="AB244" s="8">
        <v>0</v>
      </c>
      <c r="AC244" s="19">
        <f t="shared" si="18"/>
        <v>26</v>
      </c>
      <c r="AD244" s="19">
        <f t="shared" si="19"/>
        <v>23</v>
      </c>
      <c r="AE244" s="19">
        <f t="shared" si="20"/>
        <v>21</v>
      </c>
      <c r="AF244" s="19">
        <f t="shared" si="21"/>
        <v>22</v>
      </c>
      <c r="AG244" s="19">
        <f t="shared" si="22"/>
        <v>20</v>
      </c>
      <c r="AH244" s="19">
        <f t="shared" si="23"/>
        <v>0</v>
      </c>
    </row>
    <row r="245" spans="1:34">
      <c r="A245" s="8" t="s">
        <v>371</v>
      </c>
      <c r="B245" s="8" t="s">
        <v>1992</v>
      </c>
      <c r="C245" s="8" t="s">
        <v>957</v>
      </c>
      <c r="D245" s="8" t="s">
        <v>4</v>
      </c>
      <c r="E245" s="8" t="s">
        <v>41</v>
      </c>
      <c r="F245" s="8" t="s">
        <v>3</v>
      </c>
      <c r="G245" s="8" t="s">
        <v>12</v>
      </c>
      <c r="H245" s="8" t="s">
        <v>1802</v>
      </c>
      <c r="I245" s="8" t="s">
        <v>43</v>
      </c>
      <c r="J245" s="8" t="s">
        <v>41</v>
      </c>
      <c r="K245" s="8" t="s">
        <v>5696</v>
      </c>
      <c r="L245" s="8" t="s">
        <v>110</v>
      </c>
      <c r="M245" s="11" t="s">
        <v>5468</v>
      </c>
      <c r="N245" s="8">
        <v>4</v>
      </c>
      <c r="O245" s="8">
        <v>2</v>
      </c>
      <c r="P245" s="8">
        <v>2</v>
      </c>
      <c r="Q245" s="8">
        <v>1</v>
      </c>
      <c r="R245" s="8">
        <v>0</v>
      </c>
      <c r="S245" s="8">
        <v>2</v>
      </c>
      <c r="T245" s="8">
        <v>1</v>
      </c>
      <c r="U245" s="8">
        <v>0</v>
      </c>
      <c r="V245" s="8">
        <v>0</v>
      </c>
      <c r="W245" s="8">
        <v>0</v>
      </c>
      <c r="X245" s="8">
        <v>0</v>
      </c>
      <c r="Y245" s="8">
        <v>1</v>
      </c>
      <c r="Z245" s="8">
        <v>1</v>
      </c>
      <c r="AA245" s="8">
        <v>0</v>
      </c>
      <c r="AB245" s="8">
        <v>0</v>
      </c>
      <c r="AC245" s="19">
        <f t="shared" si="18"/>
        <v>1</v>
      </c>
      <c r="AD245" s="19">
        <f t="shared" si="19"/>
        <v>1</v>
      </c>
      <c r="AE245" s="19">
        <f t="shared" si="20"/>
        <v>0</v>
      </c>
      <c r="AF245" s="19">
        <f t="shared" si="21"/>
        <v>0</v>
      </c>
      <c r="AG245" s="19">
        <f t="shared" si="22"/>
        <v>0</v>
      </c>
      <c r="AH245" s="19">
        <f t="shared" si="23"/>
        <v>0</v>
      </c>
    </row>
    <row r="246" spans="1:34">
      <c r="A246" s="8" t="s">
        <v>2556</v>
      </c>
      <c r="B246" s="8" t="s">
        <v>1992</v>
      </c>
      <c r="C246" s="8" t="s">
        <v>956</v>
      </c>
      <c r="D246" s="8" t="s">
        <v>3</v>
      </c>
      <c r="E246" s="8" t="s">
        <v>41</v>
      </c>
      <c r="F246" s="8" t="s">
        <v>11</v>
      </c>
      <c r="G246" s="8" t="s">
        <v>3</v>
      </c>
      <c r="H246" s="8" t="s">
        <v>2557</v>
      </c>
      <c r="I246" s="8" t="s">
        <v>43</v>
      </c>
      <c r="J246" s="8" t="s">
        <v>41</v>
      </c>
      <c r="K246" s="8" t="s">
        <v>5696</v>
      </c>
      <c r="L246" s="8" t="s">
        <v>110</v>
      </c>
      <c r="M246" s="11" t="s">
        <v>3488</v>
      </c>
      <c r="N246" s="8">
        <v>15</v>
      </c>
      <c r="O246" s="8">
        <v>9</v>
      </c>
      <c r="P246" s="8">
        <v>6</v>
      </c>
      <c r="Q246" s="8">
        <v>3</v>
      </c>
      <c r="R246" s="8">
        <v>2</v>
      </c>
      <c r="S246" s="8">
        <v>5</v>
      </c>
      <c r="T246" s="8">
        <v>3</v>
      </c>
      <c r="U246" s="8">
        <v>2</v>
      </c>
      <c r="V246" s="8">
        <v>1</v>
      </c>
      <c r="W246" s="8">
        <v>5</v>
      </c>
      <c r="X246" s="8">
        <v>3</v>
      </c>
      <c r="Y246" s="8">
        <v>0</v>
      </c>
      <c r="Z246" s="8">
        <v>0</v>
      </c>
      <c r="AA246" s="8">
        <v>0</v>
      </c>
      <c r="AB246" s="8">
        <v>0</v>
      </c>
      <c r="AC246" s="19">
        <f t="shared" si="18"/>
        <v>1</v>
      </c>
      <c r="AD246" s="19">
        <f t="shared" si="19"/>
        <v>2</v>
      </c>
      <c r="AE246" s="19">
        <f t="shared" si="20"/>
        <v>1</v>
      </c>
      <c r="AF246" s="19">
        <f t="shared" si="21"/>
        <v>2</v>
      </c>
      <c r="AG246" s="19">
        <f t="shared" si="22"/>
        <v>0</v>
      </c>
      <c r="AH246" s="19">
        <f t="shared" si="23"/>
        <v>0</v>
      </c>
    </row>
    <row r="247" spans="1:34">
      <c r="A247" s="8" t="s">
        <v>372</v>
      </c>
      <c r="B247" s="8" t="s">
        <v>1992</v>
      </c>
      <c r="C247" s="8" t="s">
        <v>956</v>
      </c>
      <c r="D247" s="8" t="s">
        <v>5</v>
      </c>
      <c r="E247" s="8" t="s">
        <v>41</v>
      </c>
      <c r="F247" s="8" t="s">
        <v>107</v>
      </c>
      <c r="G247" s="8" t="s">
        <v>4</v>
      </c>
      <c r="H247" s="8" t="s">
        <v>1837</v>
      </c>
      <c r="I247" s="8" t="s">
        <v>43</v>
      </c>
      <c r="J247" s="8" t="s">
        <v>41</v>
      </c>
      <c r="K247" s="8" t="s">
        <v>5696</v>
      </c>
      <c r="L247" s="8" t="s">
        <v>110</v>
      </c>
      <c r="M247" s="11" t="s">
        <v>2560</v>
      </c>
      <c r="N247" s="8">
        <v>1</v>
      </c>
      <c r="O247" s="8">
        <v>1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1</v>
      </c>
      <c r="X247" s="8">
        <v>1</v>
      </c>
      <c r="Y247" s="8">
        <v>0</v>
      </c>
      <c r="Z247" s="8">
        <v>0</v>
      </c>
      <c r="AA247" s="8">
        <v>0</v>
      </c>
      <c r="AB247" s="8">
        <v>0</v>
      </c>
      <c r="AC247" s="19">
        <f t="shared" si="18"/>
        <v>0</v>
      </c>
      <c r="AD247" s="19">
        <f t="shared" si="19"/>
        <v>0</v>
      </c>
      <c r="AE247" s="19">
        <f t="shared" si="20"/>
        <v>0</v>
      </c>
      <c r="AF247" s="19">
        <f t="shared" si="21"/>
        <v>0</v>
      </c>
      <c r="AG247" s="19">
        <f t="shared" si="22"/>
        <v>0</v>
      </c>
      <c r="AH247" s="19">
        <f t="shared" si="23"/>
        <v>0</v>
      </c>
    </row>
    <row r="248" spans="1:34">
      <c r="A248" s="8" t="s">
        <v>373</v>
      </c>
      <c r="B248" s="8" t="s">
        <v>1992</v>
      </c>
      <c r="C248" s="8" t="s">
        <v>7</v>
      </c>
      <c r="D248" s="8" t="s">
        <v>3</v>
      </c>
      <c r="E248" s="8" t="s">
        <v>56</v>
      </c>
      <c r="F248" s="8" t="s">
        <v>3</v>
      </c>
      <c r="G248" s="8" t="s">
        <v>4</v>
      </c>
      <c r="H248" s="8" t="s">
        <v>707</v>
      </c>
      <c r="I248" s="8" t="s">
        <v>43</v>
      </c>
      <c r="J248" s="8" t="s">
        <v>41</v>
      </c>
      <c r="K248" s="8" t="s">
        <v>5696</v>
      </c>
      <c r="L248" s="8" t="s">
        <v>110</v>
      </c>
      <c r="M248" s="11" t="s">
        <v>2562</v>
      </c>
      <c r="N248" s="8">
        <v>34</v>
      </c>
      <c r="O248" s="8">
        <v>23</v>
      </c>
      <c r="P248" s="8">
        <v>11</v>
      </c>
      <c r="Q248" s="8">
        <v>1</v>
      </c>
      <c r="R248" s="8">
        <v>1</v>
      </c>
      <c r="S248" s="8">
        <v>14</v>
      </c>
      <c r="T248" s="8">
        <v>9</v>
      </c>
      <c r="U248" s="8">
        <v>5</v>
      </c>
      <c r="V248" s="8">
        <v>3</v>
      </c>
      <c r="W248" s="8">
        <v>9</v>
      </c>
      <c r="X248" s="8">
        <v>5</v>
      </c>
      <c r="Y248" s="8">
        <v>5</v>
      </c>
      <c r="Z248" s="8">
        <v>5</v>
      </c>
      <c r="AA248" s="8">
        <v>0</v>
      </c>
      <c r="AB248" s="8">
        <v>0</v>
      </c>
      <c r="AC248" s="19">
        <f t="shared" si="18"/>
        <v>0</v>
      </c>
      <c r="AD248" s="19">
        <f t="shared" si="19"/>
        <v>5</v>
      </c>
      <c r="AE248" s="19">
        <f t="shared" si="20"/>
        <v>2</v>
      </c>
      <c r="AF248" s="19">
        <f t="shared" si="21"/>
        <v>4</v>
      </c>
      <c r="AG248" s="19">
        <f t="shared" si="22"/>
        <v>0</v>
      </c>
      <c r="AH248" s="19">
        <f t="shared" si="23"/>
        <v>0</v>
      </c>
    </row>
    <row r="249" spans="1:34">
      <c r="A249" s="8" t="s">
        <v>374</v>
      </c>
      <c r="B249" s="8" t="s">
        <v>2564</v>
      </c>
      <c r="C249" s="8" t="s">
        <v>7</v>
      </c>
      <c r="D249" s="8" t="s">
        <v>9</v>
      </c>
      <c r="E249" s="8" t="s">
        <v>56</v>
      </c>
      <c r="F249" s="8" t="s">
        <v>3</v>
      </c>
      <c r="G249" s="8" t="s">
        <v>9</v>
      </c>
      <c r="H249" s="8" t="s">
        <v>200</v>
      </c>
      <c r="I249" s="8" t="s">
        <v>41</v>
      </c>
      <c r="J249" s="8" t="s">
        <v>43</v>
      </c>
      <c r="K249" s="8" t="s">
        <v>41</v>
      </c>
      <c r="L249" s="8" t="s">
        <v>110</v>
      </c>
      <c r="M249" s="11" t="s">
        <v>2565</v>
      </c>
      <c r="N249" s="8">
        <v>29</v>
      </c>
      <c r="O249" s="8">
        <v>18</v>
      </c>
      <c r="P249" s="8">
        <v>11</v>
      </c>
      <c r="Q249" s="8">
        <v>5</v>
      </c>
      <c r="R249" s="8">
        <v>2</v>
      </c>
      <c r="S249" s="8">
        <v>8</v>
      </c>
      <c r="T249" s="8">
        <v>5</v>
      </c>
      <c r="U249" s="8">
        <v>3</v>
      </c>
      <c r="V249" s="8">
        <v>1</v>
      </c>
      <c r="W249" s="8">
        <v>11</v>
      </c>
      <c r="X249" s="8">
        <v>8</v>
      </c>
      <c r="Y249" s="8">
        <v>2</v>
      </c>
      <c r="Z249" s="8">
        <v>2</v>
      </c>
      <c r="AA249" s="8">
        <v>0</v>
      </c>
      <c r="AB249" s="8">
        <v>0</v>
      </c>
      <c r="AC249" s="19">
        <f t="shared" si="18"/>
        <v>3</v>
      </c>
      <c r="AD249" s="19">
        <f t="shared" si="19"/>
        <v>3</v>
      </c>
      <c r="AE249" s="19">
        <f t="shared" si="20"/>
        <v>2</v>
      </c>
      <c r="AF249" s="19">
        <f t="shared" si="21"/>
        <v>3</v>
      </c>
      <c r="AG249" s="19">
        <f t="shared" si="22"/>
        <v>0</v>
      </c>
      <c r="AH249" s="19">
        <f t="shared" si="23"/>
        <v>0</v>
      </c>
    </row>
    <row r="250" spans="1:34">
      <c r="A250" s="8" t="s">
        <v>302</v>
      </c>
      <c r="B250" s="8" t="s">
        <v>2566</v>
      </c>
      <c r="C250" s="8" t="s">
        <v>7</v>
      </c>
      <c r="D250" s="8" t="s">
        <v>4</v>
      </c>
      <c r="E250" s="8" t="s">
        <v>56</v>
      </c>
      <c r="F250" s="8" t="s">
        <v>3</v>
      </c>
      <c r="G250" s="8" t="s">
        <v>8</v>
      </c>
      <c r="H250" s="8" t="s">
        <v>54</v>
      </c>
      <c r="I250" s="8" t="s">
        <v>41</v>
      </c>
      <c r="J250" s="8" t="s">
        <v>41</v>
      </c>
      <c r="K250" s="8" t="s">
        <v>43</v>
      </c>
      <c r="L250" s="8" t="s">
        <v>110</v>
      </c>
      <c r="M250" s="11" t="s">
        <v>2567</v>
      </c>
      <c r="N250" s="8">
        <v>343</v>
      </c>
      <c r="O250" s="8">
        <v>187</v>
      </c>
      <c r="P250" s="8">
        <v>156</v>
      </c>
      <c r="Q250" s="8">
        <v>82</v>
      </c>
      <c r="R250" s="8">
        <v>53</v>
      </c>
      <c r="S250" s="8">
        <v>69</v>
      </c>
      <c r="T250" s="8">
        <v>27</v>
      </c>
      <c r="U250" s="8">
        <v>72</v>
      </c>
      <c r="V250" s="8">
        <v>39</v>
      </c>
      <c r="W250" s="8">
        <v>73</v>
      </c>
      <c r="X250" s="8">
        <v>38</v>
      </c>
      <c r="Y250" s="8">
        <v>47</v>
      </c>
      <c r="Z250" s="8">
        <v>30</v>
      </c>
      <c r="AA250" s="8">
        <v>0</v>
      </c>
      <c r="AB250" s="8">
        <v>0</v>
      </c>
      <c r="AC250" s="19">
        <f t="shared" si="18"/>
        <v>29</v>
      </c>
      <c r="AD250" s="19">
        <f t="shared" si="19"/>
        <v>42</v>
      </c>
      <c r="AE250" s="19">
        <f t="shared" si="20"/>
        <v>33</v>
      </c>
      <c r="AF250" s="19">
        <f t="shared" si="21"/>
        <v>35</v>
      </c>
      <c r="AG250" s="19">
        <f t="shared" si="22"/>
        <v>17</v>
      </c>
      <c r="AH250" s="19">
        <f t="shared" si="23"/>
        <v>0</v>
      </c>
    </row>
    <row r="251" spans="1:34">
      <c r="A251" s="8" t="s">
        <v>379</v>
      </c>
      <c r="B251" s="8" t="s">
        <v>1992</v>
      </c>
      <c r="C251" s="8" t="s">
        <v>5</v>
      </c>
      <c r="D251" s="8" t="s">
        <v>8</v>
      </c>
      <c r="E251" s="8" t="s">
        <v>43</v>
      </c>
      <c r="F251" s="8" t="s">
        <v>5</v>
      </c>
      <c r="G251" s="8" t="s">
        <v>3</v>
      </c>
      <c r="H251" s="8" t="s">
        <v>292</v>
      </c>
      <c r="I251" s="8" t="s">
        <v>43</v>
      </c>
      <c r="J251" s="8" t="s">
        <v>41</v>
      </c>
      <c r="K251" s="8" t="s">
        <v>5696</v>
      </c>
      <c r="L251" s="8" t="s">
        <v>110</v>
      </c>
      <c r="M251" s="11" t="s">
        <v>1930</v>
      </c>
      <c r="N251" s="8">
        <v>10</v>
      </c>
      <c r="O251" s="8">
        <v>7</v>
      </c>
      <c r="P251" s="8">
        <v>3</v>
      </c>
      <c r="Q251" s="8">
        <v>1</v>
      </c>
      <c r="R251" s="8">
        <v>1</v>
      </c>
      <c r="S251" s="8">
        <v>2</v>
      </c>
      <c r="T251" s="8">
        <v>1</v>
      </c>
      <c r="U251" s="8">
        <v>4</v>
      </c>
      <c r="V251" s="8">
        <v>4</v>
      </c>
      <c r="W251" s="8">
        <v>3</v>
      </c>
      <c r="X251" s="8">
        <v>1</v>
      </c>
      <c r="Y251" s="8">
        <v>0</v>
      </c>
      <c r="Z251" s="8">
        <v>0</v>
      </c>
      <c r="AA251" s="8">
        <v>0</v>
      </c>
      <c r="AB251" s="8">
        <v>0</v>
      </c>
      <c r="AC251" s="19">
        <f t="shared" si="18"/>
        <v>0</v>
      </c>
      <c r="AD251" s="19">
        <f t="shared" si="19"/>
        <v>1</v>
      </c>
      <c r="AE251" s="19">
        <f t="shared" si="20"/>
        <v>0</v>
      </c>
      <c r="AF251" s="19">
        <f t="shared" si="21"/>
        <v>2</v>
      </c>
      <c r="AG251" s="19">
        <f t="shared" si="22"/>
        <v>0</v>
      </c>
      <c r="AH251" s="19">
        <f t="shared" si="23"/>
        <v>0</v>
      </c>
    </row>
    <row r="252" spans="1:34">
      <c r="A252" s="8" t="s">
        <v>380</v>
      </c>
      <c r="B252" s="8" t="s">
        <v>2569</v>
      </c>
      <c r="C252" s="8" t="s">
        <v>954</v>
      </c>
      <c r="D252" s="8" t="s">
        <v>16</v>
      </c>
      <c r="E252" s="8" t="s">
        <v>80</v>
      </c>
      <c r="F252" s="8" t="s">
        <v>5</v>
      </c>
      <c r="G252" s="8" t="s">
        <v>6</v>
      </c>
      <c r="H252" s="8" t="s">
        <v>567</v>
      </c>
      <c r="I252" s="8" t="s">
        <v>41</v>
      </c>
      <c r="J252" s="8" t="s">
        <v>43</v>
      </c>
      <c r="K252" s="8" t="s">
        <v>41</v>
      </c>
      <c r="L252" s="8" t="s">
        <v>110</v>
      </c>
      <c r="M252" s="11" t="s">
        <v>2570</v>
      </c>
      <c r="N252" s="8">
        <v>13</v>
      </c>
      <c r="O252" s="8">
        <v>7</v>
      </c>
      <c r="P252" s="8">
        <v>6</v>
      </c>
      <c r="Q252" s="8">
        <v>0</v>
      </c>
      <c r="R252" s="8">
        <v>0</v>
      </c>
      <c r="S252" s="8">
        <v>4</v>
      </c>
      <c r="T252" s="8">
        <v>3</v>
      </c>
      <c r="U252" s="8">
        <v>1</v>
      </c>
      <c r="V252" s="8">
        <v>0</v>
      </c>
      <c r="W252" s="8">
        <v>4</v>
      </c>
      <c r="X252" s="8">
        <v>2</v>
      </c>
      <c r="Y252" s="8">
        <v>4</v>
      </c>
      <c r="Z252" s="8">
        <v>2</v>
      </c>
      <c r="AA252" s="8">
        <v>0</v>
      </c>
      <c r="AB252" s="8">
        <v>0</v>
      </c>
      <c r="AC252" s="19">
        <f t="shared" si="18"/>
        <v>0</v>
      </c>
      <c r="AD252" s="19">
        <f t="shared" si="19"/>
        <v>1</v>
      </c>
      <c r="AE252" s="19">
        <f t="shared" si="20"/>
        <v>1</v>
      </c>
      <c r="AF252" s="19">
        <f t="shared" si="21"/>
        <v>2</v>
      </c>
      <c r="AG252" s="19">
        <f t="shared" si="22"/>
        <v>2</v>
      </c>
      <c r="AH252" s="19">
        <f t="shared" si="23"/>
        <v>0</v>
      </c>
    </row>
    <row r="253" spans="1:34">
      <c r="A253" s="8" t="s">
        <v>381</v>
      </c>
      <c r="B253" s="8" t="s">
        <v>1992</v>
      </c>
      <c r="C253" s="8" t="s">
        <v>3</v>
      </c>
      <c r="D253" s="8" t="s">
        <v>5</v>
      </c>
      <c r="E253" s="8" t="s">
        <v>41</v>
      </c>
      <c r="F253" s="8" t="s">
        <v>70</v>
      </c>
      <c r="G253" s="8" t="s">
        <v>5</v>
      </c>
      <c r="H253" s="8" t="s">
        <v>2573</v>
      </c>
      <c r="I253" s="8" t="s">
        <v>43</v>
      </c>
      <c r="J253" s="8" t="s">
        <v>41</v>
      </c>
      <c r="K253" s="8" t="s">
        <v>5696</v>
      </c>
      <c r="L253" s="8" t="s">
        <v>110</v>
      </c>
      <c r="M253" s="11" t="s">
        <v>2572</v>
      </c>
      <c r="N253" s="8">
        <v>5</v>
      </c>
      <c r="O253" s="8">
        <v>3</v>
      </c>
      <c r="P253" s="8">
        <v>2</v>
      </c>
      <c r="Q253" s="8">
        <v>2</v>
      </c>
      <c r="R253" s="8">
        <v>0</v>
      </c>
      <c r="S253" s="8">
        <v>3</v>
      </c>
      <c r="T253" s="8">
        <v>3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  <c r="AC253" s="19">
        <f t="shared" si="18"/>
        <v>2</v>
      </c>
      <c r="AD253" s="19">
        <f t="shared" si="19"/>
        <v>0</v>
      </c>
      <c r="AE253" s="19">
        <f t="shared" si="20"/>
        <v>0</v>
      </c>
      <c r="AF253" s="19">
        <f t="shared" si="21"/>
        <v>0</v>
      </c>
      <c r="AG253" s="19">
        <f t="shared" si="22"/>
        <v>0</v>
      </c>
      <c r="AH253" s="19">
        <f t="shared" si="23"/>
        <v>0</v>
      </c>
    </row>
    <row r="254" spans="1:34">
      <c r="A254" s="8" t="s">
        <v>382</v>
      </c>
      <c r="B254" s="8" t="s">
        <v>1992</v>
      </c>
      <c r="C254" s="8" t="s">
        <v>3</v>
      </c>
      <c r="D254" s="8" t="s">
        <v>7</v>
      </c>
      <c r="E254" s="8" t="s">
        <v>41</v>
      </c>
      <c r="F254" s="8" t="s">
        <v>3</v>
      </c>
      <c r="G254" s="8" t="s">
        <v>13</v>
      </c>
      <c r="H254" s="8" t="s">
        <v>149</v>
      </c>
      <c r="I254" s="8" t="s">
        <v>43</v>
      </c>
      <c r="J254" s="8" t="s">
        <v>41</v>
      </c>
      <c r="K254" s="8" t="s">
        <v>5696</v>
      </c>
      <c r="L254" s="8" t="s">
        <v>110</v>
      </c>
      <c r="M254" s="11" t="s">
        <v>4695</v>
      </c>
      <c r="N254" s="8">
        <v>8</v>
      </c>
      <c r="O254" s="8">
        <v>4</v>
      </c>
      <c r="P254" s="8">
        <v>4</v>
      </c>
      <c r="Q254" s="8">
        <v>3</v>
      </c>
      <c r="R254" s="8">
        <v>2</v>
      </c>
      <c r="S254" s="8">
        <v>2</v>
      </c>
      <c r="T254" s="8">
        <v>0</v>
      </c>
      <c r="U254" s="8">
        <v>1</v>
      </c>
      <c r="V254" s="8">
        <v>0</v>
      </c>
      <c r="W254" s="8">
        <v>2</v>
      </c>
      <c r="X254" s="8">
        <v>2</v>
      </c>
      <c r="Y254" s="8">
        <v>0</v>
      </c>
      <c r="Z254" s="8">
        <v>0</v>
      </c>
      <c r="AA254" s="8">
        <v>0</v>
      </c>
      <c r="AB254" s="8">
        <v>0</v>
      </c>
      <c r="AC254" s="19">
        <f t="shared" si="18"/>
        <v>1</v>
      </c>
      <c r="AD254" s="19">
        <f t="shared" si="19"/>
        <v>2</v>
      </c>
      <c r="AE254" s="19">
        <f t="shared" si="20"/>
        <v>1</v>
      </c>
      <c r="AF254" s="19">
        <f t="shared" si="21"/>
        <v>0</v>
      </c>
      <c r="AG254" s="19">
        <f t="shared" si="22"/>
        <v>0</v>
      </c>
      <c r="AH254" s="19">
        <f t="shared" si="23"/>
        <v>0</v>
      </c>
    </row>
    <row r="255" spans="1:34">
      <c r="A255" s="8" t="s">
        <v>383</v>
      </c>
      <c r="B255" s="8" t="s">
        <v>1992</v>
      </c>
      <c r="C255" s="8" t="s">
        <v>9</v>
      </c>
      <c r="D255" s="8" t="s">
        <v>9</v>
      </c>
      <c r="E255" s="8" t="s">
        <v>110</v>
      </c>
      <c r="F255" s="8" t="s">
        <v>9</v>
      </c>
      <c r="G255" s="8" t="s">
        <v>4</v>
      </c>
      <c r="H255" s="8" t="s">
        <v>3985</v>
      </c>
      <c r="I255" s="8" t="s">
        <v>43</v>
      </c>
      <c r="J255" s="8" t="s">
        <v>41</v>
      </c>
      <c r="K255" s="8" t="s">
        <v>5696</v>
      </c>
      <c r="L255" s="8" t="s">
        <v>110</v>
      </c>
      <c r="M255" s="11" t="s">
        <v>4295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19">
        <f t="shared" si="18"/>
        <v>0</v>
      </c>
      <c r="AD255" s="19">
        <f t="shared" si="19"/>
        <v>0</v>
      </c>
      <c r="AE255" s="19">
        <f t="shared" si="20"/>
        <v>0</v>
      </c>
      <c r="AF255" s="19">
        <f t="shared" si="21"/>
        <v>0</v>
      </c>
      <c r="AG255" s="19">
        <f t="shared" si="22"/>
        <v>0</v>
      </c>
      <c r="AH255" s="19">
        <f t="shared" si="23"/>
        <v>0</v>
      </c>
    </row>
    <row r="256" spans="1:34">
      <c r="A256" s="8" t="s">
        <v>384</v>
      </c>
      <c r="B256" s="8" t="s">
        <v>1992</v>
      </c>
      <c r="C256" s="8" t="s">
        <v>956</v>
      </c>
      <c r="D256" s="8" t="s">
        <v>5</v>
      </c>
      <c r="E256" s="8" t="s">
        <v>56</v>
      </c>
      <c r="F256" s="8" t="s">
        <v>5</v>
      </c>
      <c r="G256" s="8" t="s">
        <v>7</v>
      </c>
      <c r="H256" s="8" t="s">
        <v>1820</v>
      </c>
      <c r="I256" s="8" t="s">
        <v>43</v>
      </c>
      <c r="J256" s="8" t="s">
        <v>41</v>
      </c>
      <c r="K256" s="8" t="s">
        <v>5696</v>
      </c>
      <c r="L256" s="8" t="s">
        <v>110</v>
      </c>
      <c r="M256" s="11" t="s">
        <v>2574</v>
      </c>
      <c r="N256" s="8">
        <v>13</v>
      </c>
      <c r="O256" s="8">
        <v>9</v>
      </c>
      <c r="P256" s="8">
        <v>4</v>
      </c>
      <c r="Q256" s="8">
        <v>4</v>
      </c>
      <c r="R256" s="8">
        <v>2</v>
      </c>
      <c r="S256" s="8">
        <v>4</v>
      </c>
      <c r="T256" s="8">
        <v>3</v>
      </c>
      <c r="U256" s="8">
        <v>1</v>
      </c>
      <c r="V256" s="8">
        <v>0</v>
      </c>
      <c r="W256" s="8">
        <v>4</v>
      </c>
      <c r="X256" s="8">
        <v>4</v>
      </c>
      <c r="Y256" s="8">
        <v>0</v>
      </c>
      <c r="Z256" s="8">
        <v>0</v>
      </c>
      <c r="AA256" s="8">
        <v>0</v>
      </c>
      <c r="AB256" s="8">
        <v>0</v>
      </c>
      <c r="AC256" s="19">
        <f t="shared" si="18"/>
        <v>2</v>
      </c>
      <c r="AD256" s="19">
        <f t="shared" si="19"/>
        <v>1</v>
      </c>
      <c r="AE256" s="19">
        <f t="shared" si="20"/>
        <v>1</v>
      </c>
      <c r="AF256" s="19">
        <f t="shared" si="21"/>
        <v>0</v>
      </c>
      <c r="AG256" s="19">
        <f t="shared" si="22"/>
        <v>0</v>
      </c>
      <c r="AH256" s="19">
        <f t="shared" si="23"/>
        <v>0</v>
      </c>
    </row>
    <row r="257" spans="1:34">
      <c r="A257" s="8" t="s">
        <v>385</v>
      </c>
      <c r="B257" s="8" t="s">
        <v>2576</v>
      </c>
      <c r="C257" s="8" t="s">
        <v>754</v>
      </c>
      <c r="D257" s="8" t="s">
        <v>3</v>
      </c>
      <c r="E257" s="8" t="s">
        <v>68</v>
      </c>
      <c r="F257" s="8" t="s">
        <v>4</v>
      </c>
      <c r="G257" s="8" t="s">
        <v>4</v>
      </c>
      <c r="H257" s="8" t="s">
        <v>768</v>
      </c>
      <c r="I257" s="8" t="s">
        <v>41</v>
      </c>
      <c r="J257" s="8" t="s">
        <v>43</v>
      </c>
      <c r="K257" s="8" t="s">
        <v>41</v>
      </c>
      <c r="L257" s="8" t="s">
        <v>110</v>
      </c>
      <c r="M257" s="11" t="s">
        <v>5586</v>
      </c>
      <c r="N257" s="8">
        <v>215</v>
      </c>
      <c r="O257" s="8">
        <v>105</v>
      </c>
      <c r="P257" s="8">
        <v>110</v>
      </c>
      <c r="Q257" s="8">
        <v>40</v>
      </c>
      <c r="R257" s="8">
        <v>21</v>
      </c>
      <c r="S257" s="8">
        <v>54</v>
      </c>
      <c r="T257" s="8">
        <v>31</v>
      </c>
      <c r="U257" s="8">
        <v>25</v>
      </c>
      <c r="V257" s="8">
        <v>11</v>
      </c>
      <c r="W257" s="8">
        <v>72</v>
      </c>
      <c r="X257" s="8">
        <v>30</v>
      </c>
      <c r="Y257" s="8">
        <v>24</v>
      </c>
      <c r="Z257" s="8">
        <v>12</v>
      </c>
      <c r="AA257" s="8">
        <v>0</v>
      </c>
      <c r="AB257" s="8">
        <v>0</v>
      </c>
      <c r="AC257" s="19">
        <f t="shared" si="18"/>
        <v>19</v>
      </c>
      <c r="AD257" s="19">
        <f t="shared" si="19"/>
        <v>23</v>
      </c>
      <c r="AE257" s="19">
        <f t="shared" si="20"/>
        <v>14</v>
      </c>
      <c r="AF257" s="19">
        <f t="shared" si="21"/>
        <v>42</v>
      </c>
      <c r="AG257" s="19">
        <f t="shared" si="22"/>
        <v>12</v>
      </c>
      <c r="AH257" s="19">
        <f t="shared" si="23"/>
        <v>0</v>
      </c>
    </row>
    <row r="258" spans="1:34">
      <c r="A258" s="8" t="s">
        <v>386</v>
      </c>
      <c r="B258" s="8" t="s">
        <v>2577</v>
      </c>
      <c r="C258" s="8" t="s">
        <v>754</v>
      </c>
      <c r="D258" s="8" t="s">
        <v>9</v>
      </c>
      <c r="E258" s="8" t="s">
        <v>68</v>
      </c>
      <c r="F258" s="8" t="s">
        <v>8</v>
      </c>
      <c r="G258" s="8" t="s">
        <v>7</v>
      </c>
      <c r="H258" s="8" t="s">
        <v>2578</v>
      </c>
      <c r="I258" s="8" t="s">
        <v>41</v>
      </c>
      <c r="J258" s="8" t="s">
        <v>43</v>
      </c>
      <c r="K258" s="8" t="s">
        <v>41</v>
      </c>
      <c r="L258" s="8" t="s">
        <v>110</v>
      </c>
      <c r="M258" s="11" t="s">
        <v>5587</v>
      </c>
      <c r="N258" s="8">
        <v>71</v>
      </c>
      <c r="O258" s="8">
        <v>47</v>
      </c>
      <c r="P258" s="8">
        <v>24</v>
      </c>
      <c r="Q258" s="8">
        <v>21</v>
      </c>
      <c r="R258" s="8">
        <v>15</v>
      </c>
      <c r="S258" s="8">
        <v>26</v>
      </c>
      <c r="T258" s="8">
        <v>18</v>
      </c>
      <c r="U258" s="8">
        <v>13</v>
      </c>
      <c r="V258" s="8">
        <v>10</v>
      </c>
      <c r="W258" s="8">
        <v>9</v>
      </c>
      <c r="X258" s="8">
        <v>4</v>
      </c>
      <c r="Y258" s="8">
        <v>2</v>
      </c>
      <c r="Z258" s="8">
        <v>0</v>
      </c>
      <c r="AA258" s="8">
        <v>0</v>
      </c>
      <c r="AB258" s="8">
        <v>0</v>
      </c>
      <c r="AC258" s="19">
        <f t="shared" si="18"/>
        <v>6</v>
      </c>
      <c r="AD258" s="19">
        <f t="shared" si="19"/>
        <v>8</v>
      </c>
      <c r="AE258" s="19">
        <f t="shared" si="20"/>
        <v>3</v>
      </c>
      <c r="AF258" s="19">
        <f t="shared" si="21"/>
        <v>5</v>
      </c>
      <c r="AG258" s="19">
        <f t="shared" si="22"/>
        <v>2</v>
      </c>
      <c r="AH258" s="19">
        <f t="shared" si="23"/>
        <v>0</v>
      </c>
    </row>
    <row r="259" spans="1:34">
      <c r="A259" s="8" t="s">
        <v>389</v>
      </c>
      <c r="B259" s="8" t="s">
        <v>1992</v>
      </c>
      <c r="C259" s="8" t="s">
        <v>304</v>
      </c>
      <c r="D259" s="8" t="s">
        <v>7</v>
      </c>
      <c r="E259" s="8" t="s">
        <v>68</v>
      </c>
      <c r="F259" s="8" t="s">
        <v>5</v>
      </c>
      <c r="G259" s="8" t="s">
        <v>3</v>
      </c>
      <c r="H259" s="8" t="s">
        <v>4337</v>
      </c>
      <c r="I259" s="8" t="s">
        <v>43</v>
      </c>
      <c r="J259" s="8" t="s">
        <v>41</v>
      </c>
      <c r="K259" s="8" t="s">
        <v>5696</v>
      </c>
      <c r="L259" s="8" t="s">
        <v>110</v>
      </c>
      <c r="M259" s="11" t="s">
        <v>1916</v>
      </c>
      <c r="N259" s="8">
        <v>1</v>
      </c>
      <c r="O259" s="8">
        <v>0</v>
      </c>
      <c r="P259" s="8">
        <v>1</v>
      </c>
      <c r="Q259" s="8">
        <v>1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19">
        <f t="shared" si="18"/>
        <v>1</v>
      </c>
      <c r="AD259" s="19">
        <f t="shared" si="19"/>
        <v>0</v>
      </c>
      <c r="AE259" s="19">
        <f t="shared" si="20"/>
        <v>0</v>
      </c>
      <c r="AF259" s="19">
        <f t="shared" si="21"/>
        <v>0</v>
      </c>
      <c r="AG259" s="19">
        <f t="shared" si="22"/>
        <v>0</v>
      </c>
      <c r="AH259" s="19">
        <f t="shared" si="23"/>
        <v>0</v>
      </c>
    </row>
    <row r="260" spans="1:34">
      <c r="A260" s="8" t="s">
        <v>390</v>
      </c>
      <c r="B260" s="8" t="s">
        <v>2581</v>
      </c>
      <c r="C260" s="8" t="s">
        <v>7</v>
      </c>
      <c r="D260" s="8" t="s">
        <v>8</v>
      </c>
      <c r="E260" s="8" t="s">
        <v>56</v>
      </c>
      <c r="F260" s="8" t="s">
        <v>5</v>
      </c>
      <c r="G260" s="8" t="s">
        <v>4</v>
      </c>
      <c r="H260" s="8" t="s">
        <v>765</v>
      </c>
      <c r="I260" s="8" t="s">
        <v>41</v>
      </c>
      <c r="J260" s="8" t="s">
        <v>41</v>
      </c>
      <c r="K260" s="8" t="s">
        <v>41</v>
      </c>
      <c r="L260" s="8" t="s">
        <v>110</v>
      </c>
      <c r="M260" s="11" t="s">
        <v>2582</v>
      </c>
      <c r="N260" s="8">
        <v>360</v>
      </c>
      <c r="O260" s="8">
        <v>205</v>
      </c>
      <c r="P260" s="8">
        <v>155</v>
      </c>
      <c r="Q260" s="8">
        <v>53</v>
      </c>
      <c r="R260" s="8">
        <v>35</v>
      </c>
      <c r="S260" s="8">
        <v>108</v>
      </c>
      <c r="T260" s="8">
        <v>57</v>
      </c>
      <c r="U260" s="8">
        <v>71</v>
      </c>
      <c r="V260" s="8">
        <v>37</v>
      </c>
      <c r="W260" s="8">
        <v>74</v>
      </c>
      <c r="X260" s="8">
        <v>47</v>
      </c>
      <c r="Y260" s="8">
        <v>54</v>
      </c>
      <c r="Z260" s="8">
        <v>29</v>
      </c>
      <c r="AA260" s="8">
        <v>0</v>
      </c>
      <c r="AB260" s="8">
        <v>0</v>
      </c>
      <c r="AC260" s="19">
        <f t="shared" ref="AC260:AC323" si="24">+Q260-R260</f>
        <v>18</v>
      </c>
      <c r="AD260" s="19">
        <f t="shared" ref="AD260:AD323" si="25">+S260-T260</f>
        <v>51</v>
      </c>
      <c r="AE260" s="19">
        <f t="shared" ref="AE260:AE323" si="26">+U260-V260</f>
        <v>34</v>
      </c>
      <c r="AF260" s="19">
        <f t="shared" ref="AF260:AF323" si="27">+W260-X260</f>
        <v>27</v>
      </c>
      <c r="AG260" s="19">
        <f t="shared" ref="AG260:AG323" si="28">+Y260-Z260</f>
        <v>25</v>
      </c>
      <c r="AH260" s="19">
        <f t="shared" ref="AH260:AH323" si="29">+AA260-AB260</f>
        <v>0</v>
      </c>
    </row>
    <row r="261" spans="1:34">
      <c r="A261" s="8" t="s">
        <v>391</v>
      </c>
      <c r="B261" s="8" t="s">
        <v>2583</v>
      </c>
      <c r="C261" s="8" t="s">
        <v>6</v>
      </c>
      <c r="D261" s="8" t="s">
        <v>12</v>
      </c>
      <c r="E261" s="8" t="s">
        <v>43</v>
      </c>
      <c r="F261" s="8" t="s">
        <v>4</v>
      </c>
      <c r="G261" s="8" t="s">
        <v>18</v>
      </c>
      <c r="H261" s="8" t="s">
        <v>728</v>
      </c>
      <c r="I261" s="8" t="s">
        <v>41</v>
      </c>
      <c r="J261" s="8" t="s">
        <v>43</v>
      </c>
      <c r="K261" s="8" t="s">
        <v>41</v>
      </c>
      <c r="L261" s="8" t="s">
        <v>110</v>
      </c>
      <c r="M261" s="11" t="s">
        <v>2584</v>
      </c>
      <c r="N261" s="8">
        <v>221</v>
      </c>
      <c r="O261" s="8">
        <v>148</v>
      </c>
      <c r="P261" s="8">
        <v>73</v>
      </c>
      <c r="Q261" s="8">
        <v>48</v>
      </c>
      <c r="R261" s="8">
        <v>39</v>
      </c>
      <c r="S261" s="8">
        <v>48</v>
      </c>
      <c r="T261" s="8">
        <v>29</v>
      </c>
      <c r="U261" s="8">
        <v>53</v>
      </c>
      <c r="V261" s="8">
        <v>33</v>
      </c>
      <c r="W261" s="8">
        <v>40</v>
      </c>
      <c r="X261" s="8">
        <v>30</v>
      </c>
      <c r="Y261" s="8">
        <v>32</v>
      </c>
      <c r="Z261" s="8">
        <v>17</v>
      </c>
      <c r="AA261" s="8">
        <v>0</v>
      </c>
      <c r="AB261" s="8">
        <v>0</v>
      </c>
      <c r="AC261" s="19">
        <f t="shared" si="24"/>
        <v>9</v>
      </c>
      <c r="AD261" s="19">
        <f t="shared" si="25"/>
        <v>19</v>
      </c>
      <c r="AE261" s="19">
        <f t="shared" si="26"/>
        <v>20</v>
      </c>
      <c r="AF261" s="19">
        <f t="shared" si="27"/>
        <v>10</v>
      </c>
      <c r="AG261" s="19">
        <f t="shared" si="28"/>
        <v>15</v>
      </c>
      <c r="AH261" s="19">
        <f t="shared" si="29"/>
        <v>0</v>
      </c>
    </row>
    <row r="262" spans="1:34">
      <c r="A262" s="8" t="s">
        <v>392</v>
      </c>
      <c r="B262" s="8" t="s">
        <v>2587</v>
      </c>
      <c r="C262" s="8" t="s">
        <v>70</v>
      </c>
      <c r="D262" s="8" t="s">
        <v>13</v>
      </c>
      <c r="E262" s="8" t="s">
        <v>43</v>
      </c>
      <c r="F262" s="8" t="s">
        <v>118</v>
      </c>
      <c r="G262" s="8" t="s">
        <v>5</v>
      </c>
      <c r="H262" s="8" t="s">
        <v>586</v>
      </c>
      <c r="I262" s="8" t="s">
        <v>41</v>
      </c>
      <c r="J262" s="8" t="s">
        <v>43</v>
      </c>
      <c r="K262" s="8" t="s">
        <v>41</v>
      </c>
      <c r="L262" s="8" t="s">
        <v>110</v>
      </c>
      <c r="M262" s="11" t="s">
        <v>2588</v>
      </c>
      <c r="N262" s="8">
        <v>147</v>
      </c>
      <c r="O262" s="8">
        <v>91</v>
      </c>
      <c r="P262" s="8">
        <v>56</v>
      </c>
      <c r="Q262" s="8">
        <v>33</v>
      </c>
      <c r="R262" s="8">
        <v>15</v>
      </c>
      <c r="S262" s="8">
        <v>15</v>
      </c>
      <c r="T262" s="8">
        <v>12</v>
      </c>
      <c r="U262" s="8">
        <v>37</v>
      </c>
      <c r="V262" s="8">
        <v>24</v>
      </c>
      <c r="W262" s="8">
        <v>38</v>
      </c>
      <c r="X262" s="8">
        <v>27</v>
      </c>
      <c r="Y262" s="8">
        <v>24</v>
      </c>
      <c r="Z262" s="8">
        <v>13</v>
      </c>
      <c r="AA262" s="8">
        <v>0</v>
      </c>
      <c r="AB262" s="8">
        <v>0</v>
      </c>
      <c r="AC262" s="19">
        <f t="shared" si="24"/>
        <v>18</v>
      </c>
      <c r="AD262" s="19">
        <f t="shared" si="25"/>
        <v>3</v>
      </c>
      <c r="AE262" s="19">
        <f t="shared" si="26"/>
        <v>13</v>
      </c>
      <c r="AF262" s="19">
        <f t="shared" si="27"/>
        <v>11</v>
      </c>
      <c r="AG262" s="19">
        <f t="shared" si="28"/>
        <v>11</v>
      </c>
      <c r="AH262" s="19">
        <f t="shared" si="29"/>
        <v>0</v>
      </c>
    </row>
    <row r="263" spans="1:34">
      <c r="A263" s="8" t="s">
        <v>394</v>
      </c>
      <c r="B263" s="8" t="s">
        <v>1992</v>
      </c>
      <c r="C263" s="8" t="s">
        <v>17</v>
      </c>
      <c r="D263" s="8" t="s">
        <v>9</v>
      </c>
      <c r="E263" s="8" t="s">
        <v>80</v>
      </c>
      <c r="F263" s="8" t="s">
        <v>4</v>
      </c>
      <c r="G263" s="8" t="s">
        <v>5</v>
      </c>
      <c r="H263" s="8" t="s">
        <v>827</v>
      </c>
      <c r="I263" s="8" t="s">
        <v>43</v>
      </c>
      <c r="J263" s="8" t="s">
        <v>41</v>
      </c>
      <c r="K263" s="8" t="s">
        <v>5696</v>
      </c>
      <c r="L263" s="8" t="s">
        <v>110</v>
      </c>
      <c r="M263" s="11" t="s">
        <v>5471</v>
      </c>
      <c r="N263" s="8">
        <v>8</v>
      </c>
      <c r="O263" s="8">
        <v>4</v>
      </c>
      <c r="P263" s="8">
        <v>4</v>
      </c>
      <c r="Q263" s="8">
        <v>5</v>
      </c>
      <c r="R263" s="8">
        <v>2</v>
      </c>
      <c r="S263" s="8">
        <v>0</v>
      </c>
      <c r="T263" s="8">
        <v>0</v>
      </c>
      <c r="U263" s="8">
        <v>1</v>
      </c>
      <c r="V263" s="8">
        <v>1</v>
      </c>
      <c r="W263" s="8">
        <v>2</v>
      </c>
      <c r="X263" s="8">
        <v>1</v>
      </c>
      <c r="Y263" s="8">
        <v>0</v>
      </c>
      <c r="Z263" s="8">
        <v>0</v>
      </c>
      <c r="AA263" s="8">
        <v>0</v>
      </c>
      <c r="AB263" s="8">
        <v>0</v>
      </c>
      <c r="AC263" s="19">
        <f t="shared" si="24"/>
        <v>3</v>
      </c>
      <c r="AD263" s="19">
        <f t="shared" si="25"/>
        <v>0</v>
      </c>
      <c r="AE263" s="19">
        <f t="shared" si="26"/>
        <v>0</v>
      </c>
      <c r="AF263" s="19">
        <f t="shared" si="27"/>
        <v>1</v>
      </c>
      <c r="AG263" s="19">
        <f t="shared" si="28"/>
        <v>0</v>
      </c>
      <c r="AH263" s="19">
        <f t="shared" si="29"/>
        <v>0</v>
      </c>
    </row>
    <row r="264" spans="1:34">
      <c r="A264" s="8" t="s">
        <v>283</v>
      </c>
      <c r="B264" s="8" t="s">
        <v>2590</v>
      </c>
      <c r="C264" s="8" t="s">
        <v>5</v>
      </c>
      <c r="D264" s="8" t="s">
        <v>6</v>
      </c>
      <c r="E264" s="8" t="s">
        <v>43</v>
      </c>
      <c r="F264" s="8" t="s">
        <v>3</v>
      </c>
      <c r="G264" s="8" t="s">
        <v>6</v>
      </c>
      <c r="H264" s="8" t="s">
        <v>2592</v>
      </c>
      <c r="I264" s="8" t="s">
        <v>41</v>
      </c>
      <c r="J264" s="8" t="s">
        <v>41</v>
      </c>
      <c r="K264" s="8" t="s">
        <v>43</v>
      </c>
      <c r="L264" s="8" t="s">
        <v>110</v>
      </c>
      <c r="M264" s="11" t="s">
        <v>2591</v>
      </c>
      <c r="N264" s="8">
        <v>253</v>
      </c>
      <c r="O264" s="8">
        <v>150</v>
      </c>
      <c r="P264" s="8">
        <v>103</v>
      </c>
      <c r="Q264" s="8">
        <v>63</v>
      </c>
      <c r="R264" s="8">
        <v>32</v>
      </c>
      <c r="S264" s="8">
        <v>68</v>
      </c>
      <c r="T264" s="8">
        <v>42</v>
      </c>
      <c r="U264" s="8">
        <v>25</v>
      </c>
      <c r="V264" s="8">
        <v>19</v>
      </c>
      <c r="W264" s="8">
        <v>61</v>
      </c>
      <c r="X264" s="8">
        <v>39</v>
      </c>
      <c r="Y264" s="8">
        <v>36</v>
      </c>
      <c r="Z264" s="8">
        <v>18</v>
      </c>
      <c r="AA264" s="8">
        <v>0</v>
      </c>
      <c r="AB264" s="8">
        <v>0</v>
      </c>
      <c r="AC264" s="19">
        <f t="shared" si="24"/>
        <v>31</v>
      </c>
      <c r="AD264" s="19">
        <f t="shared" si="25"/>
        <v>26</v>
      </c>
      <c r="AE264" s="19">
        <f t="shared" si="26"/>
        <v>6</v>
      </c>
      <c r="AF264" s="19">
        <f t="shared" si="27"/>
        <v>22</v>
      </c>
      <c r="AG264" s="19">
        <f t="shared" si="28"/>
        <v>18</v>
      </c>
      <c r="AH264" s="19">
        <f t="shared" si="29"/>
        <v>0</v>
      </c>
    </row>
    <row r="265" spans="1:34">
      <c r="A265" s="8" t="s">
        <v>396</v>
      </c>
      <c r="B265" s="8" t="s">
        <v>2593</v>
      </c>
      <c r="C265" s="8" t="s">
        <v>5</v>
      </c>
      <c r="D265" s="8" t="s">
        <v>7</v>
      </c>
      <c r="E265" s="8" t="s">
        <v>43</v>
      </c>
      <c r="F265" s="8" t="s">
        <v>3</v>
      </c>
      <c r="G265" s="8" t="s">
        <v>17</v>
      </c>
      <c r="H265" s="8" t="s">
        <v>618</v>
      </c>
      <c r="I265" s="8" t="s">
        <v>41</v>
      </c>
      <c r="J265" s="8" t="s">
        <v>41</v>
      </c>
      <c r="K265" s="8" t="s">
        <v>41</v>
      </c>
      <c r="L265" s="8" t="s">
        <v>110</v>
      </c>
      <c r="M265" s="11" t="s">
        <v>2594</v>
      </c>
      <c r="N265" s="8">
        <v>179</v>
      </c>
      <c r="O265" s="8">
        <v>86</v>
      </c>
      <c r="P265" s="8">
        <v>93</v>
      </c>
      <c r="Q265" s="8">
        <v>76</v>
      </c>
      <c r="R265" s="8">
        <v>44</v>
      </c>
      <c r="S265" s="8">
        <v>32</v>
      </c>
      <c r="T265" s="8">
        <v>16</v>
      </c>
      <c r="U265" s="8">
        <v>29</v>
      </c>
      <c r="V265" s="8">
        <v>13</v>
      </c>
      <c r="W265" s="8">
        <v>32</v>
      </c>
      <c r="X265" s="8">
        <v>10</v>
      </c>
      <c r="Y265" s="8">
        <v>10</v>
      </c>
      <c r="Z265" s="8">
        <v>3</v>
      </c>
      <c r="AA265" s="8">
        <v>0</v>
      </c>
      <c r="AB265" s="8">
        <v>0</v>
      </c>
      <c r="AC265" s="19">
        <f t="shared" si="24"/>
        <v>32</v>
      </c>
      <c r="AD265" s="19">
        <f t="shared" si="25"/>
        <v>16</v>
      </c>
      <c r="AE265" s="19">
        <f t="shared" si="26"/>
        <v>16</v>
      </c>
      <c r="AF265" s="19">
        <f t="shared" si="27"/>
        <v>22</v>
      </c>
      <c r="AG265" s="19">
        <f t="shared" si="28"/>
        <v>7</v>
      </c>
      <c r="AH265" s="19">
        <f t="shared" si="29"/>
        <v>0</v>
      </c>
    </row>
    <row r="266" spans="1:34">
      <c r="A266" s="8" t="s">
        <v>397</v>
      </c>
      <c r="B266" s="8" t="s">
        <v>2596</v>
      </c>
      <c r="C266" s="8" t="s">
        <v>5</v>
      </c>
      <c r="D266" s="8" t="s">
        <v>8</v>
      </c>
      <c r="E266" s="8" t="s">
        <v>43</v>
      </c>
      <c r="F266" s="8" t="s">
        <v>5</v>
      </c>
      <c r="G266" s="8" t="s">
        <v>6</v>
      </c>
      <c r="H266" s="8" t="s">
        <v>629</v>
      </c>
      <c r="I266" s="8" t="s">
        <v>41</v>
      </c>
      <c r="J266" s="8" t="s">
        <v>41</v>
      </c>
      <c r="K266" s="8" t="s">
        <v>41</v>
      </c>
      <c r="L266" s="8" t="s">
        <v>110</v>
      </c>
      <c r="M266" s="11" t="s">
        <v>2597</v>
      </c>
      <c r="N266" s="8">
        <v>97</v>
      </c>
      <c r="O266" s="8">
        <v>62</v>
      </c>
      <c r="P266" s="8">
        <v>35</v>
      </c>
      <c r="Q266" s="8">
        <v>16</v>
      </c>
      <c r="R266" s="8">
        <v>10</v>
      </c>
      <c r="S266" s="8">
        <v>20</v>
      </c>
      <c r="T266" s="8">
        <v>13</v>
      </c>
      <c r="U266" s="8">
        <v>4</v>
      </c>
      <c r="V266" s="8">
        <v>4</v>
      </c>
      <c r="W266" s="8">
        <v>34</v>
      </c>
      <c r="X266" s="8">
        <v>22</v>
      </c>
      <c r="Y266" s="8">
        <v>23</v>
      </c>
      <c r="Z266" s="8">
        <v>13</v>
      </c>
      <c r="AA266" s="8">
        <v>0</v>
      </c>
      <c r="AB266" s="8">
        <v>0</v>
      </c>
      <c r="AC266" s="19">
        <f t="shared" si="24"/>
        <v>6</v>
      </c>
      <c r="AD266" s="19">
        <f t="shared" si="25"/>
        <v>7</v>
      </c>
      <c r="AE266" s="19">
        <f t="shared" si="26"/>
        <v>0</v>
      </c>
      <c r="AF266" s="19">
        <f t="shared" si="27"/>
        <v>12</v>
      </c>
      <c r="AG266" s="19">
        <f t="shared" si="28"/>
        <v>10</v>
      </c>
      <c r="AH266" s="19">
        <f t="shared" si="29"/>
        <v>0</v>
      </c>
    </row>
    <row r="267" spans="1:34">
      <c r="A267" s="8" t="s">
        <v>398</v>
      </c>
      <c r="B267" s="8" t="s">
        <v>2599</v>
      </c>
      <c r="C267" s="8" t="s">
        <v>16</v>
      </c>
      <c r="D267" s="8" t="s">
        <v>7</v>
      </c>
      <c r="E267" s="8" t="s">
        <v>126</v>
      </c>
      <c r="F267" s="8" t="s">
        <v>9</v>
      </c>
      <c r="G267" s="8" t="s">
        <v>4</v>
      </c>
      <c r="H267" s="8" t="s">
        <v>89</v>
      </c>
      <c r="I267" s="8" t="s">
        <v>41</v>
      </c>
      <c r="J267" s="8" t="s">
        <v>43</v>
      </c>
      <c r="K267" s="8" t="s">
        <v>41</v>
      </c>
      <c r="L267" s="8" t="s">
        <v>110</v>
      </c>
      <c r="M267" s="11" t="s">
        <v>2600</v>
      </c>
      <c r="N267" s="8">
        <v>29</v>
      </c>
      <c r="O267" s="8">
        <v>21</v>
      </c>
      <c r="P267" s="8">
        <v>8</v>
      </c>
      <c r="Q267" s="8">
        <v>3</v>
      </c>
      <c r="R267" s="8">
        <v>1</v>
      </c>
      <c r="S267" s="8">
        <v>2</v>
      </c>
      <c r="T267" s="8">
        <v>2</v>
      </c>
      <c r="U267" s="8">
        <v>4</v>
      </c>
      <c r="V267" s="8">
        <v>3</v>
      </c>
      <c r="W267" s="8">
        <v>10</v>
      </c>
      <c r="X267" s="8">
        <v>8</v>
      </c>
      <c r="Y267" s="8">
        <v>10</v>
      </c>
      <c r="Z267" s="8">
        <v>7</v>
      </c>
      <c r="AA267" s="8">
        <v>0</v>
      </c>
      <c r="AB267" s="8">
        <v>0</v>
      </c>
      <c r="AC267" s="19">
        <f t="shared" si="24"/>
        <v>2</v>
      </c>
      <c r="AD267" s="19">
        <f t="shared" si="25"/>
        <v>0</v>
      </c>
      <c r="AE267" s="19">
        <f t="shared" si="26"/>
        <v>1</v>
      </c>
      <c r="AF267" s="19">
        <f t="shared" si="27"/>
        <v>2</v>
      </c>
      <c r="AG267" s="19">
        <f t="shared" si="28"/>
        <v>3</v>
      </c>
      <c r="AH267" s="19">
        <f t="shared" si="29"/>
        <v>0</v>
      </c>
    </row>
    <row r="268" spans="1:34">
      <c r="A268" s="8" t="s">
        <v>400</v>
      </c>
      <c r="B268" s="8" t="s">
        <v>2602</v>
      </c>
      <c r="C268" s="8" t="s">
        <v>13</v>
      </c>
      <c r="D268" s="8" t="s">
        <v>5</v>
      </c>
      <c r="E268" s="8" t="s">
        <v>126</v>
      </c>
      <c r="F268" s="8" t="s">
        <v>5</v>
      </c>
      <c r="G268" s="8" t="s">
        <v>12</v>
      </c>
      <c r="H268" s="8" t="s">
        <v>808</v>
      </c>
      <c r="I268" s="8" t="s">
        <v>41</v>
      </c>
      <c r="J268" s="8" t="s">
        <v>43</v>
      </c>
      <c r="K268" s="8" t="s">
        <v>41</v>
      </c>
      <c r="L268" s="8" t="s">
        <v>110</v>
      </c>
      <c r="M268" s="11" t="s">
        <v>2603</v>
      </c>
      <c r="N268" s="8">
        <v>209</v>
      </c>
      <c r="O268" s="8">
        <v>130</v>
      </c>
      <c r="P268" s="8">
        <v>79</v>
      </c>
      <c r="Q268" s="8">
        <v>33</v>
      </c>
      <c r="R268" s="8">
        <v>20</v>
      </c>
      <c r="S268" s="8">
        <v>33</v>
      </c>
      <c r="T268" s="8">
        <v>20</v>
      </c>
      <c r="U268" s="8">
        <v>41</v>
      </c>
      <c r="V268" s="8">
        <v>25</v>
      </c>
      <c r="W268" s="8">
        <v>39</v>
      </c>
      <c r="X268" s="8">
        <v>28</v>
      </c>
      <c r="Y268" s="8">
        <v>63</v>
      </c>
      <c r="Z268" s="8">
        <v>37</v>
      </c>
      <c r="AA268" s="8">
        <v>0</v>
      </c>
      <c r="AB268" s="8">
        <v>0</v>
      </c>
      <c r="AC268" s="19">
        <f t="shared" si="24"/>
        <v>13</v>
      </c>
      <c r="AD268" s="19">
        <f t="shared" si="25"/>
        <v>13</v>
      </c>
      <c r="AE268" s="19">
        <f t="shared" si="26"/>
        <v>16</v>
      </c>
      <c r="AF268" s="19">
        <f t="shared" si="27"/>
        <v>11</v>
      </c>
      <c r="AG268" s="19">
        <f t="shared" si="28"/>
        <v>26</v>
      </c>
      <c r="AH268" s="19">
        <f t="shared" si="29"/>
        <v>0</v>
      </c>
    </row>
    <row r="269" spans="1:34">
      <c r="A269" s="8" t="s">
        <v>401</v>
      </c>
      <c r="B269" s="8" t="s">
        <v>1992</v>
      </c>
      <c r="C269" s="8" t="s">
        <v>9</v>
      </c>
      <c r="D269" s="8" t="s">
        <v>6</v>
      </c>
      <c r="E269" s="8" t="s">
        <v>110</v>
      </c>
      <c r="F269" s="8" t="s">
        <v>7</v>
      </c>
      <c r="G269" s="8" t="s">
        <v>3</v>
      </c>
      <c r="H269" s="8" t="s">
        <v>89</v>
      </c>
      <c r="I269" s="8" t="s">
        <v>43</v>
      </c>
      <c r="J269" s="8" t="s">
        <v>41</v>
      </c>
      <c r="K269" s="8" t="s">
        <v>5696</v>
      </c>
      <c r="L269" s="8" t="s">
        <v>110</v>
      </c>
      <c r="M269" s="11" t="s">
        <v>4696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8">
        <v>0</v>
      </c>
      <c r="AA269" s="8">
        <v>0</v>
      </c>
      <c r="AB269" s="8">
        <v>0</v>
      </c>
      <c r="AC269" s="19">
        <f t="shared" si="24"/>
        <v>0</v>
      </c>
      <c r="AD269" s="19">
        <f t="shared" si="25"/>
        <v>0</v>
      </c>
      <c r="AE269" s="19">
        <f t="shared" si="26"/>
        <v>0</v>
      </c>
      <c r="AF269" s="19">
        <f t="shared" si="27"/>
        <v>0</v>
      </c>
      <c r="AG269" s="19">
        <f t="shared" si="28"/>
        <v>0</v>
      </c>
      <c r="AH269" s="19">
        <f t="shared" si="29"/>
        <v>0</v>
      </c>
    </row>
    <row r="270" spans="1:34">
      <c r="A270" s="8" t="s">
        <v>101</v>
      </c>
      <c r="B270" s="8" t="s">
        <v>1992</v>
      </c>
      <c r="C270" s="8" t="s">
        <v>9</v>
      </c>
      <c r="D270" s="8" t="s">
        <v>7</v>
      </c>
      <c r="E270" s="8" t="s">
        <v>110</v>
      </c>
      <c r="F270" s="8" t="s">
        <v>5</v>
      </c>
      <c r="G270" s="8" t="s">
        <v>4</v>
      </c>
      <c r="H270" s="8" t="s">
        <v>4728</v>
      </c>
      <c r="I270" s="8" t="s">
        <v>43</v>
      </c>
      <c r="J270" s="8" t="s">
        <v>41</v>
      </c>
      <c r="K270" s="8" t="s">
        <v>5696</v>
      </c>
      <c r="L270" s="8" t="s">
        <v>110</v>
      </c>
      <c r="M270" s="11" t="s">
        <v>3976</v>
      </c>
      <c r="N270" s="8">
        <v>15</v>
      </c>
      <c r="O270" s="8">
        <v>10</v>
      </c>
      <c r="P270" s="8">
        <v>5</v>
      </c>
      <c r="Q270" s="8">
        <v>3</v>
      </c>
      <c r="R270" s="8">
        <v>2</v>
      </c>
      <c r="S270" s="8">
        <v>2</v>
      </c>
      <c r="T270" s="8">
        <v>2</v>
      </c>
      <c r="U270" s="8">
        <v>4</v>
      </c>
      <c r="V270" s="8">
        <v>1</v>
      </c>
      <c r="W270" s="8">
        <v>0</v>
      </c>
      <c r="X270" s="8">
        <v>0</v>
      </c>
      <c r="Y270" s="8">
        <v>6</v>
      </c>
      <c r="Z270" s="8">
        <v>5</v>
      </c>
      <c r="AA270" s="8">
        <v>0</v>
      </c>
      <c r="AB270" s="8">
        <v>0</v>
      </c>
      <c r="AC270" s="19">
        <f t="shared" si="24"/>
        <v>1</v>
      </c>
      <c r="AD270" s="19">
        <f t="shared" si="25"/>
        <v>0</v>
      </c>
      <c r="AE270" s="19">
        <f t="shared" si="26"/>
        <v>3</v>
      </c>
      <c r="AF270" s="19">
        <f t="shared" si="27"/>
        <v>0</v>
      </c>
      <c r="AG270" s="19">
        <f t="shared" si="28"/>
        <v>1</v>
      </c>
      <c r="AH270" s="19">
        <f t="shared" si="29"/>
        <v>0</v>
      </c>
    </row>
    <row r="271" spans="1:34">
      <c r="A271" s="8" t="s">
        <v>403</v>
      </c>
      <c r="B271" s="8" t="s">
        <v>2606</v>
      </c>
      <c r="C271" s="8" t="s">
        <v>304</v>
      </c>
      <c r="D271" s="8" t="s">
        <v>8</v>
      </c>
      <c r="E271" s="8" t="s">
        <v>68</v>
      </c>
      <c r="F271" s="8" t="s">
        <v>5</v>
      </c>
      <c r="G271" s="8" t="s">
        <v>8</v>
      </c>
      <c r="H271" s="8" t="s">
        <v>871</v>
      </c>
      <c r="I271" s="8" t="s">
        <v>41</v>
      </c>
      <c r="J271" s="8" t="s">
        <v>43</v>
      </c>
      <c r="K271" s="8" t="s">
        <v>41</v>
      </c>
      <c r="L271" s="8" t="s">
        <v>110</v>
      </c>
      <c r="M271" s="11" t="s">
        <v>3489</v>
      </c>
      <c r="N271" s="8">
        <v>62</v>
      </c>
      <c r="O271" s="8">
        <v>39</v>
      </c>
      <c r="P271" s="8">
        <v>23</v>
      </c>
      <c r="Q271" s="8">
        <v>11</v>
      </c>
      <c r="R271" s="8">
        <v>7</v>
      </c>
      <c r="S271" s="8">
        <v>19</v>
      </c>
      <c r="T271" s="8">
        <v>13</v>
      </c>
      <c r="U271" s="8">
        <v>12</v>
      </c>
      <c r="V271" s="8">
        <v>6</v>
      </c>
      <c r="W271" s="8">
        <v>10</v>
      </c>
      <c r="X271" s="8">
        <v>7</v>
      </c>
      <c r="Y271" s="8">
        <v>10</v>
      </c>
      <c r="Z271" s="8">
        <v>6</v>
      </c>
      <c r="AA271" s="8">
        <v>0</v>
      </c>
      <c r="AB271" s="8">
        <v>0</v>
      </c>
      <c r="AC271" s="19">
        <f t="shared" si="24"/>
        <v>4</v>
      </c>
      <c r="AD271" s="19">
        <f t="shared" si="25"/>
        <v>6</v>
      </c>
      <c r="AE271" s="19">
        <f t="shared" si="26"/>
        <v>6</v>
      </c>
      <c r="AF271" s="19">
        <f t="shared" si="27"/>
        <v>3</v>
      </c>
      <c r="AG271" s="19">
        <f t="shared" si="28"/>
        <v>4</v>
      </c>
      <c r="AH271" s="19">
        <f t="shared" si="29"/>
        <v>0</v>
      </c>
    </row>
    <row r="272" spans="1:34">
      <c r="A272" s="8" t="s">
        <v>1151</v>
      </c>
      <c r="B272" s="8" t="s">
        <v>2607</v>
      </c>
      <c r="C272" s="8" t="s">
        <v>6</v>
      </c>
      <c r="D272" s="8" t="s">
        <v>4</v>
      </c>
      <c r="E272" s="8" t="s">
        <v>43</v>
      </c>
      <c r="F272" s="8" t="s">
        <v>4</v>
      </c>
      <c r="G272" s="8" t="s">
        <v>11</v>
      </c>
      <c r="H272" s="8" t="s">
        <v>870</v>
      </c>
      <c r="I272" s="8" t="s">
        <v>41</v>
      </c>
      <c r="J272" s="8" t="s">
        <v>43</v>
      </c>
      <c r="K272" s="8" t="s">
        <v>43</v>
      </c>
      <c r="L272" s="8" t="s">
        <v>110</v>
      </c>
      <c r="M272" s="11" t="s">
        <v>2608</v>
      </c>
      <c r="N272" s="8">
        <v>240</v>
      </c>
      <c r="O272" s="8">
        <v>146</v>
      </c>
      <c r="P272" s="8">
        <v>94</v>
      </c>
      <c r="Q272" s="8">
        <v>39</v>
      </c>
      <c r="R272" s="8">
        <v>25</v>
      </c>
      <c r="S272" s="8">
        <v>48</v>
      </c>
      <c r="T272" s="8">
        <v>25</v>
      </c>
      <c r="U272" s="8">
        <v>58</v>
      </c>
      <c r="V272" s="8">
        <v>30</v>
      </c>
      <c r="W272" s="8">
        <v>45</v>
      </c>
      <c r="X272" s="8">
        <v>30</v>
      </c>
      <c r="Y272" s="8">
        <v>50</v>
      </c>
      <c r="Z272" s="8">
        <v>36</v>
      </c>
      <c r="AA272" s="8">
        <v>0</v>
      </c>
      <c r="AB272" s="8">
        <v>0</v>
      </c>
      <c r="AC272" s="19">
        <f t="shared" si="24"/>
        <v>14</v>
      </c>
      <c r="AD272" s="19">
        <f t="shared" si="25"/>
        <v>23</v>
      </c>
      <c r="AE272" s="19">
        <f t="shared" si="26"/>
        <v>28</v>
      </c>
      <c r="AF272" s="19">
        <f t="shared" si="27"/>
        <v>15</v>
      </c>
      <c r="AG272" s="19">
        <f t="shared" si="28"/>
        <v>14</v>
      </c>
      <c r="AH272" s="19">
        <f t="shared" si="29"/>
        <v>0</v>
      </c>
    </row>
    <row r="273" spans="1:34">
      <c r="A273" s="8" t="s">
        <v>290</v>
      </c>
      <c r="B273" s="8" t="s">
        <v>2611</v>
      </c>
      <c r="C273" s="8" t="s">
        <v>12</v>
      </c>
      <c r="D273" s="8" t="s">
        <v>11</v>
      </c>
      <c r="E273" s="8" t="s">
        <v>126</v>
      </c>
      <c r="F273" s="8" t="s">
        <v>12</v>
      </c>
      <c r="G273" s="8" t="s">
        <v>8</v>
      </c>
      <c r="H273" s="8" t="s">
        <v>211</v>
      </c>
      <c r="I273" s="8" t="s">
        <v>41</v>
      </c>
      <c r="J273" s="8" t="s">
        <v>43</v>
      </c>
      <c r="K273" s="8" t="s">
        <v>41</v>
      </c>
      <c r="L273" s="8" t="s">
        <v>110</v>
      </c>
      <c r="M273" s="11" t="s">
        <v>2612</v>
      </c>
      <c r="N273" s="8">
        <v>24</v>
      </c>
      <c r="O273" s="8">
        <v>15</v>
      </c>
      <c r="P273" s="8">
        <v>9</v>
      </c>
      <c r="Q273" s="8">
        <v>3</v>
      </c>
      <c r="R273" s="8">
        <v>1</v>
      </c>
      <c r="S273" s="8">
        <v>1</v>
      </c>
      <c r="T273" s="8">
        <v>0</v>
      </c>
      <c r="U273" s="8">
        <v>3</v>
      </c>
      <c r="V273" s="8">
        <v>2</v>
      </c>
      <c r="W273" s="8">
        <v>8</v>
      </c>
      <c r="X273" s="8">
        <v>5</v>
      </c>
      <c r="Y273" s="8">
        <v>9</v>
      </c>
      <c r="Z273" s="8">
        <v>7</v>
      </c>
      <c r="AA273" s="8">
        <v>0</v>
      </c>
      <c r="AB273" s="8">
        <v>0</v>
      </c>
      <c r="AC273" s="19">
        <f t="shared" si="24"/>
        <v>2</v>
      </c>
      <c r="AD273" s="19">
        <f t="shared" si="25"/>
        <v>1</v>
      </c>
      <c r="AE273" s="19">
        <f t="shared" si="26"/>
        <v>1</v>
      </c>
      <c r="AF273" s="19">
        <f t="shared" si="27"/>
        <v>3</v>
      </c>
      <c r="AG273" s="19">
        <f t="shared" si="28"/>
        <v>2</v>
      </c>
      <c r="AH273" s="19">
        <f t="shared" si="29"/>
        <v>0</v>
      </c>
    </row>
    <row r="274" spans="1:34">
      <c r="A274" s="8" t="s">
        <v>404</v>
      </c>
      <c r="B274" s="8" t="s">
        <v>1992</v>
      </c>
      <c r="C274" s="8" t="s">
        <v>12</v>
      </c>
      <c r="D274" s="8" t="s">
        <v>3</v>
      </c>
      <c r="E274" s="8" t="s">
        <v>126</v>
      </c>
      <c r="F274" s="8" t="s">
        <v>4</v>
      </c>
      <c r="G274" s="8" t="s">
        <v>3</v>
      </c>
      <c r="H274" s="8" t="s">
        <v>305</v>
      </c>
      <c r="I274" s="8" t="s">
        <v>56</v>
      </c>
      <c r="J274" s="8" t="s">
        <v>41</v>
      </c>
      <c r="K274" s="8" t="s">
        <v>41</v>
      </c>
      <c r="L274" s="8" t="s">
        <v>110</v>
      </c>
      <c r="M274" s="11" t="s">
        <v>3490</v>
      </c>
      <c r="N274" s="8">
        <v>1</v>
      </c>
      <c r="O274" s="8">
        <v>0</v>
      </c>
      <c r="P274" s="8">
        <v>1</v>
      </c>
      <c r="Q274" s="8">
        <v>1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8">
        <v>0</v>
      </c>
      <c r="AA274" s="8">
        <v>0</v>
      </c>
      <c r="AB274" s="8">
        <v>0</v>
      </c>
      <c r="AC274" s="19">
        <f t="shared" si="24"/>
        <v>1</v>
      </c>
      <c r="AD274" s="19">
        <f t="shared" si="25"/>
        <v>0</v>
      </c>
      <c r="AE274" s="19">
        <f t="shared" si="26"/>
        <v>0</v>
      </c>
      <c r="AF274" s="19">
        <f t="shared" si="27"/>
        <v>0</v>
      </c>
      <c r="AG274" s="19">
        <f t="shared" si="28"/>
        <v>0</v>
      </c>
      <c r="AH274" s="19">
        <f t="shared" si="29"/>
        <v>0</v>
      </c>
    </row>
    <row r="275" spans="1:34">
      <c r="A275" s="8" t="s">
        <v>53</v>
      </c>
      <c r="B275" s="8" t="s">
        <v>2615</v>
      </c>
      <c r="C275" s="8" t="s">
        <v>957</v>
      </c>
      <c r="D275" s="8" t="s">
        <v>4</v>
      </c>
      <c r="E275" s="8" t="s">
        <v>41</v>
      </c>
      <c r="F275" s="8" t="s">
        <v>3</v>
      </c>
      <c r="G275" s="8" t="s">
        <v>12</v>
      </c>
      <c r="H275" s="8" t="s">
        <v>4436</v>
      </c>
      <c r="I275" s="8" t="s">
        <v>41</v>
      </c>
      <c r="J275" s="8" t="s">
        <v>41</v>
      </c>
      <c r="K275" s="8" t="s">
        <v>43</v>
      </c>
      <c r="L275" s="8" t="s">
        <v>110</v>
      </c>
      <c r="M275" s="11" t="s">
        <v>5590</v>
      </c>
      <c r="N275" s="8">
        <v>931</v>
      </c>
      <c r="O275" s="8">
        <v>467</v>
      </c>
      <c r="P275" s="8">
        <v>464</v>
      </c>
      <c r="Q275" s="8">
        <v>207</v>
      </c>
      <c r="R275" s="8">
        <v>101</v>
      </c>
      <c r="S275" s="8">
        <v>222</v>
      </c>
      <c r="T275" s="8">
        <v>108</v>
      </c>
      <c r="U275" s="8">
        <v>250</v>
      </c>
      <c r="V275" s="8">
        <v>122</v>
      </c>
      <c r="W275" s="8">
        <v>103</v>
      </c>
      <c r="X275" s="8">
        <v>63</v>
      </c>
      <c r="Y275" s="8">
        <v>149</v>
      </c>
      <c r="Z275" s="8">
        <v>73</v>
      </c>
      <c r="AA275" s="8">
        <v>0</v>
      </c>
      <c r="AB275" s="8">
        <v>0</v>
      </c>
      <c r="AC275" s="19">
        <f t="shared" si="24"/>
        <v>106</v>
      </c>
      <c r="AD275" s="19">
        <f t="shared" si="25"/>
        <v>114</v>
      </c>
      <c r="AE275" s="19">
        <f t="shared" si="26"/>
        <v>128</v>
      </c>
      <c r="AF275" s="19">
        <f t="shared" si="27"/>
        <v>40</v>
      </c>
      <c r="AG275" s="19">
        <f t="shared" si="28"/>
        <v>76</v>
      </c>
      <c r="AH275" s="19">
        <f t="shared" si="29"/>
        <v>0</v>
      </c>
    </row>
    <row r="276" spans="1:34">
      <c r="A276" s="8" t="s">
        <v>409</v>
      </c>
      <c r="B276" s="8" t="s">
        <v>1992</v>
      </c>
      <c r="C276" s="8" t="s">
        <v>3</v>
      </c>
      <c r="D276" s="8" t="s">
        <v>5</v>
      </c>
      <c r="E276" s="8" t="s">
        <v>41</v>
      </c>
      <c r="F276" s="8" t="s">
        <v>3</v>
      </c>
      <c r="G276" s="8" t="s">
        <v>3</v>
      </c>
      <c r="H276" s="8" t="s">
        <v>175</v>
      </c>
      <c r="I276" s="8" t="s">
        <v>43</v>
      </c>
      <c r="J276" s="8" t="s">
        <v>41</v>
      </c>
      <c r="K276" s="8" t="s">
        <v>5696</v>
      </c>
      <c r="L276" s="8" t="s">
        <v>110</v>
      </c>
      <c r="M276" s="11" t="s">
        <v>2617</v>
      </c>
      <c r="N276" s="8">
        <v>2</v>
      </c>
      <c r="O276" s="8">
        <v>0</v>
      </c>
      <c r="P276" s="8">
        <v>2</v>
      </c>
      <c r="Q276" s="8">
        <v>0</v>
      </c>
      <c r="R276" s="8">
        <v>0</v>
      </c>
      <c r="S276" s="8">
        <v>1</v>
      </c>
      <c r="T276" s="8">
        <v>0</v>
      </c>
      <c r="U276" s="8">
        <v>1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0</v>
      </c>
      <c r="AC276" s="19">
        <f t="shared" si="24"/>
        <v>0</v>
      </c>
      <c r="AD276" s="19">
        <f t="shared" si="25"/>
        <v>1</v>
      </c>
      <c r="AE276" s="19">
        <f t="shared" si="26"/>
        <v>1</v>
      </c>
      <c r="AF276" s="19">
        <f t="shared" si="27"/>
        <v>0</v>
      </c>
      <c r="AG276" s="19">
        <f t="shared" si="28"/>
        <v>0</v>
      </c>
      <c r="AH276" s="19">
        <f t="shared" si="29"/>
        <v>0</v>
      </c>
    </row>
    <row r="277" spans="1:34">
      <c r="A277" s="8" t="s">
        <v>410</v>
      </c>
      <c r="B277" s="8" t="s">
        <v>1992</v>
      </c>
      <c r="C277" s="8" t="s">
        <v>957</v>
      </c>
      <c r="D277" s="8" t="s">
        <v>5</v>
      </c>
      <c r="E277" s="8" t="s">
        <v>41</v>
      </c>
      <c r="F277" s="8" t="s">
        <v>4</v>
      </c>
      <c r="G277" s="8" t="s">
        <v>5</v>
      </c>
      <c r="H277" s="8" t="s">
        <v>4325</v>
      </c>
      <c r="I277" s="8" t="s">
        <v>43</v>
      </c>
      <c r="J277" s="8" t="s">
        <v>41</v>
      </c>
      <c r="K277" s="8" t="s">
        <v>5696</v>
      </c>
      <c r="L277" s="8" t="s">
        <v>110</v>
      </c>
      <c r="M277" s="11" t="s">
        <v>5474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8">
        <v>0</v>
      </c>
      <c r="AC277" s="19">
        <f t="shared" si="24"/>
        <v>0</v>
      </c>
      <c r="AD277" s="19">
        <f t="shared" si="25"/>
        <v>0</v>
      </c>
      <c r="AE277" s="19">
        <f t="shared" si="26"/>
        <v>0</v>
      </c>
      <c r="AF277" s="19">
        <f t="shared" si="27"/>
        <v>0</v>
      </c>
      <c r="AG277" s="19">
        <f t="shared" si="28"/>
        <v>0</v>
      </c>
      <c r="AH277" s="19">
        <f t="shared" si="29"/>
        <v>0</v>
      </c>
    </row>
    <row r="278" spans="1:34">
      <c r="A278" s="8" t="s">
        <v>411</v>
      </c>
      <c r="B278" s="8" t="s">
        <v>2619</v>
      </c>
      <c r="C278" s="8" t="s">
        <v>70</v>
      </c>
      <c r="D278" s="8" t="s">
        <v>3</v>
      </c>
      <c r="E278" s="8" t="s">
        <v>43</v>
      </c>
      <c r="F278" s="8" t="s">
        <v>304</v>
      </c>
      <c r="G278" s="8" t="s">
        <v>4</v>
      </c>
      <c r="H278" s="8" t="s">
        <v>626</v>
      </c>
      <c r="I278" s="8" t="s">
        <v>41</v>
      </c>
      <c r="J278" s="8" t="s">
        <v>43</v>
      </c>
      <c r="K278" s="8" t="s">
        <v>41</v>
      </c>
      <c r="L278" s="8" t="s">
        <v>110</v>
      </c>
      <c r="M278" s="11" t="s">
        <v>2620</v>
      </c>
      <c r="N278" s="8">
        <v>197</v>
      </c>
      <c r="O278" s="8">
        <v>122</v>
      </c>
      <c r="P278" s="8">
        <v>75</v>
      </c>
      <c r="Q278" s="8">
        <v>54</v>
      </c>
      <c r="R278" s="8">
        <v>33</v>
      </c>
      <c r="S278" s="8">
        <v>35</v>
      </c>
      <c r="T278" s="8">
        <v>20</v>
      </c>
      <c r="U278" s="8">
        <v>40</v>
      </c>
      <c r="V278" s="8">
        <v>28</v>
      </c>
      <c r="W278" s="8">
        <v>47</v>
      </c>
      <c r="X278" s="8">
        <v>25</v>
      </c>
      <c r="Y278" s="8">
        <v>21</v>
      </c>
      <c r="Z278" s="8">
        <v>16</v>
      </c>
      <c r="AA278" s="8">
        <v>0</v>
      </c>
      <c r="AB278" s="8">
        <v>0</v>
      </c>
      <c r="AC278" s="19">
        <f t="shared" si="24"/>
        <v>21</v>
      </c>
      <c r="AD278" s="19">
        <f t="shared" si="25"/>
        <v>15</v>
      </c>
      <c r="AE278" s="19">
        <f t="shared" si="26"/>
        <v>12</v>
      </c>
      <c r="AF278" s="19">
        <f t="shared" si="27"/>
        <v>22</v>
      </c>
      <c r="AG278" s="19">
        <f t="shared" si="28"/>
        <v>5</v>
      </c>
      <c r="AH278" s="19">
        <f t="shared" si="29"/>
        <v>0</v>
      </c>
    </row>
    <row r="279" spans="1:34">
      <c r="A279" s="8" t="s">
        <v>412</v>
      </c>
      <c r="B279" s="8" t="s">
        <v>2622</v>
      </c>
      <c r="C279" s="8" t="s">
        <v>5</v>
      </c>
      <c r="D279" s="8" t="s">
        <v>13</v>
      </c>
      <c r="E279" s="8" t="s">
        <v>43</v>
      </c>
      <c r="F279" s="8" t="s">
        <v>5</v>
      </c>
      <c r="G279" s="8" t="s">
        <v>5</v>
      </c>
      <c r="H279" s="8" t="s">
        <v>5671</v>
      </c>
      <c r="I279" s="8" t="s">
        <v>41</v>
      </c>
      <c r="J279" s="8" t="s">
        <v>41</v>
      </c>
      <c r="K279" s="8" t="s">
        <v>43</v>
      </c>
      <c r="L279" s="8" t="s">
        <v>110</v>
      </c>
      <c r="M279" s="11" t="s">
        <v>2623</v>
      </c>
      <c r="N279" s="8">
        <v>228</v>
      </c>
      <c r="O279" s="8">
        <v>133</v>
      </c>
      <c r="P279" s="8">
        <v>95</v>
      </c>
      <c r="Q279" s="8">
        <v>41</v>
      </c>
      <c r="R279" s="8">
        <v>30</v>
      </c>
      <c r="S279" s="8">
        <v>38</v>
      </c>
      <c r="T279" s="8">
        <v>23</v>
      </c>
      <c r="U279" s="8">
        <v>38</v>
      </c>
      <c r="V279" s="8">
        <v>22</v>
      </c>
      <c r="W279" s="8">
        <v>57</v>
      </c>
      <c r="X279" s="8">
        <v>28</v>
      </c>
      <c r="Y279" s="8">
        <v>54</v>
      </c>
      <c r="Z279" s="8">
        <v>30</v>
      </c>
      <c r="AA279" s="8">
        <v>0</v>
      </c>
      <c r="AB279" s="8">
        <v>0</v>
      </c>
      <c r="AC279" s="19">
        <f t="shared" si="24"/>
        <v>11</v>
      </c>
      <c r="AD279" s="19">
        <f t="shared" si="25"/>
        <v>15</v>
      </c>
      <c r="AE279" s="19">
        <f t="shared" si="26"/>
        <v>16</v>
      </c>
      <c r="AF279" s="19">
        <f t="shared" si="27"/>
        <v>29</v>
      </c>
      <c r="AG279" s="19">
        <f t="shared" si="28"/>
        <v>24</v>
      </c>
      <c r="AH279" s="19">
        <f t="shared" si="29"/>
        <v>0</v>
      </c>
    </row>
    <row r="280" spans="1:34">
      <c r="A280" s="8" t="s">
        <v>413</v>
      </c>
      <c r="B280" s="8" t="s">
        <v>1992</v>
      </c>
      <c r="C280" s="8" t="s">
        <v>9</v>
      </c>
      <c r="D280" s="8" t="s">
        <v>6</v>
      </c>
      <c r="E280" s="8" t="s">
        <v>110</v>
      </c>
      <c r="F280" s="8" t="s">
        <v>3</v>
      </c>
      <c r="G280" s="8" t="s">
        <v>3</v>
      </c>
      <c r="H280" s="8" t="s">
        <v>111</v>
      </c>
      <c r="I280" s="8" t="s">
        <v>43</v>
      </c>
      <c r="J280" s="8" t="s">
        <v>41</v>
      </c>
      <c r="K280" s="8" t="s">
        <v>5696</v>
      </c>
      <c r="L280" s="8" t="s">
        <v>110</v>
      </c>
      <c r="M280" s="11" t="s">
        <v>5475</v>
      </c>
      <c r="N280" s="8">
        <v>4</v>
      </c>
      <c r="O280" s="8">
        <v>2</v>
      </c>
      <c r="P280" s="8">
        <v>2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4</v>
      </c>
      <c r="X280" s="8">
        <v>2</v>
      </c>
      <c r="Y280" s="8">
        <v>0</v>
      </c>
      <c r="Z280" s="8">
        <v>0</v>
      </c>
      <c r="AA280" s="8">
        <v>0</v>
      </c>
      <c r="AB280" s="8">
        <v>0</v>
      </c>
      <c r="AC280" s="19">
        <f t="shared" si="24"/>
        <v>0</v>
      </c>
      <c r="AD280" s="19">
        <f t="shared" si="25"/>
        <v>0</v>
      </c>
      <c r="AE280" s="19">
        <f t="shared" si="26"/>
        <v>0</v>
      </c>
      <c r="AF280" s="19">
        <f t="shared" si="27"/>
        <v>2</v>
      </c>
      <c r="AG280" s="19">
        <f t="shared" si="28"/>
        <v>0</v>
      </c>
      <c r="AH280" s="19">
        <f t="shared" si="29"/>
        <v>0</v>
      </c>
    </row>
    <row r="281" spans="1:34">
      <c r="A281" s="8" t="s">
        <v>414</v>
      </c>
      <c r="B281" s="8" t="s">
        <v>1992</v>
      </c>
      <c r="C281" s="8" t="s">
        <v>5</v>
      </c>
      <c r="D281" s="8" t="s">
        <v>4</v>
      </c>
      <c r="E281" s="8" t="s">
        <v>43</v>
      </c>
      <c r="F281" s="8" t="s">
        <v>3</v>
      </c>
      <c r="G281" s="8" t="s">
        <v>13</v>
      </c>
      <c r="H281" s="8" t="s">
        <v>47</v>
      </c>
      <c r="I281" s="8" t="s">
        <v>43</v>
      </c>
      <c r="J281" s="8" t="s">
        <v>41</v>
      </c>
      <c r="K281" s="8" t="s">
        <v>5696</v>
      </c>
      <c r="L281" s="8" t="s">
        <v>110</v>
      </c>
      <c r="M281" s="11" t="s">
        <v>4497</v>
      </c>
      <c r="N281" s="8">
        <v>7</v>
      </c>
      <c r="O281" s="8">
        <v>6</v>
      </c>
      <c r="P281" s="8">
        <v>1</v>
      </c>
      <c r="Q281" s="8">
        <v>2</v>
      </c>
      <c r="R281" s="8">
        <v>2</v>
      </c>
      <c r="S281" s="8">
        <v>1</v>
      </c>
      <c r="T281" s="8">
        <v>1</v>
      </c>
      <c r="U281" s="8">
        <v>0</v>
      </c>
      <c r="V281" s="8">
        <v>0</v>
      </c>
      <c r="W281" s="8">
        <v>1</v>
      </c>
      <c r="X281" s="8">
        <v>1</v>
      </c>
      <c r="Y281" s="8">
        <v>3</v>
      </c>
      <c r="Z281" s="8">
        <v>2</v>
      </c>
      <c r="AA281" s="8">
        <v>0</v>
      </c>
      <c r="AB281" s="8">
        <v>0</v>
      </c>
      <c r="AC281" s="19">
        <f t="shared" si="24"/>
        <v>0</v>
      </c>
      <c r="AD281" s="19">
        <f t="shared" si="25"/>
        <v>0</v>
      </c>
      <c r="AE281" s="19">
        <f t="shared" si="26"/>
        <v>0</v>
      </c>
      <c r="AF281" s="19">
        <f t="shared" si="27"/>
        <v>0</v>
      </c>
      <c r="AG281" s="19">
        <f t="shared" si="28"/>
        <v>1</v>
      </c>
      <c r="AH281" s="19">
        <f t="shared" si="29"/>
        <v>0</v>
      </c>
    </row>
    <row r="282" spans="1:34">
      <c r="A282" s="8" t="s">
        <v>416</v>
      </c>
      <c r="B282" s="8" t="s">
        <v>2629</v>
      </c>
      <c r="C282" s="8" t="s">
        <v>11</v>
      </c>
      <c r="D282" s="8" t="s">
        <v>6</v>
      </c>
      <c r="E282" s="8" t="s">
        <v>126</v>
      </c>
      <c r="F282" s="8" t="s">
        <v>3</v>
      </c>
      <c r="G282" s="8" t="s">
        <v>4</v>
      </c>
      <c r="H282" s="8" t="s">
        <v>796</v>
      </c>
      <c r="I282" s="8" t="s">
        <v>41</v>
      </c>
      <c r="J282" s="8" t="s">
        <v>43</v>
      </c>
      <c r="K282" s="8" t="s">
        <v>41</v>
      </c>
      <c r="L282" s="8" t="s">
        <v>110</v>
      </c>
      <c r="M282" s="11" t="s">
        <v>2630</v>
      </c>
      <c r="N282" s="8">
        <v>106</v>
      </c>
      <c r="O282" s="8">
        <v>66</v>
      </c>
      <c r="P282" s="8">
        <v>40</v>
      </c>
      <c r="Q282" s="8">
        <v>13</v>
      </c>
      <c r="R282" s="8">
        <v>11</v>
      </c>
      <c r="S282" s="8">
        <v>33</v>
      </c>
      <c r="T282" s="8">
        <v>22</v>
      </c>
      <c r="U282" s="8">
        <v>12</v>
      </c>
      <c r="V282" s="8">
        <v>6</v>
      </c>
      <c r="W282" s="8">
        <v>33</v>
      </c>
      <c r="X282" s="8">
        <v>21</v>
      </c>
      <c r="Y282" s="8">
        <v>15</v>
      </c>
      <c r="Z282" s="8">
        <v>6</v>
      </c>
      <c r="AA282" s="8">
        <v>0</v>
      </c>
      <c r="AB282" s="8">
        <v>0</v>
      </c>
      <c r="AC282" s="19">
        <f t="shared" si="24"/>
        <v>2</v>
      </c>
      <c r="AD282" s="19">
        <f t="shared" si="25"/>
        <v>11</v>
      </c>
      <c r="AE282" s="19">
        <f t="shared" si="26"/>
        <v>6</v>
      </c>
      <c r="AF282" s="19">
        <f t="shared" si="27"/>
        <v>12</v>
      </c>
      <c r="AG282" s="19">
        <f t="shared" si="28"/>
        <v>9</v>
      </c>
      <c r="AH282" s="19">
        <f t="shared" si="29"/>
        <v>0</v>
      </c>
    </row>
    <row r="283" spans="1:34">
      <c r="A283" s="8" t="s">
        <v>1076</v>
      </c>
      <c r="B283" s="8" t="s">
        <v>1992</v>
      </c>
      <c r="C283" s="8" t="s">
        <v>12</v>
      </c>
      <c r="D283" s="8" t="s">
        <v>3</v>
      </c>
      <c r="E283" s="8" t="s">
        <v>126</v>
      </c>
      <c r="F283" s="8" t="s">
        <v>4</v>
      </c>
      <c r="G283" s="8" t="s">
        <v>3</v>
      </c>
      <c r="H283" s="8" t="s">
        <v>175</v>
      </c>
      <c r="I283" s="8" t="s">
        <v>43</v>
      </c>
      <c r="J283" s="8" t="s">
        <v>41</v>
      </c>
      <c r="K283" s="8" t="s">
        <v>41</v>
      </c>
      <c r="L283" s="8" t="s">
        <v>110</v>
      </c>
      <c r="M283" s="11" t="s">
        <v>3491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8">
        <v>0</v>
      </c>
      <c r="AC283" s="19">
        <f t="shared" si="24"/>
        <v>0</v>
      </c>
      <c r="AD283" s="19">
        <f t="shared" si="25"/>
        <v>0</v>
      </c>
      <c r="AE283" s="19">
        <f t="shared" si="26"/>
        <v>0</v>
      </c>
      <c r="AF283" s="19">
        <f t="shared" si="27"/>
        <v>0</v>
      </c>
      <c r="AG283" s="19">
        <f t="shared" si="28"/>
        <v>0</v>
      </c>
      <c r="AH283" s="19">
        <f t="shared" si="29"/>
        <v>0</v>
      </c>
    </row>
    <row r="284" spans="1:34">
      <c r="A284" s="8" t="s">
        <v>326</v>
      </c>
      <c r="B284" s="8" t="s">
        <v>2633</v>
      </c>
      <c r="C284" s="8" t="s">
        <v>107</v>
      </c>
      <c r="D284" s="8" t="s">
        <v>17</v>
      </c>
      <c r="E284" s="8" t="s">
        <v>80</v>
      </c>
      <c r="F284" s="8" t="s">
        <v>11</v>
      </c>
      <c r="G284" s="8" t="s">
        <v>8</v>
      </c>
      <c r="H284" s="8" t="s">
        <v>4157</v>
      </c>
      <c r="I284" s="8" t="s">
        <v>41</v>
      </c>
      <c r="J284" s="8" t="s">
        <v>43</v>
      </c>
      <c r="K284" s="8" t="s">
        <v>41</v>
      </c>
      <c r="L284" s="8" t="s">
        <v>110</v>
      </c>
      <c r="M284" s="11" t="s">
        <v>4063</v>
      </c>
      <c r="N284" s="8">
        <v>24</v>
      </c>
      <c r="O284" s="8">
        <v>19</v>
      </c>
      <c r="P284" s="8">
        <v>5</v>
      </c>
      <c r="Q284" s="8">
        <v>3</v>
      </c>
      <c r="R284" s="8">
        <v>2</v>
      </c>
      <c r="S284" s="8">
        <v>4</v>
      </c>
      <c r="T284" s="8">
        <v>3</v>
      </c>
      <c r="U284" s="8">
        <v>1</v>
      </c>
      <c r="V284" s="8">
        <v>0</v>
      </c>
      <c r="W284" s="8">
        <v>6</v>
      </c>
      <c r="X284" s="8">
        <v>5</v>
      </c>
      <c r="Y284" s="8">
        <v>10</v>
      </c>
      <c r="Z284" s="8">
        <v>9</v>
      </c>
      <c r="AA284" s="8">
        <v>0</v>
      </c>
      <c r="AB284" s="8">
        <v>0</v>
      </c>
      <c r="AC284" s="19">
        <f t="shared" si="24"/>
        <v>1</v>
      </c>
      <c r="AD284" s="19">
        <f t="shared" si="25"/>
        <v>1</v>
      </c>
      <c r="AE284" s="19">
        <f t="shared" si="26"/>
        <v>1</v>
      </c>
      <c r="AF284" s="19">
        <f t="shared" si="27"/>
        <v>1</v>
      </c>
      <c r="AG284" s="19">
        <f t="shared" si="28"/>
        <v>1</v>
      </c>
      <c r="AH284" s="19">
        <f t="shared" si="29"/>
        <v>0</v>
      </c>
    </row>
    <row r="285" spans="1:34">
      <c r="A285" s="8" t="s">
        <v>231</v>
      </c>
      <c r="B285" s="8" t="s">
        <v>1992</v>
      </c>
      <c r="C285" s="8" t="s">
        <v>18</v>
      </c>
      <c r="D285" s="8" t="s">
        <v>7</v>
      </c>
      <c r="E285" s="8" t="s">
        <v>80</v>
      </c>
      <c r="F285" s="8" t="s">
        <v>16</v>
      </c>
      <c r="G285" s="8" t="s">
        <v>3</v>
      </c>
      <c r="H285" s="8" t="s">
        <v>2634</v>
      </c>
      <c r="I285" s="8" t="s">
        <v>43</v>
      </c>
      <c r="J285" s="8" t="s">
        <v>41</v>
      </c>
      <c r="K285" s="8" t="s">
        <v>5696</v>
      </c>
      <c r="L285" s="8" t="s">
        <v>110</v>
      </c>
      <c r="M285" s="11" t="s">
        <v>4697</v>
      </c>
      <c r="N285" s="8">
        <v>12</v>
      </c>
      <c r="O285" s="8">
        <v>6</v>
      </c>
      <c r="P285" s="8">
        <v>6</v>
      </c>
      <c r="Q285" s="8">
        <v>8</v>
      </c>
      <c r="R285" s="8">
        <v>3</v>
      </c>
      <c r="S285" s="8">
        <v>1</v>
      </c>
      <c r="T285" s="8">
        <v>1</v>
      </c>
      <c r="U285" s="8">
        <v>0</v>
      </c>
      <c r="V285" s="8">
        <v>0</v>
      </c>
      <c r="W285" s="8">
        <v>3</v>
      </c>
      <c r="X285" s="8">
        <v>2</v>
      </c>
      <c r="Y285" s="8">
        <v>0</v>
      </c>
      <c r="Z285" s="8">
        <v>0</v>
      </c>
      <c r="AA285" s="8">
        <v>0</v>
      </c>
      <c r="AB285" s="8">
        <v>0</v>
      </c>
      <c r="AC285" s="19">
        <f t="shared" si="24"/>
        <v>5</v>
      </c>
      <c r="AD285" s="19">
        <f t="shared" si="25"/>
        <v>0</v>
      </c>
      <c r="AE285" s="19">
        <f t="shared" si="26"/>
        <v>0</v>
      </c>
      <c r="AF285" s="19">
        <f t="shared" si="27"/>
        <v>1</v>
      </c>
      <c r="AG285" s="19">
        <f t="shared" si="28"/>
        <v>0</v>
      </c>
      <c r="AH285" s="19">
        <f t="shared" si="29"/>
        <v>0</v>
      </c>
    </row>
    <row r="286" spans="1:34">
      <c r="A286" s="8" t="s">
        <v>176</v>
      </c>
      <c r="B286" s="8" t="s">
        <v>2636</v>
      </c>
      <c r="C286" s="8" t="s">
        <v>6</v>
      </c>
      <c r="D286" s="8" t="s">
        <v>7</v>
      </c>
      <c r="E286" s="8" t="s">
        <v>43</v>
      </c>
      <c r="F286" s="8" t="s">
        <v>8</v>
      </c>
      <c r="G286" s="8" t="s">
        <v>7</v>
      </c>
      <c r="H286" s="8" t="s">
        <v>195</v>
      </c>
      <c r="I286" s="8" t="s">
        <v>41</v>
      </c>
      <c r="J286" s="8" t="s">
        <v>41</v>
      </c>
      <c r="K286" s="8" t="s">
        <v>41</v>
      </c>
      <c r="L286" s="8" t="s">
        <v>110</v>
      </c>
      <c r="M286" s="11" t="s">
        <v>2637</v>
      </c>
      <c r="N286" s="8">
        <v>8</v>
      </c>
      <c r="O286" s="8">
        <v>3</v>
      </c>
      <c r="P286" s="8">
        <v>5</v>
      </c>
      <c r="Q286" s="8">
        <v>0</v>
      </c>
      <c r="R286" s="8">
        <v>0</v>
      </c>
      <c r="S286" s="8">
        <v>4</v>
      </c>
      <c r="T286" s="8">
        <v>1</v>
      </c>
      <c r="U286" s="8">
        <v>2</v>
      </c>
      <c r="V286" s="8">
        <v>1</v>
      </c>
      <c r="W286" s="8">
        <v>2</v>
      </c>
      <c r="X286" s="8">
        <v>1</v>
      </c>
      <c r="Y286" s="8">
        <v>0</v>
      </c>
      <c r="Z286" s="8">
        <v>0</v>
      </c>
      <c r="AA286" s="8">
        <v>0</v>
      </c>
      <c r="AB286" s="8">
        <v>0</v>
      </c>
      <c r="AC286" s="19">
        <f t="shared" si="24"/>
        <v>0</v>
      </c>
      <c r="AD286" s="19">
        <f t="shared" si="25"/>
        <v>3</v>
      </c>
      <c r="AE286" s="19">
        <f t="shared" si="26"/>
        <v>1</v>
      </c>
      <c r="AF286" s="19">
        <f t="shared" si="27"/>
        <v>1</v>
      </c>
      <c r="AG286" s="19">
        <f t="shared" si="28"/>
        <v>0</v>
      </c>
      <c r="AH286" s="19">
        <f t="shared" si="29"/>
        <v>0</v>
      </c>
    </row>
    <row r="287" spans="1:34">
      <c r="A287" s="8" t="s">
        <v>418</v>
      </c>
      <c r="B287" s="8" t="s">
        <v>2638</v>
      </c>
      <c r="C287" s="8" t="s">
        <v>304</v>
      </c>
      <c r="D287" s="8" t="s">
        <v>8</v>
      </c>
      <c r="E287" s="8" t="s">
        <v>68</v>
      </c>
      <c r="F287" s="8" t="s">
        <v>5</v>
      </c>
      <c r="G287" s="8" t="s">
        <v>7</v>
      </c>
      <c r="H287" s="8" t="s">
        <v>844</v>
      </c>
      <c r="I287" s="8" t="s">
        <v>41</v>
      </c>
      <c r="J287" s="8" t="s">
        <v>41</v>
      </c>
      <c r="K287" s="8" t="s">
        <v>41</v>
      </c>
      <c r="L287" s="8" t="s">
        <v>110</v>
      </c>
      <c r="M287" s="11" t="s">
        <v>3492</v>
      </c>
      <c r="N287" s="8">
        <v>249</v>
      </c>
      <c r="O287" s="8">
        <v>144</v>
      </c>
      <c r="P287" s="8">
        <v>105</v>
      </c>
      <c r="Q287" s="8">
        <v>78</v>
      </c>
      <c r="R287" s="8">
        <v>44</v>
      </c>
      <c r="S287" s="8">
        <v>63</v>
      </c>
      <c r="T287" s="8">
        <v>29</v>
      </c>
      <c r="U287" s="8">
        <v>42</v>
      </c>
      <c r="V287" s="8">
        <v>24</v>
      </c>
      <c r="W287" s="8">
        <v>40</v>
      </c>
      <c r="X287" s="8">
        <v>27</v>
      </c>
      <c r="Y287" s="8">
        <v>26</v>
      </c>
      <c r="Z287" s="8">
        <v>20</v>
      </c>
      <c r="AA287" s="8">
        <v>0</v>
      </c>
      <c r="AB287" s="8">
        <v>0</v>
      </c>
      <c r="AC287" s="19">
        <f t="shared" si="24"/>
        <v>34</v>
      </c>
      <c r="AD287" s="19">
        <f t="shared" si="25"/>
        <v>34</v>
      </c>
      <c r="AE287" s="19">
        <f t="shared" si="26"/>
        <v>18</v>
      </c>
      <c r="AF287" s="19">
        <f t="shared" si="27"/>
        <v>13</v>
      </c>
      <c r="AG287" s="19">
        <f t="shared" si="28"/>
        <v>6</v>
      </c>
      <c r="AH287" s="19">
        <f t="shared" si="29"/>
        <v>0</v>
      </c>
    </row>
    <row r="288" spans="1:34">
      <c r="A288" s="8" t="s">
        <v>419</v>
      </c>
      <c r="B288" s="8" t="s">
        <v>1992</v>
      </c>
      <c r="C288" s="8" t="s">
        <v>70</v>
      </c>
      <c r="D288" s="8" t="s">
        <v>5</v>
      </c>
      <c r="E288" s="8" t="s">
        <v>43</v>
      </c>
      <c r="F288" s="8" t="s">
        <v>13</v>
      </c>
      <c r="G288" s="8" t="s">
        <v>3</v>
      </c>
      <c r="H288" s="8" t="s">
        <v>132</v>
      </c>
      <c r="I288" s="8" t="s">
        <v>43</v>
      </c>
      <c r="J288" s="8" t="s">
        <v>41</v>
      </c>
      <c r="K288" s="8" t="s">
        <v>5696</v>
      </c>
      <c r="L288" s="8" t="s">
        <v>110</v>
      </c>
      <c r="M288" s="11" t="s">
        <v>4498</v>
      </c>
      <c r="N288" s="8">
        <v>3</v>
      </c>
      <c r="O288" s="8">
        <v>1</v>
      </c>
      <c r="P288" s="8">
        <v>2</v>
      </c>
      <c r="Q288" s="8">
        <v>0</v>
      </c>
      <c r="R288" s="8">
        <v>0</v>
      </c>
      <c r="S288" s="8">
        <v>2</v>
      </c>
      <c r="T288" s="8">
        <v>1</v>
      </c>
      <c r="U288" s="8">
        <v>0</v>
      </c>
      <c r="V288" s="8">
        <v>0</v>
      </c>
      <c r="W288" s="8">
        <v>1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19">
        <f t="shared" si="24"/>
        <v>0</v>
      </c>
      <c r="AD288" s="19">
        <f t="shared" si="25"/>
        <v>1</v>
      </c>
      <c r="AE288" s="19">
        <f t="shared" si="26"/>
        <v>0</v>
      </c>
      <c r="AF288" s="19">
        <f t="shared" si="27"/>
        <v>1</v>
      </c>
      <c r="AG288" s="19">
        <f t="shared" si="28"/>
        <v>0</v>
      </c>
      <c r="AH288" s="19">
        <f t="shared" si="29"/>
        <v>0</v>
      </c>
    </row>
    <row r="289" spans="1:34">
      <c r="A289" s="8" t="s">
        <v>1138</v>
      </c>
      <c r="B289" s="8" t="s">
        <v>1992</v>
      </c>
      <c r="C289" s="8" t="s">
        <v>3</v>
      </c>
      <c r="D289" s="8" t="s">
        <v>5</v>
      </c>
      <c r="E289" s="8" t="s">
        <v>41</v>
      </c>
      <c r="F289" s="8" t="s">
        <v>70</v>
      </c>
      <c r="G289" s="8" t="s">
        <v>3</v>
      </c>
      <c r="H289" s="8" t="s">
        <v>71</v>
      </c>
      <c r="I289" s="8" t="s">
        <v>43</v>
      </c>
      <c r="J289" s="8" t="s">
        <v>41</v>
      </c>
      <c r="K289" s="8" t="s">
        <v>5696</v>
      </c>
      <c r="L289" s="8" t="s">
        <v>110</v>
      </c>
      <c r="M289" s="11" t="s">
        <v>1830</v>
      </c>
      <c r="N289" s="8">
        <v>3</v>
      </c>
      <c r="O289" s="8">
        <v>2</v>
      </c>
      <c r="P289" s="8">
        <v>1</v>
      </c>
      <c r="Q289" s="8">
        <v>1</v>
      </c>
      <c r="R289" s="8">
        <v>1</v>
      </c>
      <c r="S289" s="8">
        <v>1</v>
      </c>
      <c r="T289" s="8">
        <v>1</v>
      </c>
      <c r="U289" s="8">
        <v>0</v>
      </c>
      <c r="V289" s="8">
        <v>0</v>
      </c>
      <c r="W289" s="8">
        <v>1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19">
        <f t="shared" si="24"/>
        <v>0</v>
      </c>
      <c r="AD289" s="19">
        <f t="shared" si="25"/>
        <v>0</v>
      </c>
      <c r="AE289" s="19">
        <f t="shared" si="26"/>
        <v>0</v>
      </c>
      <c r="AF289" s="19">
        <f t="shared" si="27"/>
        <v>1</v>
      </c>
      <c r="AG289" s="19">
        <f t="shared" si="28"/>
        <v>0</v>
      </c>
      <c r="AH289" s="19">
        <f t="shared" si="29"/>
        <v>0</v>
      </c>
    </row>
    <row r="290" spans="1:34">
      <c r="A290" s="8" t="s">
        <v>899</v>
      </c>
      <c r="B290" s="8" t="s">
        <v>1992</v>
      </c>
      <c r="C290" s="8" t="s">
        <v>5</v>
      </c>
      <c r="D290" s="8" t="s">
        <v>4</v>
      </c>
      <c r="E290" s="8" t="s">
        <v>43</v>
      </c>
      <c r="F290" s="8" t="s">
        <v>3</v>
      </c>
      <c r="G290" s="8" t="s">
        <v>13</v>
      </c>
      <c r="H290" s="8" t="s">
        <v>1825</v>
      </c>
      <c r="I290" s="8" t="s">
        <v>43</v>
      </c>
      <c r="J290" s="8" t="s">
        <v>41</v>
      </c>
      <c r="K290" s="8" t="s">
        <v>5696</v>
      </c>
      <c r="L290" s="8" t="s">
        <v>110</v>
      </c>
      <c r="M290" s="11" t="s">
        <v>732</v>
      </c>
      <c r="N290" s="8">
        <v>7</v>
      </c>
      <c r="O290" s="8">
        <v>2</v>
      </c>
      <c r="P290" s="8">
        <v>5</v>
      </c>
      <c r="Q290" s="8">
        <v>0</v>
      </c>
      <c r="R290" s="8">
        <v>0</v>
      </c>
      <c r="S290" s="8">
        <v>2</v>
      </c>
      <c r="T290" s="8">
        <v>1</v>
      </c>
      <c r="U290" s="8">
        <v>0</v>
      </c>
      <c r="V290" s="8">
        <v>0</v>
      </c>
      <c r="W290" s="8">
        <v>5</v>
      </c>
      <c r="X290" s="8">
        <v>1</v>
      </c>
      <c r="Y290" s="8">
        <v>0</v>
      </c>
      <c r="Z290" s="8">
        <v>0</v>
      </c>
      <c r="AA290" s="8">
        <v>0</v>
      </c>
      <c r="AB290" s="8">
        <v>0</v>
      </c>
      <c r="AC290" s="19">
        <f t="shared" si="24"/>
        <v>0</v>
      </c>
      <c r="AD290" s="19">
        <f t="shared" si="25"/>
        <v>1</v>
      </c>
      <c r="AE290" s="19">
        <f t="shared" si="26"/>
        <v>0</v>
      </c>
      <c r="AF290" s="19">
        <f t="shared" si="27"/>
        <v>4</v>
      </c>
      <c r="AG290" s="19">
        <f t="shared" si="28"/>
        <v>0</v>
      </c>
      <c r="AH290" s="19">
        <f t="shared" si="29"/>
        <v>0</v>
      </c>
    </row>
    <row r="291" spans="1:34">
      <c r="A291" s="8" t="s">
        <v>1142</v>
      </c>
      <c r="B291" s="8" t="s">
        <v>2643</v>
      </c>
      <c r="C291" s="8" t="s">
        <v>118</v>
      </c>
      <c r="D291" s="8" t="s">
        <v>3</v>
      </c>
      <c r="E291" s="8" t="s">
        <v>41</v>
      </c>
      <c r="F291" s="8" t="s">
        <v>388</v>
      </c>
      <c r="G291" s="8" t="s">
        <v>3</v>
      </c>
      <c r="H291" s="8" t="s">
        <v>2644</v>
      </c>
      <c r="I291" s="8" t="s">
        <v>41</v>
      </c>
      <c r="J291" s="8" t="s">
        <v>41</v>
      </c>
      <c r="K291" s="8" t="s">
        <v>43</v>
      </c>
      <c r="L291" s="8" t="s">
        <v>110</v>
      </c>
      <c r="M291" s="11" t="s">
        <v>4064</v>
      </c>
      <c r="N291" s="8">
        <v>83</v>
      </c>
      <c r="O291" s="8">
        <v>53</v>
      </c>
      <c r="P291" s="8">
        <v>30</v>
      </c>
      <c r="Q291" s="8">
        <v>3</v>
      </c>
      <c r="R291" s="8">
        <v>3</v>
      </c>
      <c r="S291" s="8">
        <v>4</v>
      </c>
      <c r="T291" s="8">
        <v>0</v>
      </c>
      <c r="U291" s="8">
        <v>11</v>
      </c>
      <c r="V291" s="8">
        <v>8</v>
      </c>
      <c r="W291" s="8">
        <v>37</v>
      </c>
      <c r="X291" s="8">
        <v>23</v>
      </c>
      <c r="Y291" s="8">
        <v>28</v>
      </c>
      <c r="Z291" s="8">
        <v>19</v>
      </c>
      <c r="AA291" s="8">
        <v>0</v>
      </c>
      <c r="AB291" s="8">
        <v>0</v>
      </c>
      <c r="AC291" s="19">
        <f t="shared" si="24"/>
        <v>0</v>
      </c>
      <c r="AD291" s="19">
        <f t="shared" si="25"/>
        <v>4</v>
      </c>
      <c r="AE291" s="19">
        <f t="shared" si="26"/>
        <v>3</v>
      </c>
      <c r="AF291" s="19">
        <f t="shared" si="27"/>
        <v>14</v>
      </c>
      <c r="AG291" s="19">
        <f t="shared" si="28"/>
        <v>9</v>
      </c>
      <c r="AH291" s="19">
        <f t="shared" si="29"/>
        <v>0</v>
      </c>
    </row>
    <row r="292" spans="1:34">
      <c r="A292" s="8" t="s">
        <v>942</v>
      </c>
      <c r="B292" s="8" t="s">
        <v>1992</v>
      </c>
      <c r="C292" s="8" t="s">
        <v>5</v>
      </c>
      <c r="D292" s="8" t="s">
        <v>7</v>
      </c>
      <c r="E292" s="8" t="s">
        <v>43</v>
      </c>
      <c r="F292" s="8" t="s">
        <v>3</v>
      </c>
      <c r="G292" s="8" t="s">
        <v>3</v>
      </c>
      <c r="H292" s="8" t="s">
        <v>42</v>
      </c>
      <c r="I292" s="8" t="s">
        <v>43</v>
      </c>
      <c r="J292" s="8" t="s">
        <v>41</v>
      </c>
      <c r="K292" s="8" t="s">
        <v>5696</v>
      </c>
      <c r="L292" s="8" t="s">
        <v>110</v>
      </c>
      <c r="M292" s="11" t="s">
        <v>2646</v>
      </c>
      <c r="N292" s="8">
        <v>3</v>
      </c>
      <c r="O292" s="8">
        <v>3</v>
      </c>
      <c r="P292" s="8">
        <v>0</v>
      </c>
      <c r="Q292" s="8">
        <v>1</v>
      </c>
      <c r="R292" s="8">
        <v>1</v>
      </c>
      <c r="S292" s="8">
        <v>0</v>
      </c>
      <c r="T292" s="8">
        <v>0</v>
      </c>
      <c r="U292" s="8">
        <v>0</v>
      </c>
      <c r="V292" s="8">
        <v>0</v>
      </c>
      <c r="W292" s="8">
        <v>1</v>
      </c>
      <c r="X292" s="8">
        <v>1</v>
      </c>
      <c r="Y292" s="8">
        <v>1</v>
      </c>
      <c r="Z292" s="8">
        <v>1</v>
      </c>
      <c r="AA292" s="8">
        <v>0</v>
      </c>
      <c r="AB292" s="8">
        <v>0</v>
      </c>
      <c r="AC292" s="19">
        <f t="shared" si="24"/>
        <v>0</v>
      </c>
      <c r="AD292" s="19">
        <f t="shared" si="25"/>
        <v>0</v>
      </c>
      <c r="AE292" s="19">
        <f t="shared" si="26"/>
        <v>0</v>
      </c>
      <c r="AF292" s="19">
        <f t="shared" si="27"/>
        <v>0</v>
      </c>
      <c r="AG292" s="19">
        <f t="shared" si="28"/>
        <v>0</v>
      </c>
      <c r="AH292" s="19">
        <f t="shared" si="29"/>
        <v>0</v>
      </c>
    </row>
    <row r="293" spans="1:34">
      <c r="A293" s="8" t="s">
        <v>425</v>
      </c>
      <c r="B293" s="8" t="s">
        <v>2648</v>
      </c>
      <c r="C293" s="8" t="s">
        <v>5</v>
      </c>
      <c r="D293" s="8" t="s">
        <v>5</v>
      </c>
      <c r="E293" s="8" t="s">
        <v>43</v>
      </c>
      <c r="F293" s="8" t="s">
        <v>3</v>
      </c>
      <c r="G293" s="8" t="s">
        <v>17</v>
      </c>
      <c r="H293" s="8" t="s">
        <v>502</v>
      </c>
      <c r="I293" s="8" t="s">
        <v>41</v>
      </c>
      <c r="J293" s="8" t="s">
        <v>41</v>
      </c>
      <c r="K293" s="8" t="s">
        <v>41</v>
      </c>
      <c r="L293" s="8" t="s">
        <v>110</v>
      </c>
      <c r="M293" s="11" t="s">
        <v>2649</v>
      </c>
      <c r="N293" s="8">
        <v>179</v>
      </c>
      <c r="O293" s="8">
        <v>111</v>
      </c>
      <c r="P293" s="8">
        <v>68</v>
      </c>
      <c r="Q293" s="8">
        <v>57</v>
      </c>
      <c r="R293" s="8">
        <v>34</v>
      </c>
      <c r="S293" s="8">
        <v>47</v>
      </c>
      <c r="T293" s="8">
        <v>30</v>
      </c>
      <c r="U293" s="8">
        <v>35</v>
      </c>
      <c r="V293" s="8">
        <v>21</v>
      </c>
      <c r="W293" s="8">
        <v>30</v>
      </c>
      <c r="X293" s="8">
        <v>18</v>
      </c>
      <c r="Y293" s="8">
        <v>10</v>
      </c>
      <c r="Z293" s="8">
        <v>8</v>
      </c>
      <c r="AA293" s="8">
        <v>0</v>
      </c>
      <c r="AB293" s="8">
        <v>0</v>
      </c>
      <c r="AC293" s="19">
        <f t="shared" si="24"/>
        <v>23</v>
      </c>
      <c r="AD293" s="19">
        <f t="shared" si="25"/>
        <v>17</v>
      </c>
      <c r="AE293" s="19">
        <f t="shared" si="26"/>
        <v>14</v>
      </c>
      <c r="AF293" s="19">
        <f t="shared" si="27"/>
        <v>12</v>
      </c>
      <c r="AG293" s="19">
        <f t="shared" si="28"/>
        <v>2</v>
      </c>
      <c r="AH293" s="19">
        <f t="shared" si="29"/>
        <v>0</v>
      </c>
    </row>
    <row r="294" spans="1:34">
      <c r="A294" s="8" t="s">
        <v>426</v>
      </c>
      <c r="B294" s="8" t="s">
        <v>1992</v>
      </c>
      <c r="C294" s="8" t="s">
        <v>5</v>
      </c>
      <c r="D294" s="8" t="s">
        <v>8</v>
      </c>
      <c r="E294" s="8" t="s">
        <v>43</v>
      </c>
      <c r="F294" s="8" t="s">
        <v>5</v>
      </c>
      <c r="G294" s="8" t="s">
        <v>3</v>
      </c>
      <c r="H294" s="8" t="s">
        <v>237</v>
      </c>
      <c r="I294" s="8" t="s">
        <v>43</v>
      </c>
      <c r="J294" s="8" t="s">
        <v>41</v>
      </c>
      <c r="K294" s="8" t="s">
        <v>5696</v>
      </c>
      <c r="L294" s="8" t="s">
        <v>110</v>
      </c>
      <c r="M294" s="11" t="s">
        <v>4698</v>
      </c>
      <c r="N294" s="8">
        <v>7</v>
      </c>
      <c r="O294" s="8">
        <v>5</v>
      </c>
      <c r="P294" s="8">
        <v>2</v>
      </c>
      <c r="Q294" s="8">
        <v>0</v>
      </c>
      <c r="R294" s="8">
        <v>0</v>
      </c>
      <c r="S294" s="8">
        <v>1</v>
      </c>
      <c r="T294" s="8">
        <v>1</v>
      </c>
      <c r="U294" s="8">
        <v>1</v>
      </c>
      <c r="V294" s="8">
        <v>0</v>
      </c>
      <c r="W294" s="8">
        <v>5</v>
      </c>
      <c r="X294" s="8">
        <v>4</v>
      </c>
      <c r="Y294" s="8">
        <v>0</v>
      </c>
      <c r="Z294" s="8">
        <v>0</v>
      </c>
      <c r="AA294" s="8">
        <v>0</v>
      </c>
      <c r="AB294" s="8">
        <v>0</v>
      </c>
      <c r="AC294" s="19">
        <f t="shared" si="24"/>
        <v>0</v>
      </c>
      <c r="AD294" s="19">
        <f t="shared" si="25"/>
        <v>0</v>
      </c>
      <c r="AE294" s="19">
        <f t="shared" si="26"/>
        <v>1</v>
      </c>
      <c r="AF294" s="19">
        <f t="shared" si="27"/>
        <v>1</v>
      </c>
      <c r="AG294" s="19">
        <f t="shared" si="28"/>
        <v>0</v>
      </c>
      <c r="AH294" s="19">
        <f t="shared" si="29"/>
        <v>0</v>
      </c>
    </row>
    <row r="295" spans="1:34">
      <c r="A295" s="8" t="s">
        <v>900</v>
      </c>
      <c r="B295" s="8" t="s">
        <v>1992</v>
      </c>
      <c r="C295" s="8" t="s">
        <v>5</v>
      </c>
      <c r="D295" s="8" t="s">
        <v>11</v>
      </c>
      <c r="E295" s="8" t="s">
        <v>43</v>
      </c>
      <c r="F295" s="8" t="s">
        <v>7</v>
      </c>
      <c r="G295" s="8" t="s">
        <v>3</v>
      </c>
      <c r="H295" s="8" t="s">
        <v>664</v>
      </c>
      <c r="I295" s="8" t="s">
        <v>43</v>
      </c>
      <c r="J295" s="8" t="s">
        <v>41</v>
      </c>
      <c r="K295" s="8" t="s">
        <v>5696</v>
      </c>
      <c r="L295" s="8" t="s">
        <v>110</v>
      </c>
      <c r="M295" s="11" t="s">
        <v>2651</v>
      </c>
      <c r="N295" s="8">
        <v>5</v>
      </c>
      <c r="O295" s="8">
        <v>4</v>
      </c>
      <c r="P295" s="8">
        <v>1</v>
      </c>
      <c r="Q295" s="8">
        <v>1</v>
      </c>
      <c r="R295" s="8">
        <v>1</v>
      </c>
      <c r="S295" s="8">
        <v>2</v>
      </c>
      <c r="T295" s="8">
        <v>1</v>
      </c>
      <c r="U295" s="8">
        <v>0</v>
      </c>
      <c r="V295" s="8">
        <v>0</v>
      </c>
      <c r="W295" s="8">
        <v>2</v>
      </c>
      <c r="X295" s="8">
        <v>2</v>
      </c>
      <c r="Y295" s="8">
        <v>0</v>
      </c>
      <c r="Z295" s="8">
        <v>0</v>
      </c>
      <c r="AA295" s="8">
        <v>0</v>
      </c>
      <c r="AB295" s="8">
        <v>0</v>
      </c>
      <c r="AC295" s="19">
        <f t="shared" si="24"/>
        <v>0</v>
      </c>
      <c r="AD295" s="19">
        <f t="shared" si="25"/>
        <v>1</v>
      </c>
      <c r="AE295" s="19">
        <f t="shared" si="26"/>
        <v>0</v>
      </c>
      <c r="AF295" s="19">
        <f t="shared" si="27"/>
        <v>0</v>
      </c>
      <c r="AG295" s="19">
        <f t="shared" si="28"/>
        <v>0</v>
      </c>
      <c r="AH295" s="19">
        <f t="shared" si="29"/>
        <v>0</v>
      </c>
    </row>
    <row r="296" spans="1:34">
      <c r="A296" s="8" t="s">
        <v>324</v>
      </c>
      <c r="B296" s="8" t="s">
        <v>1992</v>
      </c>
      <c r="C296" s="8" t="s">
        <v>16</v>
      </c>
      <c r="D296" s="8" t="s">
        <v>3</v>
      </c>
      <c r="E296" s="8" t="s">
        <v>126</v>
      </c>
      <c r="F296" s="8" t="s">
        <v>8</v>
      </c>
      <c r="G296" s="8" t="s">
        <v>3</v>
      </c>
      <c r="H296" s="8" t="s">
        <v>2517</v>
      </c>
      <c r="I296" s="8" t="s">
        <v>43</v>
      </c>
      <c r="J296" s="8" t="s">
        <v>41</v>
      </c>
      <c r="K296" s="8" t="s">
        <v>41</v>
      </c>
      <c r="L296" s="8" t="s">
        <v>110</v>
      </c>
      <c r="M296" s="11" t="s">
        <v>1753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0</v>
      </c>
      <c r="Z296" s="8">
        <v>0</v>
      </c>
      <c r="AA296" s="8">
        <v>0</v>
      </c>
      <c r="AB296" s="8">
        <v>0</v>
      </c>
      <c r="AC296" s="19">
        <f t="shared" si="24"/>
        <v>0</v>
      </c>
      <c r="AD296" s="19">
        <f t="shared" si="25"/>
        <v>0</v>
      </c>
      <c r="AE296" s="19">
        <f t="shared" si="26"/>
        <v>0</v>
      </c>
      <c r="AF296" s="19">
        <f t="shared" si="27"/>
        <v>0</v>
      </c>
      <c r="AG296" s="19">
        <f t="shared" si="28"/>
        <v>0</v>
      </c>
      <c r="AH296" s="19">
        <f t="shared" si="29"/>
        <v>0</v>
      </c>
    </row>
    <row r="297" spans="1:34">
      <c r="A297" s="8" t="s">
        <v>430</v>
      </c>
      <c r="B297" s="8" t="s">
        <v>1992</v>
      </c>
      <c r="C297" s="8" t="s">
        <v>9</v>
      </c>
      <c r="D297" s="8" t="s">
        <v>6</v>
      </c>
      <c r="E297" s="8" t="s">
        <v>110</v>
      </c>
      <c r="F297" s="8" t="s">
        <v>7</v>
      </c>
      <c r="G297" s="8" t="s">
        <v>6</v>
      </c>
      <c r="H297" s="8" t="s">
        <v>60</v>
      </c>
      <c r="I297" s="8" t="s">
        <v>43</v>
      </c>
      <c r="J297" s="8" t="s">
        <v>41</v>
      </c>
      <c r="K297" s="8" t="s">
        <v>5696</v>
      </c>
      <c r="L297" s="8" t="s">
        <v>110</v>
      </c>
      <c r="M297" s="11" t="s">
        <v>3493</v>
      </c>
      <c r="N297" s="8">
        <v>8</v>
      </c>
      <c r="O297" s="8">
        <v>4</v>
      </c>
      <c r="P297" s="8">
        <v>4</v>
      </c>
      <c r="Q297" s="8">
        <v>0</v>
      </c>
      <c r="R297" s="8">
        <v>0</v>
      </c>
      <c r="S297" s="8">
        <v>4</v>
      </c>
      <c r="T297" s="8">
        <v>4</v>
      </c>
      <c r="U297" s="8">
        <v>3</v>
      </c>
      <c r="V297" s="8">
        <v>0</v>
      </c>
      <c r="W297" s="8">
        <v>1</v>
      </c>
      <c r="X297" s="8">
        <v>0</v>
      </c>
      <c r="Y297" s="8">
        <v>0</v>
      </c>
      <c r="Z297" s="8">
        <v>0</v>
      </c>
      <c r="AA297" s="8">
        <v>0</v>
      </c>
      <c r="AB297" s="8">
        <v>0</v>
      </c>
      <c r="AC297" s="19">
        <f t="shared" si="24"/>
        <v>0</v>
      </c>
      <c r="AD297" s="19">
        <f t="shared" si="25"/>
        <v>0</v>
      </c>
      <c r="AE297" s="19">
        <f t="shared" si="26"/>
        <v>3</v>
      </c>
      <c r="AF297" s="19">
        <f t="shared" si="27"/>
        <v>1</v>
      </c>
      <c r="AG297" s="19">
        <f t="shared" si="28"/>
        <v>0</v>
      </c>
      <c r="AH297" s="19">
        <f t="shared" si="29"/>
        <v>0</v>
      </c>
    </row>
    <row r="298" spans="1:34">
      <c r="A298" s="8" t="s">
        <v>433</v>
      </c>
      <c r="B298" s="8" t="s">
        <v>2657</v>
      </c>
      <c r="C298" s="8" t="s">
        <v>8</v>
      </c>
      <c r="D298" s="8" t="s">
        <v>3</v>
      </c>
      <c r="E298" s="8" t="s">
        <v>56</v>
      </c>
      <c r="F298" s="8" t="s">
        <v>6</v>
      </c>
      <c r="G298" s="8" t="s">
        <v>5</v>
      </c>
      <c r="H298" s="8" t="s">
        <v>861</v>
      </c>
      <c r="I298" s="8" t="s">
        <v>41</v>
      </c>
      <c r="J298" s="8" t="s">
        <v>43</v>
      </c>
      <c r="K298" s="8" t="s">
        <v>41</v>
      </c>
      <c r="L298" s="8" t="s">
        <v>110</v>
      </c>
      <c r="M298" s="11" t="s">
        <v>2658</v>
      </c>
      <c r="N298" s="8">
        <v>29</v>
      </c>
      <c r="O298" s="8">
        <v>19</v>
      </c>
      <c r="P298" s="8">
        <v>10</v>
      </c>
      <c r="Q298" s="8">
        <v>6</v>
      </c>
      <c r="R298" s="8">
        <v>5</v>
      </c>
      <c r="S298" s="8">
        <v>10</v>
      </c>
      <c r="T298" s="8">
        <v>5</v>
      </c>
      <c r="U298" s="8">
        <v>3</v>
      </c>
      <c r="V298" s="8">
        <v>3</v>
      </c>
      <c r="W298" s="8">
        <v>6</v>
      </c>
      <c r="X298" s="8">
        <v>3</v>
      </c>
      <c r="Y298" s="8">
        <v>4</v>
      </c>
      <c r="Z298" s="8">
        <v>3</v>
      </c>
      <c r="AA298" s="8">
        <v>0</v>
      </c>
      <c r="AB298" s="8">
        <v>0</v>
      </c>
      <c r="AC298" s="19">
        <f t="shared" si="24"/>
        <v>1</v>
      </c>
      <c r="AD298" s="19">
        <f t="shared" si="25"/>
        <v>5</v>
      </c>
      <c r="AE298" s="19">
        <f t="shared" si="26"/>
        <v>0</v>
      </c>
      <c r="AF298" s="19">
        <f t="shared" si="27"/>
        <v>3</v>
      </c>
      <c r="AG298" s="19">
        <f t="shared" si="28"/>
        <v>1</v>
      </c>
      <c r="AH298" s="19">
        <f t="shared" si="29"/>
        <v>0</v>
      </c>
    </row>
    <row r="299" spans="1:34">
      <c r="A299" s="8" t="s">
        <v>434</v>
      </c>
      <c r="B299" s="8" t="s">
        <v>2660</v>
      </c>
      <c r="C299" s="8" t="s">
        <v>8</v>
      </c>
      <c r="D299" s="8" t="s">
        <v>4</v>
      </c>
      <c r="E299" s="8" t="s">
        <v>56</v>
      </c>
      <c r="F299" s="8" t="s">
        <v>7</v>
      </c>
      <c r="G299" s="8" t="s">
        <v>3</v>
      </c>
      <c r="H299" s="8" t="s">
        <v>3494</v>
      </c>
      <c r="I299" s="8" t="s">
        <v>41</v>
      </c>
      <c r="J299" s="8" t="s">
        <v>41</v>
      </c>
      <c r="K299" s="8" t="s">
        <v>41</v>
      </c>
      <c r="L299" s="8" t="s">
        <v>110</v>
      </c>
      <c r="M299" s="11" t="s">
        <v>2661</v>
      </c>
      <c r="N299" s="8">
        <v>3</v>
      </c>
      <c r="O299" s="8">
        <v>1</v>
      </c>
      <c r="P299" s="8">
        <v>2</v>
      </c>
      <c r="Q299" s="8">
        <v>0</v>
      </c>
      <c r="R299" s="8">
        <v>0</v>
      </c>
      <c r="S299" s="8">
        <v>1</v>
      </c>
      <c r="T299" s="8">
        <v>0</v>
      </c>
      <c r="U299" s="8">
        <v>0</v>
      </c>
      <c r="V299" s="8">
        <v>0</v>
      </c>
      <c r="W299" s="8">
        <v>2</v>
      </c>
      <c r="X299" s="8">
        <v>1</v>
      </c>
      <c r="Y299" s="8">
        <v>0</v>
      </c>
      <c r="Z299" s="8">
        <v>0</v>
      </c>
      <c r="AA299" s="8">
        <v>0</v>
      </c>
      <c r="AB299" s="8">
        <v>0</v>
      </c>
      <c r="AC299" s="19">
        <f t="shared" si="24"/>
        <v>0</v>
      </c>
      <c r="AD299" s="19">
        <f t="shared" si="25"/>
        <v>1</v>
      </c>
      <c r="AE299" s="19">
        <f t="shared" si="26"/>
        <v>0</v>
      </c>
      <c r="AF299" s="19">
        <f t="shared" si="27"/>
        <v>1</v>
      </c>
      <c r="AG299" s="19">
        <f t="shared" si="28"/>
        <v>0</v>
      </c>
      <c r="AH299" s="19">
        <f t="shared" si="29"/>
        <v>0</v>
      </c>
    </row>
    <row r="300" spans="1:34">
      <c r="A300" s="8" t="s">
        <v>435</v>
      </c>
      <c r="B300" s="8" t="s">
        <v>2663</v>
      </c>
      <c r="C300" s="8" t="s">
        <v>8</v>
      </c>
      <c r="D300" s="8" t="s">
        <v>5</v>
      </c>
      <c r="E300" s="8" t="s">
        <v>56</v>
      </c>
      <c r="F300" s="8" t="s">
        <v>7</v>
      </c>
      <c r="G300" s="8" t="s">
        <v>13</v>
      </c>
      <c r="H300" s="8" t="s">
        <v>773</v>
      </c>
      <c r="I300" s="8" t="s">
        <v>41</v>
      </c>
      <c r="J300" s="8" t="s">
        <v>43</v>
      </c>
      <c r="K300" s="8" t="s">
        <v>41</v>
      </c>
      <c r="L300" s="8" t="s">
        <v>110</v>
      </c>
      <c r="M300" s="11" t="s">
        <v>2664</v>
      </c>
      <c r="N300" s="8">
        <v>45</v>
      </c>
      <c r="O300" s="8">
        <v>32</v>
      </c>
      <c r="P300" s="8">
        <v>13</v>
      </c>
      <c r="Q300" s="8">
        <v>3</v>
      </c>
      <c r="R300" s="8">
        <v>1</v>
      </c>
      <c r="S300" s="8">
        <v>0</v>
      </c>
      <c r="T300" s="8">
        <v>0</v>
      </c>
      <c r="U300" s="8">
        <v>4</v>
      </c>
      <c r="V300" s="8">
        <v>3</v>
      </c>
      <c r="W300" s="8">
        <v>26</v>
      </c>
      <c r="X300" s="8">
        <v>17</v>
      </c>
      <c r="Y300" s="8">
        <v>12</v>
      </c>
      <c r="Z300" s="8">
        <v>11</v>
      </c>
      <c r="AA300" s="8">
        <v>0</v>
      </c>
      <c r="AB300" s="8">
        <v>0</v>
      </c>
      <c r="AC300" s="19">
        <f t="shared" si="24"/>
        <v>2</v>
      </c>
      <c r="AD300" s="19">
        <f t="shared" si="25"/>
        <v>0</v>
      </c>
      <c r="AE300" s="19">
        <f t="shared" si="26"/>
        <v>1</v>
      </c>
      <c r="AF300" s="19">
        <f t="shared" si="27"/>
        <v>9</v>
      </c>
      <c r="AG300" s="19">
        <f t="shared" si="28"/>
        <v>1</v>
      </c>
      <c r="AH300" s="19">
        <f t="shared" si="29"/>
        <v>0</v>
      </c>
    </row>
    <row r="301" spans="1:34">
      <c r="A301" s="8" t="s">
        <v>147</v>
      </c>
      <c r="B301" s="8" t="s">
        <v>1992</v>
      </c>
      <c r="C301" s="8" t="s">
        <v>3</v>
      </c>
      <c r="D301" s="8" t="s">
        <v>4</v>
      </c>
      <c r="E301" s="8" t="s">
        <v>41</v>
      </c>
      <c r="F301" s="8" t="s">
        <v>3</v>
      </c>
      <c r="G301" s="8" t="s">
        <v>3</v>
      </c>
      <c r="H301" s="8" t="s">
        <v>1727</v>
      </c>
      <c r="I301" s="8" t="s">
        <v>43</v>
      </c>
      <c r="J301" s="8" t="s">
        <v>41</v>
      </c>
      <c r="K301" s="8" t="s">
        <v>5696</v>
      </c>
      <c r="L301" s="8" t="s">
        <v>110</v>
      </c>
      <c r="M301" s="11" t="s">
        <v>1931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8">
        <v>0</v>
      </c>
      <c r="AC301" s="19">
        <f t="shared" si="24"/>
        <v>0</v>
      </c>
      <c r="AD301" s="19">
        <f t="shared" si="25"/>
        <v>0</v>
      </c>
      <c r="AE301" s="19">
        <f t="shared" si="26"/>
        <v>0</v>
      </c>
      <c r="AF301" s="19">
        <f t="shared" si="27"/>
        <v>0</v>
      </c>
      <c r="AG301" s="19">
        <f t="shared" si="28"/>
        <v>0</v>
      </c>
      <c r="AH301" s="19">
        <f t="shared" si="29"/>
        <v>0</v>
      </c>
    </row>
    <row r="302" spans="1:34">
      <c r="A302" s="8" t="s">
        <v>281</v>
      </c>
      <c r="B302" s="8" t="s">
        <v>2667</v>
      </c>
      <c r="C302" s="8" t="s">
        <v>754</v>
      </c>
      <c r="D302" s="8" t="s">
        <v>8</v>
      </c>
      <c r="E302" s="8" t="s">
        <v>68</v>
      </c>
      <c r="F302" s="8" t="s">
        <v>4</v>
      </c>
      <c r="G302" s="8" t="s">
        <v>8</v>
      </c>
      <c r="H302" s="8" t="s">
        <v>838</v>
      </c>
      <c r="I302" s="8" t="s">
        <v>41</v>
      </c>
      <c r="J302" s="8" t="s">
        <v>43</v>
      </c>
      <c r="K302" s="8" t="s">
        <v>41</v>
      </c>
      <c r="L302" s="8" t="s">
        <v>110</v>
      </c>
      <c r="M302" s="11" t="s">
        <v>2668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0</v>
      </c>
      <c r="W302" s="8">
        <v>0</v>
      </c>
      <c r="X302" s="8">
        <v>0</v>
      </c>
      <c r="Y302" s="8">
        <v>0</v>
      </c>
      <c r="Z302" s="8">
        <v>0</v>
      </c>
      <c r="AA302" s="8">
        <v>0</v>
      </c>
      <c r="AB302" s="8">
        <v>0</v>
      </c>
      <c r="AC302" s="19">
        <f t="shared" si="24"/>
        <v>0</v>
      </c>
      <c r="AD302" s="19">
        <f t="shared" si="25"/>
        <v>0</v>
      </c>
      <c r="AE302" s="19">
        <f t="shared" si="26"/>
        <v>0</v>
      </c>
      <c r="AF302" s="19">
        <f t="shared" si="27"/>
        <v>0</v>
      </c>
      <c r="AG302" s="19">
        <f t="shared" si="28"/>
        <v>0</v>
      </c>
      <c r="AH302" s="19">
        <f t="shared" si="29"/>
        <v>0</v>
      </c>
    </row>
    <row r="303" spans="1:34">
      <c r="A303" s="8" t="s">
        <v>436</v>
      </c>
      <c r="B303" s="8" t="s">
        <v>2669</v>
      </c>
      <c r="C303" s="8" t="s">
        <v>754</v>
      </c>
      <c r="D303" s="8" t="s">
        <v>8</v>
      </c>
      <c r="E303" s="8" t="s">
        <v>68</v>
      </c>
      <c r="F303" s="8" t="s">
        <v>4</v>
      </c>
      <c r="G303" s="8" t="s">
        <v>8</v>
      </c>
      <c r="H303" s="8" t="s">
        <v>2671</v>
      </c>
      <c r="I303" s="8" t="s">
        <v>41</v>
      </c>
      <c r="J303" s="8" t="s">
        <v>43</v>
      </c>
      <c r="K303" s="8" t="s">
        <v>41</v>
      </c>
      <c r="L303" s="8" t="s">
        <v>110</v>
      </c>
      <c r="M303" s="11" t="s">
        <v>2670</v>
      </c>
      <c r="N303" s="8">
        <v>79</v>
      </c>
      <c r="O303" s="8">
        <v>53</v>
      </c>
      <c r="P303" s="8">
        <v>26</v>
      </c>
      <c r="Q303" s="8">
        <v>25</v>
      </c>
      <c r="R303" s="8">
        <v>17</v>
      </c>
      <c r="S303" s="8">
        <v>18</v>
      </c>
      <c r="T303" s="8">
        <v>10</v>
      </c>
      <c r="U303" s="8">
        <v>15</v>
      </c>
      <c r="V303" s="8">
        <v>11</v>
      </c>
      <c r="W303" s="8">
        <v>21</v>
      </c>
      <c r="X303" s="8">
        <v>15</v>
      </c>
      <c r="Y303" s="8">
        <v>0</v>
      </c>
      <c r="Z303" s="8">
        <v>0</v>
      </c>
      <c r="AA303" s="8">
        <v>0</v>
      </c>
      <c r="AB303" s="8">
        <v>0</v>
      </c>
      <c r="AC303" s="19">
        <f t="shared" si="24"/>
        <v>8</v>
      </c>
      <c r="AD303" s="19">
        <f t="shared" si="25"/>
        <v>8</v>
      </c>
      <c r="AE303" s="19">
        <f t="shared" si="26"/>
        <v>4</v>
      </c>
      <c r="AF303" s="19">
        <f t="shared" si="27"/>
        <v>6</v>
      </c>
      <c r="AG303" s="19">
        <f t="shared" si="28"/>
        <v>0</v>
      </c>
      <c r="AH303" s="19">
        <f t="shared" si="29"/>
        <v>0</v>
      </c>
    </row>
    <row r="304" spans="1:34">
      <c r="A304" s="8" t="s">
        <v>439</v>
      </c>
      <c r="B304" s="8" t="s">
        <v>2673</v>
      </c>
      <c r="C304" s="8" t="s">
        <v>304</v>
      </c>
      <c r="D304" s="8" t="s">
        <v>4</v>
      </c>
      <c r="E304" s="8" t="s">
        <v>68</v>
      </c>
      <c r="F304" s="8" t="s">
        <v>3</v>
      </c>
      <c r="G304" s="8" t="s">
        <v>4</v>
      </c>
      <c r="H304" s="8" t="s">
        <v>840</v>
      </c>
      <c r="I304" s="8" t="s">
        <v>41</v>
      </c>
      <c r="J304" s="8" t="s">
        <v>43</v>
      </c>
      <c r="K304" s="8" t="s">
        <v>41</v>
      </c>
      <c r="L304" s="8" t="s">
        <v>110</v>
      </c>
      <c r="M304" s="11" t="s">
        <v>4065</v>
      </c>
      <c r="N304" s="8">
        <v>121</v>
      </c>
      <c r="O304" s="8">
        <v>67</v>
      </c>
      <c r="P304" s="8">
        <v>54</v>
      </c>
      <c r="Q304" s="8">
        <v>33</v>
      </c>
      <c r="R304" s="8">
        <v>23</v>
      </c>
      <c r="S304" s="8">
        <v>32</v>
      </c>
      <c r="T304" s="8">
        <v>13</v>
      </c>
      <c r="U304" s="8">
        <v>25</v>
      </c>
      <c r="V304" s="8">
        <v>11</v>
      </c>
      <c r="W304" s="8">
        <v>25</v>
      </c>
      <c r="X304" s="8">
        <v>17</v>
      </c>
      <c r="Y304" s="8">
        <v>6</v>
      </c>
      <c r="Z304" s="8">
        <v>3</v>
      </c>
      <c r="AA304" s="8">
        <v>0</v>
      </c>
      <c r="AB304" s="8">
        <v>0</v>
      </c>
      <c r="AC304" s="19">
        <f t="shared" si="24"/>
        <v>10</v>
      </c>
      <c r="AD304" s="19">
        <f t="shared" si="25"/>
        <v>19</v>
      </c>
      <c r="AE304" s="19">
        <f t="shared" si="26"/>
        <v>14</v>
      </c>
      <c r="AF304" s="19">
        <f t="shared" si="27"/>
        <v>8</v>
      </c>
      <c r="AG304" s="19">
        <f t="shared" si="28"/>
        <v>3</v>
      </c>
      <c r="AH304" s="19">
        <f t="shared" si="29"/>
        <v>0</v>
      </c>
    </row>
    <row r="305" spans="1:34">
      <c r="A305" s="8" t="s">
        <v>441</v>
      </c>
      <c r="B305" s="8" t="s">
        <v>2675</v>
      </c>
      <c r="C305" s="8" t="s">
        <v>959</v>
      </c>
      <c r="D305" s="8" t="s">
        <v>7</v>
      </c>
      <c r="E305" s="8" t="s">
        <v>68</v>
      </c>
      <c r="F305" s="8" t="s">
        <v>3</v>
      </c>
      <c r="G305" s="8" t="s">
        <v>4</v>
      </c>
      <c r="H305" s="8" t="s">
        <v>841</v>
      </c>
      <c r="I305" s="8" t="s">
        <v>41</v>
      </c>
      <c r="J305" s="8" t="s">
        <v>43</v>
      </c>
      <c r="K305" s="8" t="s">
        <v>41</v>
      </c>
      <c r="L305" s="8" t="s">
        <v>110</v>
      </c>
      <c r="M305" s="11" t="s">
        <v>5592</v>
      </c>
      <c r="N305" s="8">
        <v>75</v>
      </c>
      <c r="O305" s="8">
        <v>51</v>
      </c>
      <c r="P305" s="8">
        <v>24</v>
      </c>
      <c r="Q305" s="8">
        <v>9</v>
      </c>
      <c r="R305" s="8">
        <v>6</v>
      </c>
      <c r="S305" s="8">
        <v>26</v>
      </c>
      <c r="T305" s="8">
        <v>17</v>
      </c>
      <c r="U305" s="8">
        <v>15</v>
      </c>
      <c r="V305" s="8">
        <v>11</v>
      </c>
      <c r="W305" s="8">
        <v>15</v>
      </c>
      <c r="X305" s="8">
        <v>8</v>
      </c>
      <c r="Y305" s="8">
        <v>10</v>
      </c>
      <c r="Z305" s="8">
        <v>9</v>
      </c>
      <c r="AA305" s="8">
        <v>0</v>
      </c>
      <c r="AB305" s="8">
        <v>0</v>
      </c>
      <c r="AC305" s="19">
        <f t="shared" si="24"/>
        <v>3</v>
      </c>
      <c r="AD305" s="19">
        <f t="shared" si="25"/>
        <v>9</v>
      </c>
      <c r="AE305" s="19">
        <f t="shared" si="26"/>
        <v>4</v>
      </c>
      <c r="AF305" s="19">
        <f t="shared" si="27"/>
        <v>7</v>
      </c>
      <c r="AG305" s="19">
        <f t="shared" si="28"/>
        <v>1</v>
      </c>
      <c r="AH305" s="19">
        <f t="shared" si="29"/>
        <v>0</v>
      </c>
    </row>
    <row r="306" spans="1:34">
      <c r="A306" s="8" t="s">
        <v>443</v>
      </c>
      <c r="B306" s="8" t="s">
        <v>2676</v>
      </c>
      <c r="C306" s="8" t="s">
        <v>70</v>
      </c>
      <c r="D306" s="8" t="s">
        <v>13</v>
      </c>
      <c r="E306" s="8" t="s">
        <v>43</v>
      </c>
      <c r="F306" s="8" t="s">
        <v>118</v>
      </c>
      <c r="G306" s="8" t="s">
        <v>6</v>
      </c>
      <c r="H306" s="8" t="s">
        <v>67</v>
      </c>
      <c r="I306" s="8" t="s">
        <v>41</v>
      </c>
      <c r="J306" s="8" t="s">
        <v>43</v>
      </c>
      <c r="K306" s="8" t="s">
        <v>41</v>
      </c>
      <c r="L306" s="8" t="s">
        <v>110</v>
      </c>
      <c r="M306" s="11" t="s">
        <v>2677</v>
      </c>
      <c r="N306" s="8">
        <v>22</v>
      </c>
      <c r="O306" s="8">
        <v>13</v>
      </c>
      <c r="P306" s="8">
        <v>9</v>
      </c>
      <c r="Q306" s="8">
        <v>0</v>
      </c>
      <c r="R306" s="8">
        <v>0</v>
      </c>
      <c r="S306" s="8">
        <v>6</v>
      </c>
      <c r="T306" s="8">
        <v>5</v>
      </c>
      <c r="U306" s="8">
        <v>0</v>
      </c>
      <c r="V306" s="8">
        <v>0</v>
      </c>
      <c r="W306" s="8">
        <v>16</v>
      </c>
      <c r="X306" s="8">
        <v>8</v>
      </c>
      <c r="Y306" s="8">
        <v>0</v>
      </c>
      <c r="Z306" s="8">
        <v>0</v>
      </c>
      <c r="AA306" s="8">
        <v>0</v>
      </c>
      <c r="AB306" s="8">
        <v>0</v>
      </c>
      <c r="AC306" s="19">
        <f t="shared" si="24"/>
        <v>0</v>
      </c>
      <c r="AD306" s="19">
        <f t="shared" si="25"/>
        <v>1</v>
      </c>
      <c r="AE306" s="19">
        <f t="shared" si="26"/>
        <v>0</v>
      </c>
      <c r="AF306" s="19">
        <f t="shared" si="27"/>
        <v>8</v>
      </c>
      <c r="AG306" s="19">
        <f t="shared" si="28"/>
        <v>0</v>
      </c>
      <c r="AH306" s="19">
        <f t="shared" si="29"/>
        <v>0</v>
      </c>
    </row>
    <row r="307" spans="1:34">
      <c r="A307" s="8" t="s">
        <v>444</v>
      </c>
      <c r="B307" s="8" t="s">
        <v>2679</v>
      </c>
      <c r="C307" s="8" t="s">
        <v>953</v>
      </c>
      <c r="D307" s="8" t="s">
        <v>3</v>
      </c>
      <c r="E307" s="8" t="s">
        <v>110</v>
      </c>
      <c r="F307" s="8" t="s">
        <v>13</v>
      </c>
      <c r="G307" s="8" t="s">
        <v>4</v>
      </c>
      <c r="H307" s="8" t="s">
        <v>2680</v>
      </c>
      <c r="I307" s="8" t="s">
        <v>41</v>
      </c>
      <c r="J307" s="8" t="s">
        <v>43</v>
      </c>
      <c r="K307" s="8" t="s">
        <v>41</v>
      </c>
      <c r="L307" s="8" t="s">
        <v>110</v>
      </c>
      <c r="M307" s="11" t="s">
        <v>5593</v>
      </c>
      <c r="N307" s="8">
        <v>10</v>
      </c>
      <c r="O307" s="8">
        <v>7</v>
      </c>
      <c r="P307" s="8">
        <v>3</v>
      </c>
      <c r="Q307" s="8">
        <v>4</v>
      </c>
      <c r="R307" s="8">
        <v>3</v>
      </c>
      <c r="S307" s="8">
        <v>2</v>
      </c>
      <c r="T307" s="8">
        <v>1</v>
      </c>
      <c r="U307" s="8">
        <v>3</v>
      </c>
      <c r="V307" s="8">
        <v>2</v>
      </c>
      <c r="W307" s="8">
        <v>1</v>
      </c>
      <c r="X307" s="8">
        <v>1</v>
      </c>
      <c r="Y307" s="8">
        <v>0</v>
      </c>
      <c r="Z307" s="8">
        <v>0</v>
      </c>
      <c r="AA307" s="8">
        <v>0</v>
      </c>
      <c r="AB307" s="8">
        <v>0</v>
      </c>
      <c r="AC307" s="19">
        <f t="shared" si="24"/>
        <v>1</v>
      </c>
      <c r="AD307" s="19">
        <f t="shared" si="25"/>
        <v>1</v>
      </c>
      <c r="AE307" s="19">
        <f t="shared" si="26"/>
        <v>1</v>
      </c>
      <c r="AF307" s="19">
        <f t="shared" si="27"/>
        <v>0</v>
      </c>
      <c r="AG307" s="19">
        <f t="shared" si="28"/>
        <v>0</v>
      </c>
      <c r="AH307" s="19">
        <f t="shared" si="29"/>
        <v>0</v>
      </c>
    </row>
    <row r="308" spans="1:34">
      <c r="A308" s="8" t="s">
        <v>1776</v>
      </c>
      <c r="B308" s="8" t="s">
        <v>2681</v>
      </c>
      <c r="C308" s="8" t="s">
        <v>70</v>
      </c>
      <c r="D308" s="8" t="s">
        <v>18</v>
      </c>
      <c r="E308" s="8" t="s">
        <v>43</v>
      </c>
      <c r="F308" s="8" t="s">
        <v>13</v>
      </c>
      <c r="G308" s="8" t="s">
        <v>18</v>
      </c>
      <c r="H308" s="8" t="s">
        <v>737</v>
      </c>
      <c r="I308" s="8" t="s">
        <v>41</v>
      </c>
      <c r="J308" s="8" t="s">
        <v>43</v>
      </c>
      <c r="K308" s="8" t="s">
        <v>41</v>
      </c>
      <c r="L308" s="8" t="s">
        <v>110</v>
      </c>
      <c r="M308" s="11" t="s">
        <v>2682</v>
      </c>
      <c r="N308" s="8">
        <v>16</v>
      </c>
      <c r="O308" s="8">
        <v>14</v>
      </c>
      <c r="P308" s="8">
        <v>2</v>
      </c>
      <c r="Q308" s="8">
        <v>5</v>
      </c>
      <c r="R308" s="8">
        <v>3</v>
      </c>
      <c r="S308" s="8">
        <v>2</v>
      </c>
      <c r="T308" s="8">
        <v>2</v>
      </c>
      <c r="U308" s="8">
        <v>3</v>
      </c>
      <c r="V308" s="8">
        <v>3</v>
      </c>
      <c r="W308" s="8">
        <v>2</v>
      </c>
      <c r="X308" s="8">
        <v>2</v>
      </c>
      <c r="Y308" s="8">
        <v>4</v>
      </c>
      <c r="Z308" s="8">
        <v>4</v>
      </c>
      <c r="AA308" s="8">
        <v>0</v>
      </c>
      <c r="AB308" s="8">
        <v>0</v>
      </c>
      <c r="AC308" s="19">
        <f t="shared" si="24"/>
        <v>2</v>
      </c>
      <c r="AD308" s="19">
        <f t="shared" si="25"/>
        <v>0</v>
      </c>
      <c r="AE308" s="19">
        <f t="shared" si="26"/>
        <v>0</v>
      </c>
      <c r="AF308" s="19">
        <f t="shared" si="27"/>
        <v>0</v>
      </c>
      <c r="AG308" s="19">
        <f t="shared" si="28"/>
        <v>0</v>
      </c>
      <c r="AH308" s="19">
        <f t="shared" si="29"/>
        <v>0</v>
      </c>
    </row>
    <row r="309" spans="1:34">
      <c r="A309" s="8" t="s">
        <v>445</v>
      </c>
      <c r="B309" s="8" t="s">
        <v>2684</v>
      </c>
      <c r="C309" s="8" t="s">
        <v>8</v>
      </c>
      <c r="D309" s="8" t="s">
        <v>7</v>
      </c>
      <c r="E309" s="8" t="s">
        <v>56</v>
      </c>
      <c r="F309" s="8" t="s">
        <v>7</v>
      </c>
      <c r="G309" s="8" t="s">
        <v>17</v>
      </c>
      <c r="H309" s="8" t="s">
        <v>772</v>
      </c>
      <c r="I309" s="8" t="s">
        <v>41</v>
      </c>
      <c r="J309" s="8" t="s">
        <v>43</v>
      </c>
      <c r="K309" s="8" t="s">
        <v>41</v>
      </c>
      <c r="L309" s="8" t="s">
        <v>110</v>
      </c>
      <c r="M309" s="11" t="s">
        <v>2685</v>
      </c>
      <c r="N309" s="8">
        <v>48</v>
      </c>
      <c r="O309" s="8">
        <v>33</v>
      </c>
      <c r="P309" s="8">
        <v>15</v>
      </c>
      <c r="Q309" s="8">
        <v>15</v>
      </c>
      <c r="R309" s="8">
        <v>13</v>
      </c>
      <c r="S309" s="8">
        <v>6</v>
      </c>
      <c r="T309" s="8">
        <v>3</v>
      </c>
      <c r="U309" s="8">
        <v>7</v>
      </c>
      <c r="V309" s="8">
        <v>4</v>
      </c>
      <c r="W309" s="8">
        <v>12</v>
      </c>
      <c r="X309" s="8">
        <v>8</v>
      </c>
      <c r="Y309" s="8">
        <v>8</v>
      </c>
      <c r="Z309" s="8">
        <v>5</v>
      </c>
      <c r="AA309" s="8">
        <v>0</v>
      </c>
      <c r="AB309" s="8">
        <v>0</v>
      </c>
      <c r="AC309" s="19">
        <f t="shared" si="24"/>
        <v>2</v>
      </c>
      <c r="AD309" s="19">
        <f t="shared" si="25"/>
        <v>3</v>
      </c>
      <c r="AE309" s="19">
        <f t="shared" si="26"/>
        <v>3</v>
      </c>
      <c r="AF309" s="19">
        <f t="shared" si="27"/>
        <v>4</v>
      </c>
      <c r="AG309" s="19">
        <f t="shared" si="28"/>
        <v>3</v>
      </c>
      <c r="AH309" s="19">
        <f t="shared" si="29"/>
        <v>0</v>
      </c>
    </row>
    <row r="310" spans="1:34">
      <c r="A310" s="8" t="s">
        <v>1777</v>
      </c>
      <c r="B310" s="8" t="s">
        <v>2686</v>
      </c>
      <c r="C310" s="8" t="s">
        <v>118</v>
      </c>
      <c r="D310" s="8" t="s">
        <v>4</v>
      </c>
      <c r="E310" s="8" t="s">
        <v>41</v>
      </c>
      <c r="F310" s="8" t="s">
        <v>388</v>
      </c>
      <c r="G310" s="8" t="s">
        <v>16</v>
      </c>
      <c r="H310" s="8" t="s">
        <v>60</v>
      </c>
      <c r="I310" s="8" t="s">
        <v>41</v>
      </c>
      <c r="J310" s="8" t="s">
        <v>43</v>
      </c>
      <c r="K310" s="8" t="s">
        <v>41</v>
      </c>
      <c r="L310" s="8" t="s">
        <v>110</v>
      </c>
      <c r="M310" s="11" t="s">
        <v>4066</v>
      </c>
      <c r="N310" s="8">
        <v>12</v>
      </c>
      <c r="O310" s="8">
        <v>7</v>
      </c>
      <c r="P310" s="8">
        <v>5</v>
      </c>
      <c r="Q310" s="8">
        <v>8</v>
      </c>
      <c r="R310" s="8">
        <v>5</v>
      </c>
      <c r="S310" s="8">
        <v>2</v>
      </c>
      <c r="T310" s="8">
        <v>0</v>
      </c>
      <c r="U310" s="8">
        <v>0</v>
      </c>
      <c r="V310" s="8">
        <v>0</v>
      </c>
      <c r="W310" s="8">
        <v>2</v>
      </c>
      <c r="X310" s="8">
        <v>2</v>
      </c>
      <c r="Y310" s="8">
        <v>0</v>
      </c>
      <c r="Z310" s="8">
        <v>0</v>
      </c>
      <c r="AA310" s="8">
        <v>0</v>
      </c>
      <c r="AB310" s="8">
        <v>0</v>
      </c>
      <c r="AC310" s="19">
        <f t="shared" si="24"/>
        <v>3</v>
      </c>
      <c r="AD310" s="19">
        <f t="shared" si="25"/>
        <v>2</v>
      </c>
      <c r="AE310" s="19">
        <f t="shared" si="26"/>
        <v>0</v>
      </c>
      <c r="AF310" s="19">
        <f t="shared" si="27"/>
        <v>0</v>
      </c>
      <c r="AG310" s="19">
        <f t="shared" si="28"/>
        <v>0</v>
      </c>
      <c r="AH310" s="19">
        <f t="shared" si="29"/>
        <v>0</v>
      </c>
    </row>
    <row r="311" spans="1:34">
      <c r="A311" s="8" t="s">
        <v>1725</v>
      </c>
      <c r="B311" s="8" t="s">
        <v>1992</v>
      </c>
      <c r="C311" s="8" t="s">
        <v>304</v>
      </c>
      <c r="D311" s="8" t="s">
        <v>11</v>
      </c>
      <c r="E311" s="8" t="s">
        <v>68</v>
      </c>
      <c r="F311" s="8" t="s">
        <v>6</v>
      </c>
      <c r="G311" s="8" t="s">
        <v>5</v>
      </c>
      <c r="H311" s="8" t="s">
        <v>853</v>
      </c>
      <c r="I311" s="8" t="s">
        <v>43</v>
      </c>
      <c r="J311" s="8" t="s">
        <v>43</v>
      </c>
      <c r="K311" s="8" t="s">
        <v>5696</v>
      </c>
      <c r="L311" s="8" t="s">
        <v>110</v>
      </c>
      <c r="M311" s="11" t="s">
        <v>1850</v>
      </c>
      <c r="N311" s="8">
        <v>6</v>
      </c>
      <c r="O311" s="8">
        <v>2</v>
      </c>
      <c r="P311" s="8">
        <v>4</v>
      </c>
      <c r="Q311" s="8">
        <v>6</v>
      </c>
      <c r="R311" s="8">
        <v>2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0</v>
      </c>
      <c r="Z311" s="8">
        <v>0</v>
      </c>
      <c r="AA311" s="8">
        <v>0</v>
      </c>
      <c r="AB311" s="8">
        <v>0</v>
      </c>
      <c r="AC311" s="19">
        <f t="shared" si="24"/>
        <v>4</v>
      </c>
      <c r="AD311" s="19">
        <f t="shared" si="25"/>
        <v>0</v>
      </c>
      <c r="AE311" s="19">
        <f t="shared" si="26"/>
        <v>0</v>
      </c>
      <c r="AF311" s="19">
        <f t="shared" si="27"/>
        <v>0</v>
      </c>
      <c r="AG311" s="19">
        <f t="shared" si="28"/>
        <v>0</v>
      </c>
      <c r="AH311" s="19">
        <f t="shared" si="29"/>
        <v>0</v>
      </c>
    </row>
    <row r="312" spans="1:34">
      <c r="A312" s="8" t="s">
        <v>295</v>
      </c>
      <c r="B312" s="8" t="s">
        <v>2688</v>
      </c>
      <c r="C312" s="8" t="s">
        <v>118</v>
      </c>
      <c r="D312" s="8" t="s">
        <v>13</v>
      </c>
      <c r="E312" s="8" t="s">
        <v>41</v>
      </c>
      <c r="F312" s="8" t="s">
        <v>388</v>
      </c>
      <c r="G312" s="8" t="s">
        <v>3</v>
      </c>
      <c r="H312" s="8" t="s">
        <v>427</v>
      </c>
      <c r="I312" s="8" t="s">
        <v>41</v>
      </c>
      <c r="J312" s="8" t="s">
        <v>41</v>
      </c>
      <c r="K312" s="8" t="s">
        <v>41</v>
      </c>
      <c r="L312" s="8" t="s">
        <v>110</v>
      </c>
      <c r="M312" s="11" t="s">
        <v>2689</v>
      </c>
      <c r="N312" s="8">
        <v>6</v>
      </c>
      <c r="O312" s="8">
        <v>6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v>0</v>
      </c>
      <c r="V312" s="8">
        <v>0</v>
      </c>
      <c r="W312" s="8">
        <v>6</v>
      </c>
      <c r="X312" s="8">
        <v>6</v>
      </c>
      <c r="Y312" s="8">
        <v>0</v>
      </c>
      <c r="Z312" s="8">
        <v>0</v>
      </c>
      <c r="AA312" s="8">
        <v>0</v>
      </c>
      <c r="AB312" s="8">
        <v>0</v>
      </c>
      <c r="AC312" s="19">
        <f t="shared" si="24"/>
        <v>0</v>
      </c>
      <c r="AD312" s="19">
        <f t="shared" si="25"/>
        <v>0</v>
      </c>
      <c r="AE312" s="19">
        <f t="shared" si="26"/>
        <v>0</v>
      </c>
      <c r="AF312" s="19">
        <f t="shared" si="27"/>
        <v>0</v>
      </c>
      <c r="AG312" s="19">
        <f t="shared" si="28"/>
        <v>0</v>
      </c>
      <c r="AH312" s="19">
        <f t="shared" si="29"/>
        <v>0</v>
      </c>
    </row>
    <row r="313" spans="1:34">
      <c r="A313" s="8" t="s">
        <v>447</v>
      </c>
      <c r="B313" s="8" t="s">
        <v>2690</v>
      </c>
      <c r="C313" s="8" t="s">
        <v>118</v>
      </c>
      <c r="D313" s="8" t="s">
        <v>6</v>
      </c>
      <c r="E313" s="8" t="s">
        <v>80</v>
      </c>
      <c r="F313" s="8" t="s">
        <v>7</v>
      </c>
      <c r="G313" s="8" t="s">
        <v>6</v>
      </c>
      <c r="H313" s="8" t="s">
        <v>2692</v>
      </c>
      <c r="I313" s="8" t="s">
        <v>41</v>
      </c>
      <c r="J313" s="8" t="s">
        <v>43</v>
      </c>
      <c r="K313" s="8" t="s">
        <v>41</v>
      </c>
      <c r="L313" s="8" t="s">
        <v>110</v>
      </c>
      <c r="M313" s="11" t="s">
        <v>2691</v>
      </c>
      <c r="N313" s="8">
        <v>92</v>
      </c>
      <c r="O313" s="8">
        <v>57</v>
      </c>
      <c r="P313" s="8">
        <v>35</v>
      </c>
      <c r="Q313" s="8">
        <v>15</v>
      </c>
      <c r="R313" s="8">
        <v>8</v>
      </c>
      <c r="S313" s="8">
        <v>20</v>
      </c>
      <c r="T313" s="8">
        <v>13</v>
      </c>
      <c r="U313" s="8">
        <v>22</v>
      </c>
      <c r="V313" s="8">
        <v>16</v>
      </c>
      <c r="W313" s="8">
        <v>21</v>
      </c>
      <c r="X313" s="8">
        <v>11</v>
      </c>
      <c r="Y313" s="8">
        <v>14</v>
      </c>
      <c r="Z313" s="8">
        <v>9</v>
      </c>
      <c r="AA313" s="8">
        <v>0</v>
      </c>
      <c r="AB313" s="8">
        <v>0</v>
      </c>
      <c r="AC313" s="19">
        <f t="shared" si="24"/>
        <v>7</v>
      </c>
      <c r="AD313" s="19">
        <f t="shared" si="25"/>
        <v>7</v>
      </c>
      <c r="AE313" s="19">
        <f t="shared" si="26"/>
        <v>6</v>
      </c>
      <c r="AF313" s="19">
        <f t="shared" si="27"/>
        <v>10</v>
      </c>
      <c r="AG313" s="19">
        <f t="shared" si="28"/>
        <v>5</v>
      </c>
      <c r="AH313" s="19">
        <f t="shared" si="29"/>
        <v>0</v>
      </c>
    </row>
    <row r="314" spans="1:34">
      <c r="A314" s="8" t="s">
        <v>449</v>
      </c>
      <c r="B314" s="8" t="s">
        <v>2693</v>
      </c>
      <c r="C314" s="8" t="s">
        <v>118</v>
      </c>
      <c r="D314" s="8" t="s">
        <v>7</v>
      </c>
      <c r="E314" s="8" t="s">
        <v>41</v>
      </c>
      <c r="F314" s="8" t="s">
        <v>388</v>
      </c>
      <c r="G314" s="8" t="s">
        <v>6</v>
      </c>
      <c r="H314" s="8" t="s">
        <v>4161</v>
      </c>
      <c r="I314" s="8" t="s">
        <v>41</v>
      </c>
      <c r="J314" s="8" t="s">
        <v>43</v>
      </c>
      <c r="K314" s="8" t="s">
        <v>41</v>
      </c>
      <c r="L314" s="8" t="s">
        <v>110</v>
      </c>
      <c r="M314" s="11" t="s">
        <v>4067</v>
      </c>
      <c r="N314" s="8">
        <v>11</v>
      </c>
      <c r="O314" s="8">
        <v>7</v>
      </c>
      <c r="P314" s="8">
        <v>4</v>
      </c>
      <c r="Q314" s="8">
        <v>2</v>
      </c>
      <c r="R314" s="8">
        <v>1</v>
      </c>
      <c r="S314" s="8">
        <v>2</v>
      </c>
      <c r="T314" s="8">
        <v>1</v>
      </c>
      <c r="U314" s="8">
        <v>2</v>
      </c>
      <c r="V314" s="8">
        <v>2</v>
      </c>
      <c r="W314" s="8">
        <v>5</v>
      </c>
      <c r="X314" s="8">
        <v>3</v>
      </c>
      <c r="Y314" s="8">
        <v>0</v>
      </c>
      <c r="Z314" s="8">
        <v>0</v>
      </c>
      <c r="AA314" s="8">
        <v>0</v>
      </c>
      <c r="AB314" s="8">
        <v>0</v>
      </c>
      <c r="AC314" s="19">
        <f t="shared" si="24"/>
        <v>1</v>
      </c>
      <c r="AD314" s="19">
        <f t="shared" si="25"/>
        <v>1</v>
      </c>
      <c r="AE314" s="19">
        <f t="shared" si="26"/>
        <v>0</v>
      </c>
      <c r="AF314" s="19">
        <f t="shared" si="27"/>
        <v>2</v>
      </c>
      <c r="AG314" s="19">
        <f t="shared" si="28"/>
        <v>0</v>
      </c>
      <c r="AH314" s="19">
        <f t="shared" si="29"/>
        <v>0</v>
      </c>
    </row>
    <row r="315" spans="1:34">
      <c r="A315" s="8" t="s">
        <v>451</v>
      </c>
      <c r="B315" s="8" t="s">
        <v>2696</v>
      </c>
      <c r="C315" s="8" t="s">
        <v>954</v>
      </c>
      <c r="D315" s="8" t="s">
        <v>3</v>
      </c>
      <c r="E315" s="8" t="s">
        <v>80</v>
      </c>
      <c r="F315" s="8" t="s">
        <v>5</v>
      </c>
      <c r="G315" s="8" t="s">
        <v>3</v>
      </c>
      <c r="H315" s="8" t="s">
        <v>417</v>
      </c>
      <c r="I315" s="8" t="s">
        <v>41</v>
      </c>
      <c r="J315" s="8" t="s">
        <v>41</v>
      </c>
      <c r="K315" s="8" t="s">
        <v>41</v>
      </c>
      <c r="L315" s="8" t="s">
        <v>110</v>
      </c>
      <c r="M315" s="11" t="s">
        <v>3495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0</v>
      </c>
      <c r="Z315" s="8">
        <v>0</v>
      </c>
      <c r="AA315" s="8">
        <v>0</v>
      </c>
      <c r="AB315" s="8">
        <v>0</v>
      </c>
      <c r="AC315" s="19">
        <f t="shared" si="24"/>
        <v>0</v>
      </c>
      <c r="AD315" s="19">
        <f t="shared" si="25"/>
        <v>0</v>
      </c>
      <c r="AE315" s="19">
        <f t="shared" si="26"/>
        <v>0</v>
      </c>
      <c r="AF315" s="19">
        <f t="shared" si="27"/>
        <v>0</v>
      </c>
      <c r="AG315" s="19">
        <f t="shared" si="28"/>
        <v>0</v>
      </c>
      <c r="AH315" s="19">
        <f t="shared" si="29"/>
        <v>0</v>
      </c>
    </row>
    <row r="316" spans="1:34">
      <c r="A316" s="8" t="s">
        <v>452</v>
      </c>
      <c r="B316" s="8" t="s">
        <v>2698</v>
      </c>
      <c r="C316" s="8" t="s">
        <v>954</v>
      </c>
      <c r="D316" s="8" t="s">
        <v>13</v>
      </c>
      <c r="E316" s="8" t="s">
        <v>80</v>
      </c>
      <c r="F316" s="8" t="s">
        <v>5</v>
      </c>
      <c r="G316" s="8" t="s">
        <v>3</v>
      </c>
      <c r="H316" s="8" t="s">
        <v>5701</v>
      </c>
      <c r="I316" s="8" t="s">
        <v>41</v>
      </c>
      <c r="J316" s="8" t="s">
        <v>41</v>
      </c>
      <c r="K316" s="8" t="s">
        <v>41</v>
      </c>
      <c r="L316" s="8" t="s">
        <v>110</v>
      </c>
      <c r="M316" s="11" t="s">
        <v>5596</v>
      </c>
      <c r="N316" s="8">
        <v>52</v>
      </c>
      <c r="O316" s="8">
        <v>30</v>
      </c>
      <c r="P316" s="8">
        <v>22</v>
      </c>
      <c r="Q316" s="8">
        <v>16</v>
      </c>
      <c r="R316" s="8">
        <v>6</v>
      </c>
      <c r="S316" s="8">
        <v>8</v>
      </c>
      <c r="T316" s="8">
        <v>5</v>
      </c>
      <c r="U316" s="8">
        <v>9</v>
      </c>
      <c r="V316" s="8">
        <v>4</v>
      </c>
      <c r="W316" s="8">
        <v>10</v>
      </c>
      <c r="X316" s="8">
        <v>7</v>
      </c>
      <c r="Y316" s="8">
        <v>9</v>
      </c>
      <c r="Z316" s="8">
        <v>8</v>
      </c>
      <c r="AA316" s="8">
        <v>0</v>
      </c>
      <c r="AB316" s="8">
        <v>0</v>
      </c>
      <c r="AC316" s="19">
        <f t="shared" si="24"/>
        <v>10</v>
      </c>
      <c r="AD316" s="19">
        <f t="shared" si="25"/>
        <v>3</v>
      </c>
      <c r="AE316" s="19">
        <f t="shared" si="26"/>
        <v>5</v>
      </c>
      <c r="AF316" s="19">
        <f t="shared" si="27"/>
        <v>3</v>
      </c>
      <c r="AG316" s="19">
        <f t="shared" si="28"/>
        <v>1</v>
      </c>
      <c r="AH316" s="19">
        <f t="shared" si="29"/>
        <v>0</v>
      </c>
    </row>
    <row r="317" spans="1:34">
      <c r="A317" s="8" t="s">
        <v>1756</v>
      </c>
      <c r="B317" s="8" t="s">
        <v>2699</v>
      </c>
      <c r="C317" s="8" t="s">
        <v>13</v>
      </c>
      <c r="D317" s="8" t="s">
        <v>6</v>
      </c>
      <c r="E317" s="8" t="s">
        <v>126</v>
      </c>
      <c r="F317" s="8" t="s">
        <v>5</v>
      </c>
      <c r="G317" s="8" t="s">
        <v>8</v>
      </c>
      <c r="H317" s="8" t="s">
        <v>810</v>
      </c>
      <c r="I317" s="8" t="s">
        <v>41</v>
      </c>
      <c r="J317" s="8" t="s">
        <v>43</v>
      </c>
      <c r="K317" s="8" t="s">
        <v>41</v>
      </c>
      <c r="L317" s="8" t="s">
        <v>110</v>
      </c>
      <c r="M317" s="11" t="s">
        <v>3496</v>
      </c>
      <c r="N317" s="8">
        <v>9</v>
      </c>
      <c r="O317" s="8">
        <v>5</v>
      </c>
      <c r="P317" s="8">
        <v>4</v>
      </c>
      <c r="Q317" s="8">
        <v>0</v>
      </c>
      <c r="R317" s="8">
        <v>0</v>
      </c>
      <c r="S317" s="8">
        <v>0</v>
      </c>
      <c r="T317" s="8">
        <v>0</v>
      </c>
      <c r="U317" s="8">
        <v>2</v>
      </c>
      <c r="V317" s="8">
        <v>2</v>
      </c>
      <c r="W317" s="8">
        <v>7</v>
      </c>
      <c r="X317" s="8">
        <v>3</v>
      </c>
      <c r="Y317" s="8">
        <v>0</v>
      </c>
      <c r="Z317" s="8">
        <v>0</v>
      </c>
      <c r="AA317" s="8">
        <v>0</v>
      </c>
      <c r="AB317" s="8">
        <v>0</v>
      </c>
      <c r="AC317" s="19">
        <f t="shared" si="24"/>
        <v>0</v>
      </c>
      <c r="AD317" s="19">
        <f t="shared" si="25"/>
        <v>0</v>
      </c>
      <c r="AE317" s="19">
        <f t="shared" si="26"/>
        <v>0</v>
      </c>
      <c r="AF317" s="19">
        <f t="shared" si="27"/>
        <v>4</v>
      </c>
      <c r="AG317" s="19">
        <f t="shared" si="28"/>
        <v>0</v>
      </c>
      <c r="AH317" s="19">
        <f t="shared" si="29"/>
        <v>0</v>
      </c>
    </row>
    <row r="318" spans="1:34">
      <c r="A318" s="8" t="s">
        <v>454</v>
      </c>
      <c r="B318" s="8" t="s">
        <v>2700</v>
      </c>
      <c r="C318" s="8" t="s">
        <v>13</v>
      </c>
      <c r="D318" s="8" t="s">
        <v>6</v>
      </c>
      <c r="E318" s="8" t="s">
        <v>126</v>
      </c>
      <c r="F318" s="8" t="s">
        <v>5</v>
      </c>
      <c r="G318" s="8" t="s">
        <v>8</v>
      </c>
      <c r="H318" s="8" t="s">
        <v>811</v>
      </c>
      <c r="I318" s="8" t="s">
        <v>41</v>
      </c>
      <c r="J318" s="8" t="s">
        <v>43</v>
      </c>
      <c r="K318" s="8" t="s">
        <v>41</v>
      </c>
      <c r="L318" s="8" t="s">
        <v>110</v>
      </c>
      <c r="M318" s="11" t="s">
        <v>4068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8">
        <v>0</v>
      </c>
      <c r="AA318" s="8">
        <v>0</v>
      </c>
      <c r="AB318" s="8">
        <v>0</v>
      </c>
      <c r="AC318" s="19">
        <f t="shared" si="24"/>
        <v>0</v>
      </c>
      <c r="AD318" s="19">
        <f t="shared" si="25"/>
        <v>0</v>
      </c>
      <c r="AE318" s="19">
        <f t="shared" si="26"/>
        <v>0</v>
      </c>
      <c r="AF318" s="19">
        <f t="shared" si="27"/>
        <v>0</v>
      </c>
      <c r="AG318" s="19">
        <f t="shared" si="28"/>
        <v>0</v>
      </c>
      <c r="AH318" s="19">
        <f t="shared" si="29"/>
        <v>0</v>
      </c>
    </row>
    <row r="319" spans="1:34">
      <c r="A319" s="8" t="s">
        <v>456</v>
      </c>
      <c r="B319" s="8" t="s">
        <v>2701</v>
      </c>
      <c r="C319" s="8" t="s">
        <v>70</v>
      </c>
      <c r="D319" s="8" t="s">
        <v>17</v>
      </c>
      <c r="E319" s="8" t="s">
        <v>43</v>
      </c>
      <c r="F319" s="8" t="s">
        <v>13</v>
      </c>
      <c r="G319" s="8" t="s">
        <v>16</v>
      </c>
      <c r="H319" s="8" t="s">
        <v>733</v>
      </c>
      <c r="I319" s="8" t="s">
        <v>41</v>
      </c>
      <c r="J319" s="8" t="s">
        <v>43</v>
      </c>
      <c r="K319" s="8" t="s">
        <v>41</v>
      </c>
      <c r="L319" s="8" t="s">
        <v>110</v>
      </c>
      <c r="M319" s="11" t="s">
        <v>2702</v>
      </c>
      <c r="N319" s="8">
        <v>1</v>
      </c>
      <c r="O319" s="8">
        <v>0</v>
      </c>
      <c r="P319" s="8">
        <v>1</v>
      </c>
      <c r="Q319" s="8">
        <v>0</v>
      </c>
      <c r="R319" s="8">
        <v>0</v>
      </c>
      <c r="S319" s="8">
        <v>0</v>
      </c>
      <c r="T319" s="8">
        <v>0</v>
      </c>
      <c r="U319" s="8">
        <v>0</v>
      </c>
      <c r="V319" s="8">
        <v>0</v>
      </c>
      <c r="W319" s="8">
        <v>1</v>
      </c>
      <c r="X319" s="8">
        <v>0</v>
      </c>
      <c r="Y319" s="8">
        <v>0</v>
      </c>
      <c r="Z319" s="8">
        <v>0</v>
      </c>
      <c r="AA319" s="8">
        <v>0</v>
      </c>
      <c r="AB319" s="8">
        <v>0</v>
      </c>
      <c r="AC319" s="19">
        <f t="shared" si="24"/>
        <v>0</v>
      </c>
      <c r="AD319" s="19">
        <f t="shared" si="25"/>
        <v>0</v>
      </c>
      <c r="AE319" s="19">
        <f t="shared" si="26"/>
        <v>0</v>
      </c>
      <c r="AF319" s="19">
        <f t="shared" si="27"/>
        <v>1</v>
      </c>
      <c r="AG319" s="19">
        <f t="shared" si="28"/>
        <v>0</v>
      </c>
      <c r="AH319" s="19">
        <f t="shared" si="29"/>
        <v>0</v>
      </c>
    </row>
    <row r="320" spans="1:34">
      <c r="A320" s="8" t="s">
        <v>457</v>
      </c>
      <c r="B320" s="8" t="s">
        <v>2703</v>
      </c>
      <c r="C320" s="8" t="s">
        <v>954</v>
      </c>
      <c r="D320" s="8" t="s">
        <v>11</v>
      </c>
      <c r="E320" s="8" t="s">
        <v>80</v>
      </c>
      <c r="F320" s="8" t="s">
        <v>7</v>
      </c>
      <c r="G320" s="8" t="s">
        <v>8</v>
      </c>
      <c r="H320" s="8" t="s">
        <v>2704</v>
      </c>
      <c r="I320" s="8" t="s">
        <v>41</v>
      </c>
      <c r="J320" s="8" t="s">
        <v>43</v>
      </c>
      <c r="K320" s="8" t="s">
        <v>41</v>
      </c>
      <c r="L320" s="8" t="s">
        <v>110</v>
      </c>
      <c r="M320" s="11" t="s">
        <v>3790</v>
      </c>
      <c r="N320" s="8">
        <v>26</v>
      </c>
      <c r="O320" s="8">
        <v>16</v>
      </c>
      <c r="P320" s="8">
        <v>10</v>
      </c>
      <c r="Q320" s="8">
        <v>8</v>
      </c>
      <c r="R320" s="8">
        <v>4</v>
      </c>
      <c r="S320" s="8">
        <v>8</v>
      </c>
      <c r="T320" s="8">
        <v>7</v>
      </c>
      <c r="U320" s="8">
        <v>5</v>
      </c>
      <c r="V320" s="8">
        <v>3</v>
      </c>
      <c r="W320" s="8">
        <v>4</v>
      </c>
      <c r="X320" s="8">
        <v>1</v>
      </c>
      <c r="Y320" s="8">
        <v>1</v>
      </c>
      <c r="Z320" s="8">
        <v>1</v>
      </c>
      <c r="AA320" s="8">
        <v>0</v>
      </c>
      <c r="AB320" s="8">
        <v>0</v>
      </c>
      <c r="AC320" s="19">
        <f t="shared" si="24"/>
        <v>4</v>
      </c>
      <c r="AD320" s="19">
        <f t="shared" si="25"/>
        <v>1</v>
      </c>
      <c r="AE320" s="19">
        <f t="shared" si="26"/>
        <v>2</v>
      </c>
      <c r="AF320" s="19">
        <f t="shared" si="27"/>
        <v>3</v>
      </c>
      <c r="AG320" s="19">
        <f t="shared" si="28"/>
        <v>0</v>
      </c>
      <c r="AH320" s="19">
        <f t="shared" si="29"/>
        <v>0</v>
      </c>
    </row>
    <row r="321" spans="1:34">
      <c r="A321" s="8" t="s">
        <v>458</v>
      </c>
      <c r="B321" s="8" t="s">
        <v>2705</v>
      </c>
      <c r="C321" s="8" t="s">
        <v>12</v>
      </c>
      <c r="D321" s="8" t="s">
        <v>8</v>
      </c>
      <c r="E321" s="8" t="s">
        <v>126</v>
      </c>
      <c r="F321" s="8" t="s">
        <v>4</v>
      </c>
      <c r="G321" s="8" t="s">
        <v>7</v>
      </c>
      <c r="H321" s="8" t="s">
        <v>805</v>
      </c>
      <c r="I321" s="8" t="s">
        <v>41</v>
      </c>
      <c r="J321" s="8" t="s">
        <v>43</v>
      </c>
      <c r="K321" s="8" t="s">
        <v>41</v>
      </c>
      <c r="L321" s="8" t="s">
        <v>110</v>
      </c>
      <c r="M321" s="11" t="s">
        <v>2706</v>
      </c>
      <c r="N321" s="8">
        <v>57</v>
      </c>
      <c r="O321" s="8">
        <v>37</v>
      </c>
      <c r="P321" s="8">
        <v>20</v>
      </c>
      <c r="Q321" s="8">
        <v>6</v>
      </c>
      <c r="R321" s="8">
        <v>1</v>
      </c>
      <c r="S321" s="8">
        <v>7</v>
      </c>
      <c r="T321" s="8">
        <v>7</v>
      </c>
      <c r="U321" s="8">
        <v>17</v>
      </c>
      <c r="V321" s="8">
        <v>13</v>
      </c>
      <c r="W321" s="8">
        <v>12</v>
      </c>
      <c r="X321" s="8">
        <v>5</v>
      </c>
      <c r="Y321" s="8">
        <v>15</v>
      </c>
      <c r="Z321" s="8">
        <v>11</v>
      </c>
      <c r="AA321" s="8">
        <v>0</v>
      </c>
      <c r="AB321" s="8">
        <v>0</v>
      </c>
      <c r="AC321" s="19">
        <f t="shared" si="24"/>
        <v>5</v>
      </c>
      <c r="AD321" s="19">
        <f t="shared" si="25"/>
        <v>0</v>
      </c>
      <c r="AE321" s="19">
        <f t="shared" si="26"/>
        <v>4</v>
      </c>
      <c r="AF321" s="19">
        <f t="shared" si="27"/>
        <v>7</v>
      </c>
      <c r="AG321" s="19">
        <f t="shared" si="28"/>
        <v>4</v>
      </c>
      <c r="AH321" s="19">
        <f t="shared" si="29"/>
        <v>0</v>
      </c>
    </row>
    <row r="322" spans="1:34">
      <c r="A322" s="8" t="s">
        <v>459</v>
      </c>
      <c r="B322" s="8" t="s">
        <v>2708</v>
      </c>
      <c r="C322" s="8" t="s">
        <v>388</v>
      </c>
      <c r="D322" s="8" t="s">
        <v>11</v>
      </c>
      <c r="E322" s="8" t="s">
        <v>43</v>
      </c>
      <c r="F322" s="8" t="s">
        <v>118</v>
      </c>
      <c r="G322" s="8" t="s">
        <v>4</v>
      </c>
      <c r="H322" s="8" t="s">
        <v>538</v>
      </c>
      <c r="I322" s="8" t="s">
        <v>41</v>
      </c>
      <c r="J322" s="8" t="s">
        <v>43</v>
      </c>
      <c r="K322" s="8" t="s">
        <v>41</v>
      </c>
      <c r="L322" s="8" t="s">
        <v>110</v>
      </c>
      <c r="M322" s="11" t="s">
        <v>3497</v>
      </c>
      <c r="N322" s="8">
        <v>32</v>
      </c>
      <c r="O322" s="8">
        <v>21</v>
      </c>
      <c r="P322" s="8">
        <v>11</v>
      </c>
      <c r="Q322" s="8">
        <v>7</v>
      </c>
      <c r="R322" s="8">
        <v>6</v>
      </c>
      <c r="S322" s="8">
        <v>5</v>
      </c>
      <c r="T322" s="8">
        <v>3</v>
      </c>
      <c r="U322" s="8">
        <v>2</v>
      </c>
      <c r="V322" s="8">
        <v>0</v>
      </c>
      <c r="W322" s="8">
        <v>11</v>
      </c>
      <c r="X322" s="8">
        <v>6</v>
      </c>
      <c r="Y322" s="8">
        <v>7</v>
      </c>
      <c r="Z322" s="8">
        <v>6</v>
      </c>
      <c r="AA322" s="8">
        <v>0</v>
      </c>
      <c r="AB322" s="8">
        <v>0</v>
      </c>
      <c r="AC322" s="19">
        <f t="shared" si="24"/>
        <v>1</v>
      </c>
      <c r="AD322" s="19">
        <f t="shared" si="25"/>
        <v>2</v>
      </c>
      <c r="AE322" s="19">
        <f t="shared" si="26"/>
        <v>2</v>
      </c>
      <c r="AF322" s="19">
        <f t="shared" si="27"/>
        <v>5</v>
      </c>
      <c r="AG322" s="19">
        <f t="shared" si="28"/>
        <v>1</v>
      </c>
      <c r="AH322" s="19">
        <f t="shared" si="29"/>
        <v>0</v>
      </c>
    </row>
    <row r="323" spans="1:34">
      <c r="A323" s="8" t="s">
        <v>460</v>
      </c>
      <c r="B323" s="8" t="s">
        <v>2709</v>
      </c>
      <c r="C323" s="8" t="s">
        <v>70</v>
      </c>
      <c r="D323" s="8" t="s">
        <v>17</v>
      </c>
      <c r="E323" s="8" t="s">
        <v>43</v>
      </c>
      <c r="F323" s="8" t="s">
        <v>13</v>
      </c>
      <c r="G323" s="8" t="s">
        <v>16</v>
      </c>
      <c r="H323" s="8" t="s">
        <v>736</v>
      </c>
      <c r="I323" s="8" t="s">
        <v>41</v>
      </c>
      <c r="J323" s="8" t="s">
        <v>43</v>
      </c>
      <c r="K323" s="8" t="s">
        <v>41</v>
      </c>
      <c r="L323" s="8" t="s">
        <v>110</v>
      </c>
      <c r="M323" s="11" t="s">
        <v>2710</v>
      </c>
      <c r="N323" s="8">
        <v>64</v>
      </c>
      <c r="O323" s="8">
        <v>36</v>
      </c>
      <c r="P323" s="8">
        <v>28</v>
      </c>
      <c r="Q323" s="8">
        <v>16</v>
      </c>
      <c r="R323" s="8">
        <v>10</v>
      </c>
      <c r="S323" s="8">
        <v>12</v>
      </c>
      <c r="T323" s="8">
        <v>8</v>
      </c>
      <c r="U323" s="8">
        <v>9</v>
      </c>
      <c r="V323" s="8">
        <v>5</v>
      </c>
      <c r="W323" s="8">
        <v>13</v>
      </c>
      <c r="X323" s="8">
        <v>9</v>
      </c>
      <c r="Y323" s="8">
        <v>14</v>
      </c>
      <c r="Z323" s="8">
        <v>4</v>
      </c>
      <c r="AA323" s="8">
        <v>0</v>
      </c>
      <c r="AB323" s="8">
        <v>0</v>
      </c>
      <c r="AC323" s="19">
        <f t="shared" si="24"/>
        <v>6</v>
      </c>
      <c r="AD323" s="19">
        <f t="shared" si="25"/>
        <v>4</v>
      </c>
      <c r="AE323" s="19">
        <f t="shared" si="26"/>
        <v>4</v>
      </c>
      <c r="AF323" s="19">
        <f t="shared" si="27"/>
        <v>4</v>
      </c>
      <c r="AG323" s="19">
        <f t="shared" si="28"/>
        <v>10</v>
      </c>
      <c r="AH323" s="19">
        <f t="shared" si="29"/>
        <v>0</v>
      </c>
    </row>
    <row r="324" spans="1:34">
      <c r="A324" s="8" t="s">
        <v>462</v>
      </c>
      <c r="B324" s="8" t="s">
        <v>2713</v>
      </c>
      <c r="C324" s="8" t="s">
        <v>388</v>
      </c>
      <c r="D324" s="8" t="s">
        <v>9</v>
      </c>
      <c r="E324" s="8" t="s">
        <v>43</v>
      </c>
      <c r="F324" s="8" t="s">
        <v>18</v>
      </c>
      <c r="G324" s="8" t="s">
        <v>8</v>
      </c>
      <c r="H324" s="8" t="s">
        <v>788</v>
      </c>
      <c r="I324" s="8" t="s">
        <v>41</v>
      </c>
      <c r="J324" s="8" t="s">
        <v>43</v>
      </c>
      <c r="K324" s="8" t="s">
        <v>41</v>
      </c>
      <c r="L324" s="8" t="s">
        <v>110</v>
      </c>
      <c r="M324" s="11" t="s">
        <v>2714</v>
      </c>
      <c r="N324" s="8">
        <v>14</v>
      </c>
      <c r="O324" s="8">
        <v>8</v>
      </c>
      <c r="P324" s="8">
        <v>6</v>
      </c>
      <c r="Q324" s="8">
        <v>7</v>
      </c>
      <c r="R324" s="8">
        <v>4</v>
      </c>
      <c r="S324" s="8">
        <v>2</v>
      </c>
      <c r="T324" s="8">
        <v>0</v>
      </c>
      <c r="U324" s="8">
        <v>3</v>
      </c>
      <c r="V324" s="8">
        <v>2</v>
      </c>
      <c r="W324" s="8">
        <v>2</v>
      </c>
      <c r="X324" s="8">
        <v>2</v>
      </c>
      <c r="Y324" s="8">
        <v>0</v>
      </c>
      <c r="Z324" s="8">
        <v>0</v>
      </c>
      <c r="AA324" s="8">
        <v>0</v>
      </c>
      <c r="AB324" s="8">
        <v>0</v>
      </c>
      <c r="AC324" s="19">
        <f t="shared" ref="AC324:AC387" si="30">+Q324-R324</f>
        <v>3</v>
      </c>
      <c r="AD324" s="19">
        <f t="shared" ref="AD324:AD387" si="31">+S324-T324</f>
        <v>2</v>
      </c>
      <c r="AE324" s="19">
        <f t="shared" ref="AE324:AE387" si="32">+U324-V324</f>
        <v>1</v>
      </c>
      <c r="AF324" s="19">
        <f t="shared" ref="AF324:AF387" si="33">+W324-X324</f>
        <v>0</v>
      </c>
      <c r="AG324" s="19">
        <f t="shared" ref="AG324:AG387" si="34">+Y324-Z324</f>
        <v>0</v>
      </c>
      <c r="AH324" s="19">
        <f t="shared" ref="AH324:AH387" si="35">+AA324-AB324</f>
        <v>0</v>
      </c>
    </row>
    <row r="325" spans="1:34">
      <c r="A325" s="8" t="s">
        <v>463</v>
      </c>
      <c r="B325" s="8" t="s">
        <v>2715</v>
      </c>
      <c r="C325" s="8" t="s">
        <v>954</v>
      </c>
      <c r="D325" s="8" t="s">
        <v>12</v>
      </c>
      <c r="E325" s="8" t="s">
        <v>80</v>
      </c>
      <c r="F325" s="8" t="s">
        <v>7</v>
      </c>
      <c r="G325" s="8" t="s">
        <v>7</v>
      </c>
      <c r="H325" s="8" t="s">
        <v>831</v>
      </c>
      <c r="I325" s="8" t="s">
        <v>41</v>
      </c>
      <c r="J325" s="8" t="s">
        <v>43</v>
      </c>
      <c r="K325" s="8" t="s">
        <v>41</v>
      </c>
      <c r="L325" s="8" t="s">
        <v>110</v>
      </c>
      <c r="M325" s="11" t="s">
        <v>2716</v>
      </c>
      <c r="N325" s="8">
        <v>61</v>
      </c>
      <c r="O325" s="8">
        <v>37</v>
      </c>
      <c r="P325" s="8">
        <v>24</v>
      </c>
      <c r="Q325" s="8">
        <v>14</v>
      </c>
      <c r="R325" s="8">
        <v>10</v>
      </c>
      <c r="S325" s="8">
        <v>7</v>
      </c>
      <c r="T325" s="8">
        <v>3</v>
      </c>
      <c r="U325" s="8">
        <v>12</v>
      </c>
      <c r="V325" s="8">
        <v>7</v>
      </c>
      <c r="W325" s="8">
        <v>14</v>
      </c>
      <c r="X325" s="8">
        <v>9</v>
      </c>
      <c r="Y325" s="8">
        <v>14</v>
      </c>
      <c r="Z325" s="8">
        <v>8</v>
      </c>
      <c r="AA325" s="8">
        <v>0</v>
      </c>
      <c r="AB325" s="8">
        <v>0</v>
      </c>
      <c r="AC325" s="19">
        <f t="shared" si="30"/>
        <v>4</v>
      </c>
      <c r="AD325" s="19">
        <f t="shared" si="31"/>
        <v>4</v>
      </c>
      <c r="AE325" s="19">
        <f t="shared" si="32"/>
        <v>5</v>
      </c>
      <c r="AF325" s="19">
        <f t="shared" si="33"/>
        <v>5</v>
      </c>
      <c r="AG325" s="19">
        <f t="shared" si="34"/>
        <v>6</v>
      </c>
      <c r="AH325" s="19">
        <f t="shared" si="35"/>
        <v>0</v>
      </c>
    </row>
    <row r="326" spans="1:34">
      <c r="A326" s="8" t="s">
        <v>464</v>
      </c>
      <c r="B326" s="8" t="s">
        <v>1992</v>
      </c>
      <c r="C326" s="8" t="s">
        <v>107</v>
      </c>
      <c r="D326" s="8" t="s">
        <v>12</v>
      </c>
      <c r="E326" s="8" t="s">
        <v>80</v>
      </c>
      <c r="F326" s="8" t="s">
        <v>13</v>
      </c>
      <c r="G326" s="8" t="s">
        <v>5</v>
      </c>
      <c r="H326" s="8" t="s">
        <v>3986</v>
      </c>
      <c r="I326" s="8" t="s">
        <v>43</v>
      </c>
      <c r="J326" s="8" t="s">
        <v>41</v>
      </c>
      <c r="K326" s="8" t="s">
        <v>41</v>
      </c>
      <c r="L326" s="8" t="s">
        <v>110</v>
      </c>
      <c r="M326" s="11" t="s">
        <v>223</v>
      </c>
      <c r="N326" s="8">
        <v>14</v>
      </c>
      <c r="O326" s="8">
        <v>10</v>
      </c>
      <c r="P326" s="8">
        <v>4</v>
      </c>
      <c r="Q326" s="8">
        <v>4</v>
      </c>
      <c r="R326" s="8">
        <v>2</v>
      </c>
      <c r="S326" s="8">
        <v>5</v>
      </c>
      <c r="T326" s="8">
        <v>4</v>
      </c>
      <c r="U326" s="8">
        <v>4</v>
      </c>
      <c r="V326" s="8">
        <v>3</v>
      </c>
      <c r="W326" s="8">
        <v>1</v>
      </c>
      <c r="X326" s="8">
        <v>1</v>
      </c>
      <c r="Y326" s="8">
        <v>0</v>
      </c>
      <c r="Z326" s="8">
        <v>0</v>
      </c>
      <c r="AA326" s="8">
        <v>0</v>
      </c>
      <c r="AB326" s="8">
        <v>0</v>
      </c>
      <c r="AC326" s="19">
        <f t="shared" si="30"/>
        <v>2</v>
      </c>
      <c r="AD326" s="19">
        <f t="shared" si="31"/>
        <v>1</v>
      </c>
      <c r="AE326" s="19">
        <f t="shared" si="32"/>
        <v>1</v>
      </c>
      <c r="AF326" s="19">
        <f t="shared" si="33"/>
        <v>0</v>
      </c>
      <c r="AG326" s="19">
        <f t="shared" si="34"/>
        <v>0</v>
      </c>
      <c r="AH326" s="19">
        <f t="shared" si="35"/>
        <v>0</v>
      </c>
    </row>
    <row r="327" spans="1:34">
      <c r="A327" s="8" t="s">
        <v>465</v>
      </c>
      <c r="B327" s="8" t="s">
        <v>2720</v>
      </c>
      <c r="C327" s="8" t="s">
        <v>754</v>
      </c>
      <c r="D327" s="8" t="s">
        <v>6</v>
      </c>
      <c r="E327" s="8" t="s">
        <v>68</v>
      </c>
      <c r="F327" s="8" t="s">
        <v>8</v>
      </c>
      <c r="G327" s="8" t="s">
        <v>5</v>
      </c>
      <c r="H327" s="8" t="s">
        <v>830</v>
      </c>
      <c r="I327" s="8" t="s">
        <v>41</v>
      </c>
      <c r="J327" s="8" t="s">
        <v>41</v>
      </c>
      <c r="K327" s="8" t="s">
        <v>41</v>
      </c>
      <c r="L327" s="8" t="s">
        <v>110</v>
      </c>
      <c r="M327" s="11" t="s">
        <v>2721</v>
      </c>
      <c r="N327" s="8">
        <v>231</v>
      </c>
      <c r="O327" s="8">
        <v>122</v>
      </c>
      <c r="P327" s="8">
        <v>109</v>
      </c>
      <c r="Q327" s="8">
        <v>55</v>
      </c>
      <c r="R327" s="8">
        <v>35</v>
      </c>
      <c r="S327" s="8">
        <v>76</v>
      </c>
      <c r="T327" s="8">
        <v>40</v>
      </c>
      <c r="U327" s="8">
        <v>32</v>
      </c>
      <c r="V327" s="8">
        <v>23</v>
      </c>
      <c r="W327" s="8">
        <v>44</v>
      </c>
      <c r="X327" s="8">
        <v>18</v>
      </c>
      <c r="Y327" s="8">
        <v>24</v>
      </c>
      <c r="Z327" s="8">
        <v>6</v>
      </c>
      <c r="AA327" s="8">
        <v>0</v>
      </c>
      <c r="AB327" s="8">
        <v>0</v>
      </c>
      <c r="AC327" s="19">
        <f t="shared" si="30"/>
        <v>20</v>
      </c>
      <c r="AD327" s="19">
        <f t="shared" si="31"/>
        <v>36</v>
      </c>
      <c r="AE327" s="19">
        <f t="shared" si="32"/>
        <v>9</v>
      </c>
      <c r="AF327" s="19">
        <f t="shared" si="33"/>
        <v>26</v>
      </c>
      <c r="AG327" s="19">
        <f t="shared" si="34"/>
        <v>18</v>
      </c>
      <c r="AH327" s="19">
        <f t="shared" si="35"/>
        <v>0</v>
      </c>
    </row>
    <row r="328" spans="1:34">
      <c r="A328" s="8" t="s">
        <v>467</v>
      </c>
      <c r="B328" s="8" t="s">
        <v>2724</v>
      </c>
      <c r="C328" s="8" t="s">
        <v>754</v>
      </c>
      <c r="D328" s="8" t="s">
        <v>7</v>
      </c>
      <c r="E328" s="8" t="s">
        <v>68</v>
      </c>
      <c r="F328" s="8" t="s">
        <v>4</v>
      </c>
      <c r="G328" s="8" t="s">
        <v>6</v>
      </c>
      <c r="H328" s="8" t="s">
        <v>202</v>
      </c>
      <c r="I328" s="8" t="s">
        <v>41</v>
      </c>
      <c r="J328" s="8" t="s">
        <v>43</v>
      </c>
      <c r="K328" s="8" t="s">
        <v>41</v>
      </c>
      <c r="L328" s="8" t="s">
        <v>110</v>
      </c>
      <c r="M328" s="11" t="s">
        <v>2725</v>
      </c>
      <c r="N328" s="8">
        <v>154</v>
      </c>
      <c r="O328" s="8">
        <v>98</v>
      </c>
      <c r="P328" s="8">
        <v>56</v>
      </c>
      <c r="Q328" s="8">
        <v>59</v>
      </c>
      <c r="R328" s="8">
        <v>42</v>
      </c>
      <c r="S328" s="8">
        <v>27</v>
      </c>
      <c r="T328" s="8">
        <v>15</v>
      </c>
      <c r="U328" s="8">
        <v>21</v>
      </c>
      <c r="V328" s="8">
        <v>14</v>
      </c>
      <c r="W328" s="8">
        <v>47</v>
      </c>
      <c r="X328" s="8">
        <v>27</v>
      </c>
      <c r="Y328" s="8">
        <v>0</v>
      </c>
      <c r="Z328" s="8">
        <v>0</v>
      </c>
      <c r="AA328" s="8">
        <v>0</v>
      </c>
      <c r="AB328" s="8">
        <v>0</v>
      </c>
      <c r="AC328" s="19">
        <f t="shared" si="30"/>
        <v>17</v>
      </c>
      <c r="AD328" s="19">
        <f t="shared" si="31"/>
        <v>12</v>
      </c>
      <c r="AE328" s="19">
        <f t="shared" si="32"/>
        <v>7</v>
      </c>
      <c r="AF328" s="19">
        <f t="shared" si="33"/>
        <v>20</v>
      </c>
      <c r="AG328" s="19">
        <f t="shared" si="34"/>
        <v>0</v>
      </c>
      <c r="AH328" s="19">
        <f t="shared" si="35"/>
        <v>0</v>
      </c>
    </row>
    <row r="329" spans="1:34">
      <c r="A329" s="8" t="s">
        <v>468</v>
      </c>
      <c r="B329" s="8" t="s">
        <v>1992</v>
      </c>
      <c r="C329" s="8" t="s">
        <v>956</v>
      </c>
      <c r="D329" s="8" t="s">
        <v>6</v>
      </c>
      <c r="E329" s="8" t="s">
        <v>41</v>
      </c>
      <c r="F329" s="8" t="s">
        <v>18</v>
      </c>
      <c r="G329" s="8" t="s">
        <v>3</v>
      </c>
      <c r="H329" s="8" t="s">
        <v>85</v>
      </c>
      <c r="I329" s="8" t="s">
        <v>43</v>
      </c>
      <c r="J329" s="8" t="s">
        <v>41</v>
      </c>
      <c r="K329" s="8" t="s">
        <v>5696</v>
      </c>
      <c r="L329" s="8" t="s">
        <v>110</v>
      </c>
      <c r="M329" s="11" t="s">
        <v>4499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8">
        <v>0</v>
      </c>
      <c r="Y329" s="8">
        <v>0</v>
      </c>
      <c r="Z329" s="8">
        <v>0</v>
      </c>
      <c r="AA329" s="8">
        <v>0</v>
      </c>
      <c r="AB329" s="8">
        <v>0</v>
      </c>
      <c r="AC329" s="19">
        <f t="shared" si="30"/>
        <v>0</v>
      </c>
      <c r="AD329" s="19">
        <f t="shared" si="31"/>
        <v>0</v>
      </c>
      <c r="AE329" s="19">
        <f t="shared" si="32"/>
        <v>0</v>
      </c>
      <c r="AF329" s="19">
        <f t="shared" si="33"/>
        <v>0</v>
      </c>
      <c r="AG329" s="19">
        <f t="shared" si="34"/>
        <v>0</v>
      </c>
      <c r="AH329" s="19">
        <f t="shared" si="35"/>
        <v>0</v>
      </c>
    </row>
    <row r="330" spans="1:34">
      <c r="A330" s="8" t="s">
        <v>469</v>
      </c>
      <c r="B330" s="8" t="s">
        <v>1992</v>
      </c>
      <c r="C330" s="8" t="s">
        <v>956</v>
      </c>
      <c r="D330" s="8" t="s">
        <v>8</v>
      </c>
      <c r="E330" s="8" t="s">
        <v>41</v>
      </c>
      <c r="F330" s="8" t="s">
        <v>16</v>
      </c>
      <c r="G330" s="8" t="s">
        <v>3</v>
      </c>
      <c r="H330" s="8" t="s">
        <v>140</v>
      </c>
      <c r="I330" s="8" t="s">
        <v>43</v>
      </c>
      <c r="J330" s="8" t="s">
        <v>41</v>
      </c>
      <c r="K330" s="8" t="s">
        <v>5696</v>
      </c>
      <c r="L330" s="8" t="s">
        <v>110</v>
      </c>
      <c r="M330" s="11" t="s">
        <v>2729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0</v>
      </c>
      <c r="Z330" s="8">
        <v>0</v>
      </c>
      <c r="AA330" s="8">
        <v>0</v>
      </c>
      <c r="AB330" s="8">
        <v>0</v>
      </c>
      <c r="AC330" s="19">
        <f t="shared" si="30"/>
        <v>0</v>
      </c>
      <c r="AD330" s="19">
        <f t="shared" si="31"/>
        <v>0</v>
      </c>
      <c r="AE330" s="19">
        <f t="shared" si="32"/>
        <v>0</v>
      </c>
      <c r="AF330" s="19">
        <f t="shared" si="33"/>
        <v>0</v>
      </c>
      <c r="AG330" s="19">
        <f t="shared" si="34"/>
        <v>0</v>
      </c>
      <c r="AH330" s="19">
        <f t="shared" si="35"/>
        <v>0</v>
      </c>
    </row>
    <row r="331" spans="1:34">
      <c r="A331" s="8" t="s">
        <v>470</v>
      </c>
      <c r="B331" s="8" t="s">
        <v>2730</v>
      </c>
      <c r="C331" s="8" t="s">
        <v>304</v>
      </c>
      <c r="D331" s="8" t="s">
        <v>7</v>
      </c>
      <c r="E331" s="8" t="s">
        <v>68</v>
      </c>
      <c r="F331" s="8" t="s">
        <v>5</v>
      </c>
      <c r="G331" s="8" t="s">
        <v>9</v>
      </c>
      <c r="H331" s="8" t="s">
        <v>3498</v>
      </c>
      <c r="I331" s="8" t="s">
        <v>41</v>
      </c>
      <c r="J331" s="8" t="s">
        <v>41</v>
      </c>
      <c r="K331" s="8" t="s">
        <v>41</v>
      </c>
      <c r="L331" s="8" t="s">
        <v>110</v>
      </c>
      <c r="M331" s="11" t="s">
        <v>2731</v>
      </c>
      <c r="N331" s="8">
        <v>3</v>
      </c>
      <c r="O331" s="8">
        <v>2</v>
      </c>
      <c r="P331" s="8">
        <v>1</v>
      </c>
      <c r="Q331" s="8">
        <v>0</v>
      </c>
      <c r="R331" s="8">
        <v>0</v>
      </c>
      <c r="S331" s="8">
        <v>1</v>
      </c>
      <c r="T331" s="8">
        <v>0</v>
      </c>
      <c r="U331" s="8">
        <v>0</v>
      </c>
      <c r="V331" s="8">
        <v>0</v>
      </c>
      <c r="W331" s="8">
        <v>2</v>
      </c>
      <c r="X331" s="8">
        <v>2</v>
      </c>
      <c r="Y331" s="8">
        <v>0</v>
      </c>
      <c r="Z331" s="8">
        <v>0</v>
      </c>
      <c r="AA331" s="8">
        <v>0</v>
      </c>
      <c r="AB331" s="8">
        <v>0</v>
      </c>
      <c r="AC331" s="19">
        <f t="shared" si="30"/>
        <v>0</v>
      </c>
      <c r="AD331" s="19">
        <f t="shared" si="31"/>
        <v>1</v>
      </c>
      <c r="AE331" s="19">
        <f t="shared" si="32"/>
        <v>0</v>
      </c>
      <c r="AF331" s="19">
        <f t="shared" si="33"/>
        <v>0</v>
      </c>
      <c r="AG331" s="19">
        <f t="shared" si="34"/>
        <v>0</v>
      </c>
      <c r="AH331" s="19">
        <f t="shared" si="35"/>
        <v>0</v>
      </c>
    </row>
    <row r="332" spans="1:34">
      <c r="A332" s="8" t="s">
        <v>1140</v>
      </c>
      <c r="B332" s="8" t="s">
        <v>2732</v>
      </c>
      <c r="C332" s="8" t="s">
        <v>304</v>
      </c>
      <c r="D332" s="8" t="s">
        <v>11</v>
      </c>
      <c r="E332" s="8" t="s">
        <v>68</v>
      </c>
      <c r="F332" s="8" t="s">
        <v>6</v>
      </c>
      <c r="G332" s="8" t="s">
        <v>5</v>
      </c>
      <c r="H332" s="8" t="s">
        <v>853</v>
      </c>
      <c r="I332" s="8" t="s">
        <v>41</v>
      </c>
      <c r="J332" s="8" t="s">
        <v>43</v>
      </c>
      <c r="K332" s="8" t="s">
        <v>41</v>
      </c>
      <c r="L332" s="8" t="s">
        <v>110</v>
      </c>
      <c r="M332" s="11" t="s">
        <v>5601</v>
      </c>
      <c r="N332" s="8">
        <v>53</v>
      </c>
      <c r="O332" s="8">
        <v>35</v>
      </c>
      <c r="P332" s="8">
        <v>18</v>
      </c>
      <c r="Q332" s="8">
        <v>11</v>
      </c>
      <c r="R332" s="8">
        <v>6</v>
      </c>
      <c r="S332" s="8">
        <v>12</v>
      </c>
      <c r="T332" s="8">
        <v>5</v>
      </c>
      <c r="U332" s="8">
        <v>13</v>
      </c>
      <c r="V332" s="8">
        <v>11</v>
      </c>
      <c r="W332" s="8">
        <v>3</v>
      </c>
      <c r="X332" s="8">
        <v>3</v>
      </c>
      <c r="Y332" s="8">
        <v>14</v>
      </c>
      <c r="Z332" s="8">
        <v>10</v>
      </c>
      <c r="AA332" s="8">
        <v>0</v>
      </c>
      <c r="AB332" s="8">
        <v>0</v>
      </c>
      <c r="AC332" s="19">
        <f t="shared" si="30"/>
        <v>5</v>
      </c>
      <c r="AD332" s="19">
        <f t="shared" si="31"/>
        <v>7</v>
      </c>
      <c r="AE332" s="19">
        <f t="shared" si="32"/>
        <v>2</v>
      </c>
      <c r="AF332" s="19">
        <f t="shared" si="33"/>
        <v>0</v>
      </c>
      <c r="AG332" s="19">
        <f t="shared" si="34"/>
        <v>4</v>
      </c>
      <c r="AH332" s="19">
        <f t="shared" si="35"/>
        <v>0</v>
      </c>
    </row>
    <row r="333" spans="1:34">
      <c r="A333" s="8" t="s">
        <v>471</v>
      </c>
      <c r="B333" s="8" t="s">
        <v>2733</v>
      </c>
      <c r="C333" s="8" t="s">
        <v>304</v>
      </c>
      <c r="D333" s="8" t="s">
        <v>9</v>
      </c>
      <c r="E333" s="8" t="s">
        <v>68</v>
      </c>
      <c r="F333" s="8" t="s">
        <v>7</v>
      </c>
      <c r="G333" s="8" t="s">
        <v>5</v>
      </c>
      <c r="H333" s="8" t="s">
        <v>854</v>
      </c>
      <c r="I333" s="8" t="s">
        <v>41</v>
      </c>
      <c r="J333" s="8" t="s">
        <v>43</v>
      </c>
      <c r="K333" s="8" t="s">
        <v>41</v>
      </c>
      <c r="L333" s="8" t="s">
        <v>110</v>
      </c>
      <c r="M333" s="11" t="s">
        <v>3499</v>
      </c>
      <c r="N333" s="8">
        <v>110</v>
      </c>
      <c r="O333" s="8">
        <v>72</v>
      </c>
      <c r="P333" s="8">
        <v>38</v>
      </c>
      <c r="Q333" s="8">
        <v>24</v>
      </c>
      <c r="R333" s="8">
        <v>11</v>
      </c>
      <c r="S333" s="8">
        <v>34</v>
      </c>
      <c r="T333" s="8">
        <v>22</v>
      </c>
      <c r="U333" s="8">
        <v>29</v>
      </c>
      <c r="V333" s="8">
        <v>23</v>
      </c>
      <c r="W333" s="8">
        <v>18</v>
      </c>
      <c r="X333" s="8">
        <v>14</v>
      </c>
      <c r="Y333" s="8">
        <v>5</v>
      </c>
      <c r="Z333" s="8">
        <v>2</v>
      </c>
      <c r="AA333" s="8">
        <v>0</v>
      </c>
      <c r="AB333" s="8">
        <v>0</v>
      </c>
      <c r="AC333" s="19">
        <f t="shared" si="30"/>
        <v>13</v>
      </c>
      <c r="AD333" s="19">
        <f t="shared" si="31"/>
        <v>12</v>
      </c>
      <c r="AE333" s="19">
        <f t="shared" si="32"/>
        <v>6</v>
      </c>
      <c r="AF333" s="19">
        <f t="shared" si="33"/>
        <v>4</v>
      </c>
      <c r="AG333" s="19">
        <f t="shared" si="34"/>
        <v>3</v>
      </c>
      <c r="AH333" s="19">
        <f t="shared" si="35"/>
        <v>0</v>
      </c>
    </row>
    <row r="334" spans="1:34">
      <c r="A334" s="8" t="s">
        <v>472</v>
      </c>
      <c r="B334" s="8" t="s">
        <v>1992</v>
      </c>
      <c r="C334" s="8" t="s">
        <v>70</v>
      </c>
      <c r="D334" s="8" t="s">
        <v>5</v>
      </c>
      <c r="E334" s="8" t="s">
        <v>43</v>
      </c>
      <c r="F334" s="8" t="s">
        <v>13</v>
      </c>
      <c r="G334" s="8" t="s">
        <v>3</v>
      </c>
      <c r="H334" s="8" t="s">
        <v>595</v>
      </c>
      <c r="I334" s="8" t="s">
        <v>43</v>
      </c>
      <c r="J334" s="8" t="s">
        <v>41</v>
      </c>
      <c r="K334" s="8" t="s">
        <v>5696</v>
      </c>
      <c r="L334" s="8" t="s">
        <v>110</v>
      </c>
      <c r="M334" s="11" t="s">
        <v>1867</v>
      </c>
      <c r="N334" s="8">
        <v>2</v>
      </c>
      <c r="O334" s="8">
        <v>1</v>
      </c>
      <c r="P334" s="8">
        <v>1</v>
      </c>
      <c r="Q334" s="8">
        <v>1</v>
      </c>
      <c r="R334" s="8">
        <v>0</v>
      </c>
      <c r="S334" s="8">
        <v>1</v>
      </c>
      <c r="T334" s="8">
        <v>1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8">
        <v>0</v>
      </c>
      <c r="AC334" s="19">
        <f t="shared" si="30"/>
        <v>1</v>
      </c>
      <c r="AD334" s="19">
        <f t="shared" si="31"/>
        <v>0</v>
      </c>
      <c r="AE334" s="19">
        <f t="shared" si="32"/>
        <v>0</v>
      </c>
      <c r="AF334" s="19">
        <f t="shared" si="33"/>
        <v>0</v>
      </c>
      <c r="AG334" s="19">
        <f t="shared" si="34"/>
        <v>0</v>
      </c>
      <c r="AH334" s="19">
        <f t="shared" si="35"/>
        <v>0</v>
      </c>
    </row>
    <row r="335" spans="1:34">
      <c r="A335" s="8" t="s">
        <v>473</v>
      </c>
      <c r="B335" s="8" t="s">
        <v>2736</v>
      </c>
      <c r="C335" s="8" t="s">
        <v>70</v>
      </c>
      <c r="D335" s="8" t="s">
        <v>9</v>
      </c>
      <c r="E335" s="8" t="s">
        <v>43</v>
      </c>
      <c r="F335" s="8" t="s">
        <v>13</v>
      </c>
      <c r="G335" s="8" t="s">
        <v>16</v>
      </c>
      <c r="H335" s="8" t="s">
        <v>731</v>
      </c>
      <c r="I335" s="8" t="s">
        <v>41</v>
      </c>
      <c r="J335" s="8" t="s">
        <v>43</v>
      </c>
      <c r="K335" s="8" t="s">
        <v>41</v>
      </c>
      <c r="L335" s="8" t="s">
        <v>110</v>
      </c>
      <c r="M335" s="11" t="s">
        <v>2737</v>
      </c>
      <c r="N335" s="8">
        <v>144</v>
      </c>
      <c r="O335" s="8">
        <v>77</v>
      </c>
      <c r="P335" s="8">
        <v>67</v>
      </c>
      <c r="Q335" s="8">
        <v>45</v>
      </c>
      <c r="R335" s="8">
        <v>24</v>
      </c>
      <c r="S335" s="8">
        <v>14</v>
      </c>
      <c r="T335" s="8">
        <v>9</v>
      </c>
      <c r="U335" s="8">
        <v>20</v>
      </c>
      <c r="V335" s="8">
        <v>12</v>
      </c>
      <c r="W335" s="8">
        <v>49</v>
      </c>
      <c r="X335" s="8">
        <v>26</v>
      </c>
      <c r="Y335" s="8">
        <v>16</v>
      </c>
      <c r="Z335" s="8">
        <v>6</v>
      </c>
      <c r="AA335" s="8">
        <v>0</v>
      </c>
      <c r="AB335" s="8">
        <v>0</v>
      </c>
      <c r="AC335" s="19">
        <f t="shared" si="30"/>
        <v>21</v>
      </c>
      <c r="AD335" s="19">
        <f t="shared" si="31"/>
        <v>5</v>
      </c>
      <c r="AE335" s="19">
        <f t="shared" si="32"/>
        <v>8</v>
      </c>
      <c r="AF335" s="19">
        <f t="shared" si="33"/>
        <v>23</v>
      </c>
      <c r="AG335" s="19">
        <f t="shared" si="34"/>
        <v>10</v>
      </c>
      <c r="AH335" s="19">
        <f t="shared" si="35"/>
        <v>0</v>
      </c>
    </row>
    <row r="336" spans="1:34">
      <c r="A336" s="8" t="s">
        <v>474</v>
      </c>
      <c r="B336" s="8" t="s">
        <v>2738</v>
      </c>
      <c r="C336" s="8" t="s">
        <v>70</v>
      </c>
      <c r="D336" s="8" t="s">
        <v>9</v>
      </c>
      <c r="E336" s="8" t="s">
        <v>43</v>
      </c>
      <c r="F336" s="8" t="s">
        <v>13</v>
      </c>
      <c r="G336" s="8" t="s">
        <v>18</v>
      </c>
      <c r="H336" s="8" t="s">
        <v>525</v>
      </c>
      <c r="I336" s="8" t="s">
        <v>41</v>
      </c>
      <c r="J336" s="8" t="s">
        <v>43</v>
      </c>
      <c r="K336" s="8" t="s">
        <v>41</v>
      </c>
      <c r="L336" s="8" t="s">
        <v>110</v>
      </c>
      <c r="M336" s="11" t="s">
        <v>2739</v>
      </c>
      <c r="N336" s="8">
        <v>44</v>
      </c>
      <c r="O336" s="8">
        <v>26</v>
      </c>
      <c r="P336" s="8">
        <v>18</v>
      </c>
      <c r="Q336" s="8">
        <v>7</v>
      </c>
      <c r="R336" s="8">
        <v>5</v>
      </c>
      <c r="S336" s="8">
        <v>13</v>
      </c>
      <c r="T336" s="8">
        <v>8</v>
      </c>
      <c r="U336" s="8">
        <v>2</v>
      </c>
      <c r="V336" s="8">
        <v>2</v>
      </c>
      <c r="W336" s="8">
        <v>8</v>
      </c>
      <c r="X336" s="8">
        <v>3</v>
      </c>
      <c r="Y336" s="8">
        <v>14</v>
      </c>
      <c r="Z336" s="8">
        <v>8</v>
      </c>
      <c r="AA336" s="8">
        <v>0</v>
      </c>
      <c r="AB336" s="8">
        <v>0</v>
      </c>
      <c r="AC336" s="19">
        <f t="shared" si="30"/>
        <v>2</v>
      </c>
      <c r="AD336" s="19">
        <f t="shared" si="31"/>
        <v>5</v>
      </c>
      <c r="AE336" s="19">
        <f t="shared" si="32"/>
        <v>0</v>
      </c>
      <c r="AF336" s="19">
        <f t="shared" si="33"/>
        <v>5</v>
      </c>
      <c r="AG336" s="19">
        <f t="shared" si="34"/>
        <v>6</v>
      </c>
      <c r="AH336" s="19">
        <f t="shared" si="35"/>
        <v>0</v>
      </c>
    </row>
    <row r="337" spans="1:34">
      <c r="A337" s="8" t="s">
        <v>476</v>
      </c>
      <c r="B337" s="8" t="s">
        <v>2741</v>
      </c>
      <c r="C337" s="8" t="s">
        <v>4</v>
      </c>
      <c r="D337" s="8" t="s">
        <v>9</v>
      </c>
      <c r="E337" s="8" t="s">
        <v>41</v>
      </c>
      <c r="F337" s="8" t="s">
        <v>304</v>
      </c>
      <c r="G337" s="8" t="s">
        <v>7</v>
      </c>
      <c r="H337" s="8" t="s">
        <v>377</v>
      </c>
      <c r="I337" s="8" t="s">
        <v>41</v>
      </c>
      <c r="J337" s="8" t="s">
        <v>43</v>
      </c>
      <c r="K337" s="8" t="s">
        <v>41</v>
      </c>
      <c r="L337" s="8" t="s">
        <v>110</v>
      </c>
      <c r="M337" s="11" t="s">
        <v>2742</v>
      </c>
      <c r="N337" s="8">
        <v>21</v>
      </c>
      <c r="O337" s="8">
        <v>14</v>
      </c>
      <c r="P337" s="8">
        <v>7</v>
      </c>
      <c r="Q337" s="8">
        <v>7</v>
      </c>
      <c r="R337" s="8">
        <v>3</v>
      </c>
      <c r="S337" s="8">
        <v>0</v>
      </c>
      <c r="T337" s="8">
        <v>0</v>
      </c>
      <c r="U337" s="8">
        <v>5</v>
      </c>
      <c r="V337" s="8">
        <v>5</v>
      </c>
      <c r="W337" s="8">
        <v>6</v>
      </c>
      <c r="X337" s="8">
        <v>4</v>
      </c>
      <c r="Y337" s="8">
        <v>3</v>
      </c>
      <c r="Z337" s="8">
        <v>2</v>
      </c>
      <c r="AA337" s="8">
        <v>0</v>
      </c>
      <c r="AB337" s="8">
        <v>0</v>
      </c>
      <c r="AC337" s="19">
        <f t="shared" si="30"/>
        <v>4</v>
      </c>
      <c r="AD337" s="19">
        <f t="shared" si="31"/>
        <v>0</v>
      </c>
      <c r="AE337" s="19">
        <f t="shared" si="32"/>
        <v>0</v>
      </c>
      <c r="AF337" s="19">
        <f t="shared" si="33"/>
        <v>2</v>
      </c>
      <c r="AG337" s="19">
        <f t="shared" si="34"/>
        <v>1</v>
      </c>
      <c r="AH337" s="19">
        <f t="shared" si="35"/>
        <v>0</v>
      </c>
    </row>
    <row r="338" spans="1:34">
      <c r="A338" s="8" t="s">
        <v>478</v>
      </c>
      <c r="B338" s="8" t="s">
        <v>2744</v>
      </c>
      <c r="C338" s="8" t="s">
        <v>6</v>
      </c>
      <c r="D338" s="8" t="s">
        <v>8</v>
      </c>
      <c r="E338" s="8" t="s">
        <v>43</v>
      </c>
      <c r="F338" s="8" t="s">
        <v>9</v>
      </c>
      <c r="G338" s="8" t="s">
        <v>4</v>
      </c>
      <c r="H338" s="8" t="s">
        <v>4168</v>
      </c>
      <c r="I338" s="8" t="s">
        <v>41</v>
      </c>
      <c r="J338" s="8" t="s">
        <v>41</v>
      </c>
      <c r="K338" s="8" t="s">
        <v>41</v>
      </c>
      <c r="L338" s="8" t="s">
        <v>110</v>
      </c>
      <c r="M338" s="11" t="s">
        <v>2745</v>
      </c>
      <c r="N338" s="8">
        <v>132</v>
      </c>
      <c r="O338" s="8">
        <v>81</v>
      </c>
      <c r="P338" s="8">
        <v>51</v>
      </c>
      <c r="Q338" s="8">
        <v>28</v>
      </c>
      <c r="R338" s="8">
        <v>22</v>
      </c>
      <c r="S338" s="8">
        <v>22</v>
      </c>
      <c r="T338" s="8">
        <v>13</v>
      </c>
      <c r="U338" s="8">
        <v>22</v>
      </c>
      <c r="V338" s="8">
        <v>18</v>
      </c>
      <c r="W338" s="8">
        <v>23</v>
      </c>
      <c r="X338" s="8">
        <v>7</v>
      </c>
      <c r="Y338" s="8">
        <v>37</v>
      </c>
      <c r="Z338" s="8">
        <v>21</v>
      </c>
      <c r="AA338" s="8">
        <v>0</v>
      </c>
      <c r="AB338" s="8">
        <v>0</v>
      </c>
      <c r="AC338" s="19">
        <f t="shared" si="30"/>
        <v>6</v>
      </c>
      <c r="AD338" s="19">
        <f t="shared" si="31"/>
        <v>9</v>
      </c>
      <c r="AE338" s="19">
        <f t="shared" si="32"/>
        <v>4</v>
      </c>
      <c r="AF338" s="19">
        <f t="shared" si="33"/>
        <v>16</v>
      </c>
      <c r="AG338" s="19">
        <f t="shared" si="34"/>
        <v>16</v>
      </c>
      <c r="AH338" s="19">
        <f t="shared" si="35"/>
        <v>0</v>
      </c>
    </row>
    <row r="339" spans="1:34">
      <c r="A339" s="8" t="s">
        <v>479</v>
      </c>
      <c r="B339" s="8" t="s">
        <v>1992</v>
      </c>
      <c r="C339" s="8" t="s">
        <v>7</v>
      </c>
      <c r="D339" s="8" t="s">
        <v>7</v>
      </c>
      <c r="E339" s="8" t="s">
        <v>56</v>
      </c>
      <c r="F339" s="8" t="s">
        <v>4</v>
      </c>
      <c r="G339" s="8" t="s">
        <v>3</v>
      </c>
      <c r="H339" s="8" t="s">
        <v>741</v>
      </c>
      <c r="I339" s="8" t="s">
        <v>43</v>
      </c>
      <c r="J339" s="8" t="s">
        <v>41</v>
      </c>
      <c r="K339" s="8" t="s">
        <v>5696</v>
      </c>
      <c r="L339" s="8" t="s">
        <v>110</v>
      </c>
      <c r="M339" s="11" t="s">
        <v>3500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0</v>
      </c>
      <c r="W339" s="8">
        <v>0</v>
      </c>
      <c r="X339" s="8">
        <v>0</v>
      </c>
      <c r="Y339" s="8">
        <v>0</v>
      </c>
      <c r="Z339" s="8">
        <v>0</v>
      </c>
      <c r="AA339" s="8">
        <v>0</v>
      </c>
      <c r="AB339" s="8">
        <v>0</v>
      </c>
      <c r="AC339" s="19">
        <f t="shared" si="30"/>
        <v>0</v>
      </c>
      <c r="AD339" s="19">
        <f t="shared" si="31"/>
        <v>0</v>
      </c>
      <c r="AE339" s="19">
        <f t="shared" si="32"/>
        <v>0</v>
      </c>
      <c r="AF339" s="19">
        <f t="shared" si="33"/>
        <v>0</v>
      </c>
      <c r="AG339" s="19">
        <f t="shared" si="34"/>
        <v>0</v>
      </c>
      <c r="AH339" s="19">
        <f t="shared" si="35"/>
        <v>0</v>
      </c>
    </row>
    <row r="340" spans="1:34">
      <c r="A340" s="8" t="s">
        <v>480</v>
      </c>
      <c r="B340" s="8" t="s">
        <v>2748</v>
      </c>
      <c r="C340" s="8" t="s">
        <v>7</v>
      </c>
      <c r="D340" s="8" t="s">
        <v>7</v>
      </c>
      <c r="E340" s="8" t="s">
        <v>56</v>
      </c>
      <c r="F340" s="8" t="s">
        <v>8</v>
      </c>
      <c r="G340" s="8" t="s">
        <v>4</v>
      </c>
      <c r="H340" s="8" t="s">
        <v>83</v>
      </c>
      <c r="I340" s="8" t="s">
        <v>41</v>
      </c>
      <c r="J340" s="8" t="s">
        <v>41</v>
      </c>
      <c r="K340" s="8" t="s">
        <v>41</v>
      </c>
      <c r="L340" s="8" t="s">
        <v>110</v>
      </c>
      <c r="M340" s="11" t="s">
        <v>2749</v>
      </c>
      <c r="N340" s="8">
        <v>114</v>
      </c>
      <c r="O340" s="8">
        <v>68</v>
      </c>
      <c r="P340" s="8">
        <v>46</v>
      </c>
      <c r="Q340" s="8">
        <v>24</v>
      </c>
      <c r="R340" s="8">
        <v>16</v>
      </c>
      <c r="S340" s="8">
        <v>25</v>
      </c>
      <c r="T340" s="8">
        <v>15</v>
      </c>
      <c r="U340" s="8">
        <v>21</v>
      </c>
      <c r="V340" s="8">
        <v>12</v>
      </c>
      <c r="W340" s="8">
        <v>23</v>
      </c>
      <c r="X340" s="8">
        <v>12</v>
      </c>
      <c r="Y340" s="8">
        <v>21</v>
      </c>
      <c r="Z340" s="8">
        <v>13</v>
      </c>
      <c r="AA340" s="8">
        <v>0</v>
      </c>
      <c r="AB340" s="8">
        <v>0</v>
      </c>
      <c r="AC340" s="19">
        <f t="shared" si="30"/>
        <v>8</v>
      </c>
      <c r="AD340" s="19">
        <f t="shared" si="31"/>
        <v>10</v>
      </c>
      <c r="AE340" s="19">
        <f t="shared" si="32"/>
        <v>9</v>
      </c>
      <c r="AF340" s="19">
        <f t="shared" si="33"/>
        <v>11</v>
      </c>
      <c r="AG340" s="19">
        <f t="shared" si="34"/>
        <v>8</v>
      </c>
      <c r="AH340" s="19">
        <f t="shared" si="35"/>
        <v>0</v>
      </c>
    </row>
    <row r="341" spans="1:34">
      <c r="A341" s="8" t="s">
        <v>482</v>
      </c>
      <c r="B341" s="8" t="s">
        <v>1992</v>
      </c>
      <c r="C341" s="8" t="s">
        <v>957</v>
      </c>
      <c r="D341" s="8" t="s">
        <v>5</v>
      </c>
      <c r="E341" s="8" t="s">
        <v>41</v>
      </c>
      <c r="F341" s="8" t="s">
        <v>4</v>
      </c>
      <c r="G341" s="8" t="s">
        <v>5</v>
      </c>
      <c r="H341" s="8" t="s">
        <v>89</v>
      </c>
      <c r="I341" s="8" t="s">
        <v>43</v>
      </c>
      <c r="J341" s="8" t="s">
        <v>41</v>
      </c>
      <c r="K341" s="8" t="s">
        <v>5696</v>
      </c>
      <c r="L341" s="8" t="s">
        <v>110</v>
      </c>
      <c r="M341" s="11" t="s">
        <v>4296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0</v>
      </c>
      <c r="Z341" s="8">
        <v>0</v>
      </c>
      <c r="AA341" s="8">
        <v>0</v>
      </c>
      <c r="AB341" s="8">
        <v>0</v>
      </c>
      <c r="AC341" s="19">
        <f t="shared" si="30"/>
        <v>0</v>
      </c>
      <c r="AD341" s="19">
        <f t="shared" si="31"/>
        <v>0</v>
      </c>
      <c r="AE341" s="19">
        <f t="shared" si="32"/>
        <v>0</v>
      </c>
      <c r="AF341" s="19">
        <f t="shared" si="33"/>
        <v>0</v>
      </c>
      <c r="AG341" s="19">
        <f t="shared" si="34"/>
        <v>0</v>
      </c>
      <c r="AH341" s="19">
        <f t="shared" si="35"/>
        <v>0</v>
      </c>
    </row>
    <row r="342" spans="1:34">
      <c r="A342" s="8" t="s">
        <v>1143</v>
      </c>
      <c r="B342" s="8" t="s">
        <v>2750</v>
      </c>
      <c r="C342" s="8" t="s">
        <v>954</v>
      </c>
      <c r="D342" s="8" t="s">
        <v>7</v>
      </c>
      <c r="E342" s="8" t="s">
        <v>80</v>
      </c>
      <c r="F342" s="8" t="s">
        <v>5</v>
      </c>
      <c r="G342" s="8" t="s">
        <v>8</v>
      </c>
      <c r="H342" s="8" t="s">
        <v>591</v>
      </c>
      <c r="I342" s="8" t="s">
        <v>41</v>
      </c>
      <c r="J342" s="8" t="s">
        <v>43</v>
      </c>
      <c r="K342" s="8" t="s">
        <v>41</v>
      </c>
      <c r="L342" s="8" t="s">
        <v>110</v>
      </c>
      <c r="M342" s="11" t="s">
        <v>5605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8">
        <v>0</v>
      </c>
      <c r="Z342" s="8">
        <v>0</v>
      </c>
      <c r="AA342" s="8">
        <v>0</v>
      </c>
      <c r="AB342" s="8">
        <v>0</v>
      </c>
      <c r="AC342" s="19">
        <f t="shared" si="30"/>
        <v>0</v>
      </c>
      <c r="AD342" s="19">
        <f t="shared" si="31"/>
        <v>0</v>
      </c>
      <c r="AE342" s="19">
        <f t="shared" si="32"/>
        <v>0</v>
      </c>
      <c r="AF342" s="19">
        <f t="shared" si="33"/>
        <v>0</v>
      </c>
      <c r="AG342" s="19">
        <f t="shared" si="34"/>
        <v>0</v>
      </c>
      <c r="AH342" s="19">
        <f t="shared" si="35"/>
        <v>0</v>
      </c>
    </row>
    <row r="343" spans="1:34">
      <c r="A343" s="8" t="s">
        <v>934</v>
      </c>
      <c r="B343" s="8" t="s">
        <v>2752</v>
      </c>
      <c r="C343" s="8" t="s">
        <v>954</v>
      </c>
      <c r="D343" s="8" t="s">
        <v>7</v>
      </c>
      <c r="E343" s="8" t="s">
        <v>80</v>
      </c>
      <c r="F343" s="8" t="s">
        <v>5</v>
      </c>
      <c r="G343" s="8" t="s">
        <v>7</v>
      </c>
      <c r="H343" s="8" t="s">
        <v>5702</v>
      </c>
      <c r="I343" s="8" t="s">
        <v>41</v>
      </c>
      <c r="J343" s="8" t="s">
        <v>43</v>
      </c>
      <c r="K343" s="8" t="s">
        <v>41</v>
      </c>
      <c r="L343" s="8" t="s">
        <v>110</v>
      </c>
      <c r="M343" s="11" t="s">
        <v>5606</v>
      </c>
      <c r="N343" s="8">
        <v>17</v>
      </c>
      <c r="O343" s="8">
        <v>11</v>
      </c>
      <c r="P343" s="8">
        <v>6</v>
      </c>
      <c r="Q343" s="8">
        <v>5</v>
      </c>
      <c r="R343" s="8">
        <v>4</v>
      </c>
      <c r="S343" s="8">
        <v>0</v>
      </c>
      <c r="T343" s="8">
        <v>0</v>
      </c>
      <c r="U343" s="8">
        <v>0</v>
      </c>
      <c r="V343" s="8">
        <v>0</v>
      </c>
      <c r="W343" s="8">
        <v>11</v>
      </c>
      <c r="X343" s="8">
        <v>6</v>
      </c>
      <c r="Y343" s="8">
        <v>1</v>
      </c>
      <c r="Z343" s="8">
        <v>1</v>
      </c>
      <c r="AA343" s="8">
        <v>0</v>
      </c>
      <c r="AB343" s="8">
        <v>0</v>
      </c>
      <c r="AC343" s="19">
        <f t="shared" si="30"/>
        <v>1</v>
      </c>
      <c r="AD343" s="19">
        <f t="shared" si="31"/>
        <v>0</v>
      </c>
      <c r="AE343" s="19">
        <f t="shared" si="32"/>
        <v>0</v>
      </c>
      <c r="AF343" s="19">
        <f t="shared" si="33"/>
        <v>5</v>
      </c>
      <c r="AG343" s="19">
        <f t="shared" si="34"/>
        <v>0</v>
      </c>
      <c r="AH343" s="19">
        <f t="shared" si="35"/>
        <v>0</v>
      </c>
    </row>
    <row r="344" spans="1:34">
      <c r="A344" s="8" t="s">
        <v>483</v>
      </c>
      <c r="B344" s="8" t="s">
        <v>2754</v>
      </c>
      <c r="C344" s="8" t="s">
        <v>954</v>
      </c>
      <c r="D344" s="8" t="s">
        <v>5</v>
      </c>
      <c r="E344" s="8" t="s">
        <v>80</v>
      </c>
      <c r="F344" s="8" t="s">
        <v>5</v>
      </c>
      <c r="G344" s="8" t="s">
        <v>9</v>
      </c>
      <c r="H344" s="8" t="s">
        <v>2755</v>
      </c>
      <c r="I344" s="8" t="s">
        <v>41</v>
      </c>
      <c r="J344" s="8" t="s">
        <v>43</v>
      </c>
      <c r="K344" s="8" t="s">
        <v>41</v>
      </c>
      <c r="L344" s="8" t="s">
        <v>110</v>
      </c>
      <c r="M344" s="11" t="s">
        <v>5607</v>
      </c>
      <c r="N344" s="8">
        <v>15</v>
      </c>
      <c r="O344" s="8">
        <v>9</v>
      </c>
      <c r="P344" s="8">
        <v>6</v>
      </c>
      <c r="Q344" s="8">
        <v>6</v>
      </c>
      <c r="R344" s="8">
        <v>3</v>
      </c>
      <c r="S344" s="8">
        <v>1</v>
      </c>
      <c r="T344" s="8">
        <v>0</v>
      </c>
      <c r="U344" s="8">
        <v>0</v>
      </c>
      <c r="V344" s="8">
        <v>0</v>
      </c>
      <c r="W344" s="8">
        <v>8</v>
      </c>
      <c r="X344" s="8">
        <v>6</v>
      </c>
      <c r="Y344" s="8">
        <v>0</v>
      </c>
      <c r="Z344" s="8">
        <v>0</v>
      </c>
      <c r="AA344" s="8">
        <v>0</v>
      </c>
      <c r="AB344" s="8">
        <v>0</v>
      </c>
      <c r="AC344" s="19">
        <f t="shared" si="30"/>
        <v>3</v>
      </c>
      <c r="AD344" s="19">
        <f t="shared" si="31"/>
        <v>1</v>
      </c>
      <c r="AE344" s="19">
        <f t="shared" si="32"/>
        <v>0</v>
      </c>
      <c r="AF344" s="19">
        <f t="shared" si="33"/>
        <v>2</v>
      </c>
      <c r="AG344" s="19">
        <f t="shared" si="34"/>
        <v>0</v>
      </c>
      <c r="AH344" s="19">
        <f t="shared" si="35"/>
        <v>0</v>
      </c>
    </row>
    <row r="345" spans="1:34">
      <c r="A345" s="8" t="s">
        <v>311</v>
      </c>
      <c r="B345" s="8" t="s">
        <v>2758</v>
      </c>
      <c r="C345" s="8" t="s">
        <v>118</v>
      </c>
      <c r="D345" s="8" t="s">
        <v>8</v>
      </c>
      <c r="E345" s="8" t="s">
        <v>41</v>
      </c>
      <c r="F345" s="8" t="s">
        <v>388</v>
      </c>
      <c r="G345" s="8" t="s">
        <v>11</v>
      </c>
      <c r="H345" s="8" t="s">
        <v>211</v>
      </c>
      <c r="I345" s="8" t="s">
        <v>41</v>
      </c>
      <c r="J345" s="8" t="s">
        <v>43</v>
      </c>
      <c r="K345" s="8" t="s">
        <v>41</v>
      </c>
      <c r="L345" s="8" t="s">
        <v>110</v>
      </c>
      <c r="M345" s="11" t="s">
        <v>2759</v>
      </c>
      <c r="N345" s="8">
        <v>19</v>
      </c>
      <c r="O345" s="8">
        <v>11</v>
      </c>
      <c r="P345" s="8">
        <v>8</v>
      </c>
      <c r="Q345" s="8">
        <v>1</v>
      </c>
      <c r="R345" s="8">
        <v>1</v>
      </c>
      <c r="S345" s="8">
        <v>2</v>
      </c>
      <c r="T345" s="8">
        <v>2</v>
      </c>
      <c r="U345" s="8">
        <v>0</v>
      </c>
      <c r="V345" s="8">
        <v>0</v>
      </c>
      <c r="W345" s="8">
        <v>13</v>
      </c>
      <c r="X345" s="8">
        <v>7</v>
      </c>
      <c r="Y345" s="8">
        <v>3</v>
      </c>
      <c r="Z345" s="8">
        <v>1</v>
      </c>
      <c r="AA345" s="8">
        <v>0</v>
      </c>
      <c r="AB345" s="8">
        <v>0</v>
      </c>
      <c r="AC345" s="19">
        <f t="shared" si="30"/>
        <v>0</v>
      </c>
      <c r="AD345" s="19">
        <f t="shared" si="31"/>
        <v>0</v>
      </c>
      <c r="AE345" s="19">
        <f t="shared" si="32"/>
        <v>0</v>
      </c>
      <c r="AF345" s="19">
        <f t="shared" si="33"/>
        <v>6</v>
      </c>
      <c r="AG345" s="19">
        <f t="shared" si="34"/>
        <v>2</v>
      </c>
      <c r="AH345" s="19">
        <f t="shared" si="35"/>
        <v>0</v>
      </c>
    </row>
    <row r="346" spans="1:34">
      <c r="A346" s="8" t="s">
        <v>359</v>
      </c>
      <c r="B346" s="8" t="s">
        <v>2760</v>
      </c>
      <c r="C346" s="8" t="s">
        <v>118</v>
      </c>
      <c r="D346" s="8" t="s">
        <v>6</v>
      </c>
      <c r="E346" s="8" t="s">
        <v>41</v>
      </c>
      <c r="F346" s="8" t="s">
        <v>388</v>
      </c>
      <c r="G346" s="8" t="s">
        <v>12</v>
      </c>
      <c r="H346" s="8" t="s">
        <v>437</v>
      </c>
      <c r="I346" s="8" t="s">
        <v>41</v>
      </c>
      <c r="J346" s="8" t="s">
        <v>43</v>
      </c>
      <c r="K346" s="8" t="s">
        <v>41</v>
      </c>
      <c r="L346" s="8" t="s">
        <v>110</v>
      </c>
      <c r="M346" s="11" t="s">
        <v>4069</v>
      </c>
      <c r="N346" s="8">
        <v>53</v>
      </c>
      <c r="O346" s="8">
        <v>38</v>
      </c>
      <c r="P346" s="8">
        <v>15</v>
      </c>
      <c r="Q346" s="8">
        <v>13</v>
      </c>
      <c r="R346" s="8">
        <v>12</v>
      </c>
      <c r="S346" s="8">
        <v>11</v>
      </c>
      <c r="T346" s="8">
        <v>7</v>
      </c>
      <c r="U346" s="8">
        <v>6</v>
      </c>
      <c r="V346" s="8">
        <v>6</v>
      </c>
      <c r="W346" s="8">
        <v>16</v>
      </c>
      <c r="X346" s="8">
        <v>7</v>
      </c>
      <c r="Y346" s="8">
        <v>7</v>
      </c>
      <c r="Z346" s="8">
        <v>6</v>
      </c>
      <c r="AA346" s="8">
        <v>0</v>
      </c>
      <c r="AB346" s="8">
        <v>0</v>
      </c>
      <c r="AC346" s="19">
        <f t="shared" si="30"/>
        <v>1</v>
      </c>
      <c r="AD346" s="19">
        <f t="shared" si="31"/>
        <v>4</v>
      </c>
      <c r="AE346" s="19">
        <f t="shared" si="32"/>
        <v>0</v>
      </c>
      <c r="AF346" s="19">
        <f t="shared" si="33"/>
        <v>9</v>
      </c>
      <c r="AG346" s="19">
        <f t="shared" si="34"/>
        <v>1</v>
      </c>
      <c r="AH346" s="19">
        <f t="shared" si="35"/>
        <v>0</v>
      </c>
    </row>
    <row r="347" spans="1:34">
      <c r="A347" s="8" t="s">
        <v>485</v>
      </c>
      <c r="B347" s="8" t="s">
        <v>2764</v>
      </c>
      <c r="C347" s="8" t="s">
        <v>13</v>
      </c>
      <c r="D347" s="8" t="s">
        <v>3</v>
      </c>
      <c r="E347" s="8" t="s">
        <v>126</v>
      </c>
      <c r="F347" s="8" t="s">
        <v>4</v>
      </c>
      <c r="G347" s="8" t="s">
        <v>3</v>
      </c>
      <c r="H347" s="8" t="s">
        <v>255</v>
      </c>
      <c r="I347" s="8" t="s">
        <v>41</v>
      </c>
      <c r="J347" s="8" t="s">
        <v>41</v>
      </c>
      <c r="K347" s="8" t="s">
        <v>41</v>
      </c>
      <c r="L347" s="8" t="s">
        <v>110</v>
      </c>
      <c r="M347" s="11" t="s">
        <v>2765</v>
      </c>
      <c r="N347" s="8">
        <v>36</v>
      </c>
      <c r="O347" s="8">
        <v>22</v>
      </c>
      <c r="P347" s="8">
        <v>14</v>
      </c>
      <c r="Q347" s="8">
        <v>5</v>
      </c>
      <c r="R347" s="8">
        <v>1</v>
      </c>
      <c r="S347" s="8">
        <v>8</v>
      </c>
      <c r="T347" s="8">
        <v>5</v>
      </c>
      <c r="U347" s="8">
        <v>8</v>
      </c>
      <c r="V347" s="8">
        <v>7</v>
      </c>
      <c r="W347" s="8">
        <v>13</v>
      </c>
      <c r="X347" s="8">
        <v>8</v>
      </c>
      <c r="Y347" s="8">
        <v>2</v>
      </c>
      <c r="Z347" s="8">
        <v>1</v>
      </c>
      <c r="AA347" s="8">
        <v>0</v>
      </c>
      <c r="AB347" s="8">
        <v>0</v>
      </c>
      <c r="AC347" s="19">
        <f t="shared" si="30"/>
        <v>4</v>
      </c>
      <c r="AD347" s="19">
        <f t="shared" si="31"/>
        <v>3</v>
      </c>
      <c r="AE347" s="19">
        <f t="shared" si="32"/>
        <v>1</v>
      </c>
      <c r="AF347" s="19">
        <f t="shared" si="33"/>
        <v>5</v>
      </c>
      <c r="AG347" s="19">
        <f t="shared" si="34"/>
        <v>1</v>
      </c>
      <c r="AH347" s="19">
        <f t="shared" si="35"/>
        <v>0</v>
      </c>
    </row>
    <row r="348" spans="1:34">
      <c r="A348" s="8" t="s">
        <v>1074</v>
      </c>
      <c r="B348" s="8" t="s">
        <v>2766</v>
      </c>
      <c r="C348" s="8" t="s">
        <v>13</v>
      </c>
      <c r="D348" s="8" t="s">
        <v>7</v>
      </c>
      <c r="E348" s="8" t="s">
        <v>126</v>
      </c>
      <c r="F348" s="8" t="s">
        <v>7</v>
      </c>
      <c r="G348" s="8" t="s">
        <v>6</v>
      </c>
      <c r="H348" s="8" t="s">
        <v>211</v>
      </c>
      <c r="I348" s="8" t="s">
        <v>41</v>
      </c>
      <c r="J348" s="8" t="s">
        <v>41</v>
      </c>
      <c r="K348" s="8" t="s">
        <v>41</v>
      </c>
      <c r="L348" s="8" t="s">
        <v>110</v>
      </c>
      <c r="M348" s="11" t="s">
        <v>3101</v>
      </c>
      <c r="N348" s="8">
        <v>108</v>
      </c>
      <c r="O348" s="8">
        <v>63</v>
      </c>
      <c r="P348" s="8">
        <v>45</v>
      </c>
      <c r="Q348" s="8">
        <v>4</v>
      </c>
      <c r="R348" s="8">
        <v>2</v>
      </c>
      <c r="S348" s="8">
        <v>14</v>
      </c>
      <c r="T348" s="8">
        <v>3</v>
      </c>
      <c r="U348" s="8">
        <v>21</v>
      </c>
      <c r="V348" s="8">
        <v>18</v>
      </c>
      <c r="W348" s="8">
        <v>47</v>
      </c>
      <c r="X348" s="8">
        <v>23</v>
      </c>
      <c r="Y348" s="8">
        <v>22</v>
      </c>
      <c r="Z348" s="8">
        <v>17</v>
      </c>
      <c r="AA348" s="8">
        <v>0</v>
      </c>
      <c r="AB348" s="8">
        <v>0</v>
      </c>
      <c r="AC348" s="19">
        <f t="shared" si="30"/>
        <v>2</v>
      </c>
      <c r="AD348" s="19">
        <f t="shared" si="31"/>
        <v>11</v>
      </c>
      <c r="AE348" s="19">
        <f t="shared" si="32"/>
        <v>3</v>
      </c>
      <c r="AF348" s="19">
        <f t="shared" si="33"/>
        <v>24</v>
      </c>
      <c r="AG348" s="19">
        <f t="shared" si="34"/>
        <v>5</v>
      </c>
      <c r="AH348" s="19">
        <f t="shared" si="35"/>
        <v>0</v>
      </c>
    </row>
    <row r="349" spans="1:34">
      <c r="A349" s="8" t="s">
        <v>486</v>
      </c>
      <c r="B349" s="8" t="s">
        <v>2767</v>
      </c>
      <c r="C349" s="8" t="s">
        <v>8</v>
      </c>
      <c r="D349" s="8" t="s">
        <v>5</v>
      </c>
      <c r="E349" s="8" t="s">
        <v>56</v>
      </c>
      <c r="F349" s="8" t="s">
        <v>7</v>
      </c>
      <c r="G349" s="8" t="s">
        <v>4</v>
      </c>
      <c r="H349" s="8" t="s">
        <v>771</v>
      </c>
      <c r="I349" s="8" t="s">
        <v>41</v>
      </c>
      <c r="J349" s="8" t="s">
        <v>41</v>
      </c>
      <c r="K349" s="8" t="s">
        <v>41</v>
      </c>
      <c r="L349" s="8" t="s">
        <v>110</v>
      </c>
      <c r="M349" s="11" t="s">
        <v>2768</v>
      </c>
      <c r="N349" s="8">
        <v>7</v>
      </c>
      <c r="O349" s="8">
        <v>5</v>
      </c>
      <c r="P349" s="8">
        <v>2</v>
      </c>
      <c r="Q349" s="8">
        <v>0</v>
      </c>
      <c r="R349" s="8">
        <v>0</v>
      </c>
      <c r="S349" s="8">
        <v>0</v>
      </c>
      <c r="T349" s="8">
        <v>0</v>
      </c>
      <c r="U349" s="8">
        <v>1</v>
      </c>
      <c r="V349" s="8">
        <v>0</v>
      </c>
      <c r="W349" s="8">
        <v>4</v>
      </c>
      <c r="X349" s="8">
        <v>3</v>
      </c>
      <c r="Y349" s="8">
        <v>2</v>
      </c>
      <c r="Z349" s="8">
        <v>2</v>
      </c>
      <c r="AA349" s="8">
        <v>0</v>
      </c>
      <c r="AB349" s="8">
        <v>0</v>
      </c>
      <c r="AC349" s="19">
        <f t="shared" si="30"/>
        <v>0</v>
      </c>
      <c r="AD349" s="19">
        <f t="shared" si="31"/>
        <v>0</v>
      </c>
      <c r="AE349" s="19">
        <f t="shared" si="32"/>
        <v>1</v>
      </c>
      <c r="AF349" s="19">
        <f t="shared" si="33"/>
        <v>1</v>
      </c>
      <c r="AG349" s="19">
        <f t="shared" si="34"/>
        <v>0</v>
      </c>
      <c r="AH349" s="19">
        <f t="shared" si="35"/>
        <v>0</v>
      </c>
    </row>
    <row r="350" spans="1:34">
      <c r="A350" s="8" t="s">
        <v>488</v>
      </c>
      <c r="B350" s="8" t="s">
        <v>2771</v>
      </c>
      <c r="C350" s="8" t="s">
        <v>958</v>
      </c>
      <c r="D350" s="8" t="s">
        <v>5</v>
      </c>
      <c r="E350" s="8" t="s">
        <v>80</v>
      </c>
      <c r="F350" s="8" t="s">
        <v>3</v>
      </c>
      <c r="G350" s="8" t="s">
        <v>6</v>
      </c>
      <c r="H350" s="8" t="s">
        <v>1198</v>
      </c>
      <c r="I350" s="8" t="s">
        <v>41</v>
      </c>
      <c r="J350" s="8" t="s">
        <v>43</v>
      </c>
      <c r="K350" s="8" t="s">
        <v>41</v>
      </c>
      <c r="L350" s="8" t="s">
        <v>110</v>
      </c>
      <c r="M350" s="11" t="s">
        <v>2772</v>
      </c>
      <c r="N350" s="8">
        <v>16</v>
      </c>
      <c r="O350" s="8">
        <v>9</v>
      </c>
      <c r="P350" s="8">
        <v>7</v>
      </c>
      <c r="Q350" s="8">
        <v>1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6</v>
      </c>
      <c r="X350" s="8">
        <v>1</v>
      </c>
      <c r="Y350" s="8">
        <v>9</v>
      </c>
      <c r="Z350" s="8">
        <v>8</v>
      </c>
      <c r="AA350" s="8">
        <v>0</v>
      </c>
      <c r="AB350" s="8">
        <v>0</v>
      </c>
      <c r="AC350" s="19">
        <f t="shared" si="30"/>
        <v>1</v>
      </c>
      <c r="AD350" s="19">
        <f t="shared" si="31"/>
        <v>0</v>
      </c>
      <c r="AE350" s="19">
        <f t="shared" si="32"/>
        <v>0</v>
      </c>
      <c r="AF350" s="19">
        <f t="shared" si="33"/>
        <v>5</v>
      </c>
      <c r="AG350" s="19">
        <f t="shared" si="34"/>
        <v>1</v>
      </c>
      <c r="AH350" s="19">
        <f t="shared" si="35"/>
        <v>0</v>
      </c>
    </row>
    <row r="351" spans="1:34">
      <c r="A351" s="8" t="s">
        <v>489</v>
      </c>
      <c r="B351" s="8" t="s">
        <v>2774</v>
      </c>
      <c r="C351" s="8" t="s">
        <v>16</v>
      </c>
      <c r="D351" s="8" t="s">
        <v>7</v>
      </c>
      <c r="E351" s="8" t="s">
        <v>126</v>
      </c>
      <c r="F351" s="8" t="s">
        <v>11</v>
      </c>
      <c r="G351" s="8" t="s">
        <v>4</v>
      </c>
      <c r="H351" s="8" t="s">
        <v>2776</v>
      </c>
      <c r="I351" s="8" t="s">
        <v>41</v>
      </c>
      <c r="J351" s="8" t="s">
        <v>43</v>
      </c>
      <c r="K351" s="8" t="s">
        <v>41</v>
      </c>
      <c r="L351" s="8" t="s">
        <v>110</v>
      </c>
      <c r="M351" s="11" t="s">
        <v>2775</v>
      </c>
      <c r="N351" s="8">
        <v>36</v>
      </c>
      <c r="O351" s="8">
        <v>21</v>
      </c>
      <c r="P351" s="8">
        <v>15</v>
      </c>
      <c r="Q351" s="8">
        <v>0</v>
      </c>
      <c r="R351" s="8">
        <v>0</v>
      </c>
      <c r="S351" s="8">
        <v>15</v>
      </c>
      <c r="T351" s="8">
        <v>11</v>
      </c>
      <c r="U351" s="8">
        <v>4</v>
      </c>
      <c r="V351" s="8">
        <v>2</v>
      </c>
      <c r="W351" s="8">
        <v>14</v>
      </c>
      <c r="X351" s="8">
        <v>6</v>
      </c>
      <c r="Y351" s="8">
        <v>3</v>
      </c>
      <c r="Z351" s="8">
        <v>2</v>
      </c>
      <c r="AA351" s="8">
        <v>0</v>
      </c>
      <c r="AB351" s="8">
        <v>0</v>
      </c>
      <c r="AC351" s="19">
        <f t="shared" si="30"/>
        <v>0</v>
      </c>
      <c r="AD351" s="19">
        <f t="shared" si="31"/>
        <v>4</v>
      </c>
      <c r="AE351" s="19">
        <f t="shared" si="32"/>
        <v>2</v>
      </c>
      <c r="AF351" s="19">
        <f t="shared" si="33"/>
        <v>8</v>
      </c>
      <c r="AG351" s="19">
        <f t="shared" si="34"/>
        <v>1</v>
      </c>
      <c r="AH351" s="19">
        <f t="shared" si="35"/>
        <v>0</v>
      </c>
    </row>
    <row r="352" spans="1:34">
      <c r="A352" s="8" t="s">
        <v>490</v>
      </c>
      <c r="B352" s="8" t="s">
        <v>2778</v>
      </c>
      <c r="C352" s="8" t="s">
        <v>5</v>
      </c>
      <c r="D352" s="8" t="s">
        <v>5</v>
      </c>
      <c r="E352" s="8" t="s">
        <v>43</v>
      </c>
      <c r="F352" s="8" t="s">
        <v>3</v>
      </c>
      <c r="G352" s="8" t="s">
        <v>9</v>
      </c>
      <c r="H352" s="8" t="s">
        <v>642</v>
      </c>
      <c r="I352" s="8" t="s">
        <v>41</v>
      </c>
      <c r="J352" s="8" t="s">
        <v>43</v>
      </c>
      <c r="K352" s="8" t="s">
        <v>41</v>
      </c>
      <c r="L352" s="8" t="s">
        <v>110</v>
      </c>
      <c r="M352" s="11" t="s">
        <v>5718</v>
      </c>
      <c r="N352" s="8">
        <v>151</v>
      </c>
      <c r="O352" s="8">
        <v>85</v>
      </c>
      <c r="P352" s="8">
        <v>66</v>
      </c>
      <c r="Q352" s="8">
        <v>34</v>
      </c>
      <c r="R352" s="8">
        <v>16</v>
      </c>
      <c r="S352" s="8">
        <v>39</v>
      </c>
      <c r="T352" s="8">
        <v>22</v>
      </c>
      <c r="U352" s="8">
        <v>35</v>
      </c>
      <c r="V352" s="8">
        <v>23</v>
      </c>
      <c r="W352" s="8">
        <v>27</v>
      </c>
      <c r="X352" s="8">
        <v>12</v>
      </c>
      <c r="Y352" s="8">
        <v>16</v>
      </c>
      <c r="Z352" s="8">
        <v>12</v>
      </c>
      <c r="AA352" s="8">
        <v>0</v>
      </c>
      <c r="AB352" s="8">
        <v>0</v>
      </c>
      <c r="AC352" s="19">
        <f t="shared" si="30"/>
        <v>18</v>
      </c>
      <c r="AD352" s="19">
        <f t="shared" si="31"/>
        <v>17</v>
      </c>
      <c r="AE352" s="19">
        <f t="shared" si="32"/>
        <v>12</v>
      </c>
      <c r="AF352" s="19">
        <f t="shared" si="33"/>
        <v>15</v>
      </c>
      <c r="AG352" s="19">
        <f t="shared" si="34"/>
        <v>4</v>
      </c>
      <c r="AH352" s="19">
        <f t="shared" si="35"/>
        <v>0</v>
      </c>
    </row>
    <row r="353" spans="1:34">
      <c r="A353" s="8" t="s">
        <v>491</v>
      </c>
      <c r="B353" s="8" t="s">
        <v>2781</v>
      </c>
      <c r="C353" s="8" t="s">
        <v>388</v>
      </c>
      <c r="D353" s="8" t="s">
        <v>3</v>
      </c>
      <c r="E353" s="8" t="s">
        <v>43</v>
      </c>
      <c r="F353" s="8" t="s">
        <v>18</v>
      </c>
      <c r="G353" s="8" t="s">
        <v>7</v>
      </c>
      <c r="H353" s="8" t="s">
        <v>376</v>
      </c>
      <c r="I353" s="8" t="s">
        <v>41</v>
      </c>
      <c r="J353" s="8" t="s">
        <v>43</v>
      </c>
      <c r="K353" s="8" t="s">
        <v>41</v>
      </c>
      <c r="L353" s="8" t="s">
        <v>110</v>
      </c>
      <c r="M353" s="11" t="s">
        <v>2782</v>
      </c>
      <c r="N353" s="8">
        <v>134</v>
      </c>
      <c r="O353" s="8">
        <v>90</v>
      </c>
      <c r="P353" s="8">
        <v>44</v>
      </c>
      <c r="Q353" s="8">
        <v>18</v>
      </c>
      <c r="R353" s="8">
        <v>11</v>
      </c>
      <c r="S353" s="8">
        <v>29</v>
      </c>
      <c r="T353" s="8">
        <v>20</v>
      </c>
      <c r="U353" s="8">
        <v>20</v>
      </c>
      <c r="V353" s="8">
        <v>14</v>
      </c>
      <c r="W353" s="8">
        <v>38</v>
      </c>
      <c r="X353" s="8">
        <v>26</v>
      </c>
      <c r="Y353" s="8">
        <v>29</v>
      </c>
      <c r="Z353" s="8">
        <v>19</v>
      </c>
      <c r="AA353" s="8">
        <v>0</v>
      </c>
      <c r="AB353" s="8">
        <v>0</v>
      </c>
      <c r="AC353" s="19">
        <f t="shared" si="30"/>
        <v>7</v>
      </c>
      <c r="AD353" s="19">
        <f t="shared" si="31"/>
        <v>9</v>
      </c>
      <c r="AE353" s="19">
        <f t="shared" si="32"/>
        <v>6</v>
      </c>
      <c r="AF353" s="19">
        <f t="shared" si="33"/>
        <v>12</v>
      </c>
      <c r="AG353" s="19">
        <f t="shared" si="34"/>
        <v>10</v>
      </c>
      <c r="AH353" s="19">
        <f t="shared" si="35"/>
        <v>0</v>
      </c>
    </row>
    <row r="354" spans="1:34">
      <c r="A354" s="8" t="s">
        <v>492</v>
      </c>
      <c r="B354" s="8" t="s">
        <v>2784</v>
      </c>
      <c r="C354" s="8" t="s">
        <v>17</v>
      </c>
      <c r="D354" s="8" t="s">
        <v>5</v>
      </c>
      <c r="E354" s="8" t="s">
        <v>80</v>
      </c>
      <c r="F354" s="8" t="s">
        <v>3</v>
      </c>
      <c r="G354" s="8" t="s">
        <v>8</v>
      </c>
      <c r="H354" s="8" t="s">
        <v>822</v>
      </c>
      <c r="I354" s="8" t="s">
        <v>41</v>
      </c>
      <c r="J354" s="8" t="s">
        <v>43</v>
      </c>
      <c r="K354" s="8" t="s">
        <v>41</v>
      </c>
      <c r="L354" s="8" t="s">
        <v>110</v>
      </c>
      <c r="M354" s="11" t="s">
        <v>2785</v>
      </c>
      <c r="N354" s="8">
        <v>92</v>
      </c>
      <c r="O354" s="8">
        <v>65</v>
      </c>
      <c r="P354" s="8">
        <v>27</v>
      </c>
      <c r="Q354" s="8">
        <v>13</v>
      </c>
      <c r="R354" s="8">
        <v>8</v>
      </c>
      <c r="S354" s="8">
        <v>22</v>
      </c>
      <c r="T354" s="8">
        <v>16</v>
      </c>
      <c r="U354" s="8">
        <v>18</v>
      </c>
      <c r="V354" s="8">
        <v>11</v>
      </c>
      <c r="W354" s="8">
        <v>24</v>
      </c>
      <c r="X354" s="8">
        <v>18</v>
      </c>
      <c r="Y354" s="8">
        <v>15</v>
      </c>
      <c r="Z354" s="8">
        <v>12</v>
      </c>
      <c r="AA354" s="8">
        <v>0</v>
      </c>
      <c r="AB354" s="8">
        <v>0</v>
      </c>
      <c r="AC354" s="19">
        <f t="shared" si="30"/>
        <v>5</v>
      </c>
      <c r="AD354" s="19">
        <f t="shared" si="31"/>
        <v>6</v>
      </c>
      <c r="AE354" s="19">
        <f t="shared" si="32"/>
        <v>7</v>
      </c>
      <c r="AF354" s="19">
        <f t="shared" si="33"/>
        <v>6</v>
      </c>
      <c r="AG354" s="19">
        <f t="shared" si="34"/>
        <v>3</v>
      </c>
      <c r="AH354" s="19">
        <f t="shared" si="35"/>
        <v>0</v>
      </c>
    </row>
    <row r="355" spans="1:34">
      <c r="A355" s="8" t="s">
        <v>495</v>
      </c>
      <c r="B355" s="8" t="s">
        <v>2786</v>
      </c>
      <c r="C355" s="8" t="s">
        <v>752</v>
      </c>
      <c r="D355" s="8" t="s">
        <v>8</v>
      </c>
      <c r="E355" s="8" t="s">
        <v>41</v>
      </c>
      <c r="F355" s="8" t="s">
        <v>17</v>
      </c>
      <c r="G355" s="8" t="s">
        <v>6</v>
      </c>
      <c r="H355" s="8" t="s">
        <v>2788</v>
      </c>
      <c r="I355" s="8" t="s">
        <v>41</v>
      </c>
      <c r="J355" s="8" t="s">
        <v>43</v>
      </c>
      <c r="K355" s="8" t="s">
        <v>41</v>
      </c>
      <c r="L355" s="8" t="s">
        <v>110</v>
      </c>
      <c r="M355" s="11" t="s">
        <v>2787</v>
      </c>
      <c r="N355" s="8">
        <v>23</v>
      </c>
      <c r="O355" s="8">
        <v>17</v>
      </c>
      <c r="P355" s="8">
        <v>6</v>
      </c>
      <c r="Q355" s="8">
        <v>0</v>
      </c>
      <c r="R355" s="8">
        <v>0</v>
      </c>
      <c r="S355" s="8">
        <v>5</v>
      </c>
      <c r="T355" s="8">
        <v>3</v>
      </c>
      <c r="U355" s="8">
        <v>9</v>
      </c>
      <c r="V355" s="8">
        <v>8</v>
      </c>
      <c r="W355" s="8">
        <v>3</v>
      </c>
      <c r="X355" s="8">
        <v>2</v>
      </c>
      <c r="Y355" s="8">
        <v>6</v>
      </c>
      <c r="Z355" s="8">
        <v>4</v>
      </c>
      <c r="AA355" s="8">
        <v>0</v>
      </c>
      <c r="AB355" s="8">
        <v>0</v>
      </c>
      <c r="AC355" s="19">
        <f t="shared" si="30"/>
        <v>0</v>
      </c>
      <c r="AD355" s="19">
        <f t="shared" si="31"/>
        <v>2</v>
      </c>
      <c r="AE355" s="19">
        <f t="shared" si="32"/>
        <v>1</v>
      </c>
      <c r="AF355" s="19">
        <f t="shared" si="33"/>
        <v>1</v>
      </c>
      <c r="AG355" s="19">
        <f t="shared" si="34"/>
        <v>2</v>
      </c>
      <c r="AH355" s="19">
        <f t="shared" si="35"/>
        <v>0</v>
      </c>
    </row>
    <row r="356" spans="1:34">
      <c r="A356" s="8" t="s">
        <v>496</v>
      </c>
      <c r="B356" s="8" t="s">
        <v>1992</v>
      </c>
      <c r="C356" s="8" t="s">
        <v>9</v>
      </c>
      <c r="D356" s="8" t="s">
        <v>3</v>
      </c>
      <c r="E356" s="8" t="s">
        <v>110</v>
      </c>
      <c r="F356" s="8" t="s">
        <v>3</v>
      </c>
      <c r="G356" s="8" t="s">
        <v>3</v>
      </c>
      <c r="H356" s="8" t="s">
        <v>5672</v>
      </c>
      <c r="I356" s="8" t="s">
        <v>41</v>
      </c>
      <c r="J356" s="8" t="s">
        <v>41</v>
      </c>
      <c r="K356" s="8" t="s">
        <v>5696</v>
      </c>
      <c r="L356" s="8" t="s">
        <v>110</v>
      </c>
      <c r="M356" s="11" t="s">
        <v>4297</v>
      </c>
      <c r="N356" s="8">
        <v>9</v>
      </c>
      <c r="O356" s="8">
        <v>1</v>
      </c>
      <c r="P356" s="8">
        <v>8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9</v>
      </c>
      <c r="X356" s="8">
        <v>1</v>
      </c>
      <c r="Y356" s="8">
        <v>0</v>
      </c>
      <c r="Z356" s="8">
        <v>0</v>
      </c>
      <c r="AA356" s="8">
        <v>0</v>
      </c>
      <c r="AB356" s="8">
        <v>0</v>
      </c>
      <c r="AC356" s="19">
        <f t="shared" si="30"/>
        <v>0</v>
      </c>
      <c r="AD356" s="19">
        <f t="shared" si="31"/>
        <v>0</v>
      </c>
      <c r="AE356" s="19">
        <f t="shared" si="32"/>
        <v>0</v>
      </c>
      <c r="AF356" s="19">
        <f t="shared" si="33"/>
        <v>8</v>
      </c>
      <c r="AG356" s="19">
        <f t="shared" si="34"/>
        <v>0</v>
      </c>
      <c r="AH356" s="19">
        <f t="shared" si="35"/>
        <v>0</v>
      </c>
    </row>
    <row r="357" spans="1:34">
      <c r="A357" s="8" t="s">
        <v>901</v>
      </c>
      <c r="B357" s="8" t="s">
        <v>1992</v>
      </c>
      <c r="C357" s="8" t="s">
        <v>956</v>
      </c>
      <c r="D357" s="8" t="s">
        <v>6</v>
      </c>
      <c r="E357" s="8" t="s">
        <v>41</v>
      </c>
      <c r="F357" s="8" t="s">
        <v>18</v>
      </c>
      <c r="G357" s="8" t="s">
        <v>3</v>
      </c>
      <c r="H357" s="8" t="s">
        <v>1845</v>
      </c>
      <c r="I357" s="8" t="s">
        <v>43</v>
      </c>
      <c r="J357" s="8" t="s">
        <v>41</v>
      </c>
      <c r="K357" s="8" t="s">
        <v>5696</v>
      </c>
      <c r="L357" s="8" t="s">
        <v>110</v>
      </c>
      <c r="M357" s="11" t="s">
        <v>2789</v>
      </c>
      <c r="N357" s="8">
        <v>16</v>
      </c>
      <c r="O357" s="8">
        <v>10</v>
      </c>
      <c r="P357" s="8">
        <v>6</v>
      </c>
      <c r="Q357" s="8">
        <v>2</v>
      </c>
      <c r="R357" s="8">
        <v>1</v>
      </c>
      <c r="S357" s="8">
        <v>2</v>
      </c>
      <c r="T357" s="8">
        <v>1</v>
      </c>
      <c r="U357" s="8">
        <v>3</v>
      </c>
      <c r="V357" s="8">
        <v>0</v>
      </c>
      <c r="W357" s="8">
        <v>6</v>
      </c>
      <c r="X357" s="8">
        <v>5</v>
      </c>
      <c r="Y357" s="8">
        <v>3</v>
      </c>
      <c r="Z357" s="8">
        <v>3</v>
      </c>
      <c r="AA357" s="8">
        <v>0</v>
      </c>
      <c r="AB357" s="8">
        <v>0</v>
      </c>
      <c r="AC357" s="19">
        <f t="shared" si="30"/>
        <v>1</v>
      </c>
      <c r="AD357" s="19">
        <f t="shared" si="31"/>
        <v>1</v>
      </c>
      <c r="AE357" s="19">
        <f t="shared" si="32"/>
        <v>3</v>
      </c>
      <c r="AF357" s="19">
        <f t="shared" si="33"/>
        <v>1</v>
      </c>
      <c r="AG357" s="19">
        <f t="shared" si="34"/>
        <v>0</v>
      </c>
      <c r="AH357" s="19">
        <f t="shared" si="35"/>
        <v>0</v>
      </c>
    </row>
    <row r="358" spans="1:34">
      <c r="A358" s="8" t="s">
        <v>902</v>
      </c>
      <c r="B358" s="8" t="s">
        <v>1992</v>
      </c>
      <c r="C358" s="8" t="s">
        <v>9</v>
      </c>
      <c r="D358" s="8" t="s">
        <v>5</v>
      </c>
      <c r="E358" s="8" t="s">
        <v>110</v>
      </c>
      <c r="F358" s="8" t="s">
        <v>6</v>
      </c>
      <c r="G358" s="8" t="s">
        <v>5</v>
      </c>
      <c r="H358" s="8" t="s">
        <v>94</v>
      </c>
      <c r="I358" s="8" t="s">
        <v>43</v>
      </c>
      <c r="J358" s="8" t="s">
        <v>41</v>
      </c>
      <c r="K358" s="8" t="s">
        <v>5696</v>
      </c>
      <c r="L358" s="8" t="s">
        <v>110</v>
      </c>
      <c r="M358" s="11" t="s">
        <v>2791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0</v>
      </c>
      <c r="Z358" s="8">
        <v>0</v>
      </c>
      <c r="AA358" s="8">
        <v>0</v>
      </c>
      <c r="AB358" s="8">
        <v>0</v>
      </c>
      <c r="AC358" s="19">
        <f t="shared" si="30"/>
        <v>0</v>
      </c>
      <c r="AD358" s="19">
        <f t="shared" si="31"/>
        <v>0</v>
      </c>
      <c r="AE358" s="19">
        <f t="shared" si="32"/>
        <v>0</v>
      </c>
      <c r="AF358" s="19">
        <f t="shared" si="33"/>
        <v>0</v>
      </c>
      <c r="AG358" s="19">
        <f t="shared" si="34"/>
        <v>0</v>
      </c>
      <c r="AH358" s="19">
        <f t="shared" si="35"/>
        <v>0</v>
      </c>
    </row>
    <row r="359" spans="1:34">
      <c r="A359" s="8" t="s">
        <v>501</v>
      </c>
      <c r="B359" s="8" t="s">
        <v>1992</v>
      </c>
      <c r="C359" s="8" t="s">
        <v>956</v>
      </c>
      <c r="D359" s="8" t="s">
        <v>4</v>
      </c>
      <c r="E359" s="8" t="s">
        <v>41</v>
      </c>
      <c r="F359" s="8" t="s">
        <v>11</v>
      </c>
      <c r="G359" s="8" t="s">
        <v>6</v>
      </c>
      <c r="H359" s="8" t="s">
        <v>4531</v>
      </c>
      <c r="I359" s="8" t="s">
        <v>43</v>
      </c>
      <c r="J359" s="8" t="s">
        <v>41</v>
      </c>
      <c r="K359" s="8" t="s">
        <v>5696</v>
      </c>
      <c r="L359" s="8" t="s">
        <v>110</v>
      </c>
      <c r="M359" s="11" t="s">
        <v>1848</v>
      </c>
      <c r="N359" s="8">
        <v>1</v>
      </c>
      <c r="O359" s="8">
        <v>1</v>
      </c>
      <c r="P359" s="8">
        <v>0</v>
      </c>
      <c r="Q359" s="8">
        <v>1</v>
      </c>
      <c r="R359" s="8">
        <v>1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  <c r="Z359" s="8">
        <v>0</v>
      </c>
      <c r="AA359" s="8">
        <v>0</v>
      </c>
      <c r="AB359" s="8">
        <v>0</v>
      </c>
      <c r="AC359" s="19">
        <f t="shared" si="30"/>
        <v>0</v>
      </c>
      <c r="AD359" s="19">
        <f t="shared" si="31"/>
        <v>0</v>
      </c>
      <c r="AE359" s="19">
        <f t="shared" si="32"/>
        <v>0</v>
      </c>
      <c r="AF359" s="19">
        <f t="shared" si="33"/>
        <v>0</v>
      </c>
      <c r="AG359" s="19">
        <f t="shared" si="34"/>
        <v>0</v>
      </c>
      <c r="AH359" s="19">
        <f t="shared" si="35"/>
        <v>0</v>
      </c>
    </row>
    <row r="360" spans="1:34">
      <c r="A360" s="8" t="s">
        <v>503</v>
      </c>
      <c r="B360" s="8" t="s">
        <v>1992</v>
      </c>
      <c r="C360" s="8" t="s">
        <v>957</v>
      </c>
      <c r="D360" s="8" t="s">
        <v>6</v>
      </c>
      <c r="E360" s="8" t="s">
        <v>41</v>
      </c>
      <c r="F360" s="8" t="s">
        <v>12</v>
      </c>
      <c r="G360" s="8" t="s">
        <v>3</v>
      </c>
      <c r="H360" s="8" t="s">
        <v>165</v>
      </c>
      <c r="I360" s="8" t="s">
        <v>43</v>
      </c>
      <c r="J360" s="8" t="s">
        <v>41</v>
      </c>
      <c r="K360" s="8" t="s">
        <v>5696</v>
      </c>
      <c r="L360" s="8" t="s">
        <v>110</v>
      </c>
      <c r="M360" s="11" t="s">
        <v>2793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0</v>
      </c>
      <c r="Z360" s="8">
        <v>0</v>
      </c>
      <c r="AA360" s="8">
        <v>0</v>
      </c>
      <c r="AB360" s="8">
        <v>0</v>
      </c>
      <c r="AC360" s="19">
        <f t="shared" si="30"/>
        <v>0</v>
      </c>
      <c r="AD360" s="19">
        <f t="shared" si="31"/>
        <v>0</v>
      </c>
      <c r="AE360" s="19">
        <f t="shared" si="32"/>
        <v>0</v>
      </c>
      <c r="AF360" s="19">
        <f t="shared" si="33"/>
        <v>0</v>
      </c>
      <c r="AG360" s="19">
        <f t="shared" si="34"/>
        <v>0</v>
      </c>
      <c r="AH360" s="19">
        <f t="shared" si="35"/>
        <v>0</v>
      </c>
    </row>
    <row r="361" spans="1:34">
      <c r="A361" s="8" t="s">
        <v>903</v>
      </c>
      <c r="B361" s="8" t="s">
        <v>1992</v>
      </c>
      <c r="C361" s="8" t="s">
        <v>957</v>
      </c>
      <c r="D361" s="8" t="s">
        <v>5</v>
      </c>
      <c r="E361" s="8" t="s">
        <v>41</v>
      </c>
      <c r="F361" s="8" t="s">
        <v>4</v>
      </c>
      <c r="G361" s="8" t="s">
        <v>5</v>
      </c>
      <c r="H361" s="8" t="s">
        <v>4325</v>
      </c>
      <c r="I361" s="8" t="s">
        <v>43</v>
      </c>
      <c r="J361" s="8" t="s">
        <v>41</v>
      </c>
      <c r="K361" s="8" t="s">
        <v>5696</v>
      </c>
      <c r="L361" s="8" t="s">
        <v>110</v>
      </c>
      <c r="M361" s="11" t="s">
        <v>4925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  <c r="AB361" s="8">
        <v>0</v>
      </c>
      <c r="AC361" s="19">
        <f t="shared" si="30"/>
        <v>0</v>
      </c>
      <c r="AD361" s="19">
        <f t="shared" si="31"/>
        <v>0</v>
      </c>
      <c r="AE361" s="19">
        <f t="shared" si="32"/>
        <v>0</v>
      </c>
      <c r="AF361" s="19">
        <f t="shared" si="33"/>
        <v>0</v>
      </c>
      <c r="AG361" s="19">
        <f t="shared" si="34"/>
        <v>0</v>
      </c>
      <c r="AH361" s="19">
        <f t="shared" si="35"/>
        <v>0</v>
      </c>
    </row>
    <row r="362" spans="1:34">
      <c r="A362" s="8" t="s">
        <v>504</v>
      </c>
      <c r="B362" s="8" t="s">
        <v>1992</v>
      </c>
      <c r="C362" s="8" t="s">
        <v>3</v>
      </c>
      <c r="D362" s="8" t="s">
        <v>5</v>
      </c>
      <c r="E362" s="8" t="s">
        <v>41</v>
      </c>
      <c r="F362" s="8" t="s">
        <v>3</v>
      </c>
      <c r="G362" s="8" t="s">
        <v>8</v>
      </c>
      <c r="H362" s="8" t="s">
        <v>867</v>
      </c>
      <c r="I362" s="8" t="s">
        <v>43</v>
      </c>
      <c r="J362" s="8" t="s">
        <v>41</v>
      </c>
      <c r="K362" s="8" t="s">
        <v>5696</v>
      </c>
      <c r="L362" s="8" t="s">
        <v>110</v>
      </c>
      <c r="M362" s="11" t="s">
        <v>2795</v>
      </c>
      <c r="N362" s="8">
        <v>3</v>
      </c>
      <c r="O362" s="8">
        <v>3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3</v>
      </c>
      <c r="V362" s="8">
        <v>3</v>
      </c>
      <c r="W362" s="8">
        <v>0</v>
      </c>
      <c r="X362" s="8">
        <v>0</v>
      </c>
      <c r="Y362" s="8">
        <v>0</v>
      </c>
      <c r="Z362" s="8">
        <v>0</v>
      </c>
      <c r="AA362" s="8">
        <v>0</v>
      </c>
      <c r="AB362" s="8">
        <v>0</v>
      </c>
      <c r="AC362" s="19">
        <f t="shared" si="30"/>
        <v>0</v>
      </c>
      <c r="AD362" s="19">
        <f t="shared" si="31"/>
        <v>0</v>
      </c>
      <c r="AE362" s="19">
        <f t="shared" si="32"/>
        <v>0</v>
      </c>
      <c r="AF362" s="19">
        <f t="shared" si="33"/>
        <v>0</v>
      </c>
      <c r="AG362" s="19">
        <f t="shared" si="34"/>
        <v>0</v>
      </c>
      <c r="AH362" s="19">
        <f t="shared" si="35"/>
        <v>0</v>
      </c>
    </row>
    <row r="363" spans="1:34">
      <c r="A363" s="8" t="s">
        <v>505</v>
      </c>
      <c r="B363" s="8" t="s">
        <v>1992</v>
      </c>
      <c r="C363" s="8" t="s">
        <v>17</v>
      </c>
      <c r="D363" s="8" t="s">
        <v>9</v>
      </c>
      <c r="E363" s="8" t="s">
        <v>80</v>
      </c>
      <c r="F363" s="8" t="s">
        <v>4</v>
      </c>
      <c r="G363" s="8" t="s">
        <v>5</v>
      </c>
      <c r="H363" s="8" t="s">
        <v>827</v>
      </c>
      <c r="I363" s="8" t="s">
        <v>43</v>
      </c>
      <c r="J363" s="8" t="s">
        <v>41</v>
      </c>
      <c r="K363" s="8" t="s">
        <v>5696</v>
      </c>
      <c r="L363" s="8" t="s">
        <v>110</v>
      </c>
      <c r="M363" s="11" t="s">
        <v>1889</v>
      </c>
      <c r="N363" s="8">
        <v>4</v>
      </c>
      <c r="O363" s="8">
        <v>3</v>
      </c>
      <c r="P363" s="8">
        <v>1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8">
        <v>0</v>
      </c>
      <c r="W363" s="8">
        <v>2</v>
      </c>
      <c r="X363" s="8">
        <v>2</v>
      </c>
      <c r="Y363" s="8">
        <v>2</v>
      </c>
      <c r="Z363" s="8">
        <v>1</v>
      </c>
      <c r="AA363" s="8">
        <v>0</v>
      </c>
      <c r="AB363" s="8">
        <v>0</v>
      </c>
      <c r="AC363" s="19">
        <f t="shared" si="30"/>
        <v>0</v>
      </c>
      <c r="AD363" s="19">
        <f t="shared" si="31"/>
        <v>0</v>
      </c>
      <c r="AE363" s="19">
        <f t="shared" si="32"/>
        <v>0</v>
      </c>
      <c r="AF363" s="19">
        <f t="shared" si="33"/>
        <v>0</v>
      </c>
      <c r="AG363" s="19">
        <f t="shared" si="34"/>
        <v>1</v>
      </c>
      <c r="AH363" s="19">
        <f t="shared" si="35"/>
        <v>0</v>
      </c>
    </row>
    <row r="364" spans="1:34">
      <c r="A364" s="8" t="s">
        <v>148</v>
      </c>
      <c r="B364" s="8" t="s">
        <v>1992</v>
      </c>
      <c r="C364" s="8" t="s">
        <v>5</v>
      </c>
      <c r="D364" s="8" t="s">
        <v>6</v>
      </c>
      <c r="E364" s="8" t="s">
        <v>43</v>
      </c>
      <c r="F364" s="8" t="s">
        <v>3</v>
      </c>
      <c r="G364" s="8" t="s">
        <v>6</v>
      </c>
      <c r="H364" s="8" t="s">
        <v>5673</v>
      </c>
      <c r="I364" s="8" t="s">
        <v>43</v>
      </c>
      <c r="J364" s="8" t="s">
        <v>41</v>
      </c>
      <c r="K364" s="8" t="s">
        <v>5696</v>
      </c>
      <c r="L364" s="8" t="s">
        <v>110</v>
      </c>
      <c r="M364" s="11" t="s">
        <v>3501</v>
      </c>
      <c r="N364" s="8">
        <v>8</v>
      </c>
      <c r="O364" s="8">
        <v>4</v>
      </c>
      <c r="P364" s="8">
        <v>4</v>
      </c>
      <c r="Q364" s="8">
        <v>3</v>
      </c>
      <c r="R364" s="8">
        <v>1</v>
      </c>
      <c r="S364" s="8">
        <v>1</v>
      </c>
      <c r="T364" s="8">
        <v>1</v>
      </c>
      <c r="U364" s="8">
        <v>0</v>
      </c>
      <c r="V364" s="8">
        <v>0</v>
      </c>
      <c r="W364" s="8">
        <v>2</v>
      </c>
      <c r="X364" s="8">
        <v>1</v>
      </c>
      <c r="Y364" s="8">
        <v>2</v>
      </c>
      <c r="Z364" s="8">
        <v>1</v>
      </c>
      <c r="AA364" s="8">
        <v>0</v>
      </c>
      <c r="AB364" s="8">
        <v>0</v>
      </c>
      <c r="AC364" s="19">
        <f t="shared" si="30"/>
        <v>2</v>
      </c>
      <c r="AD364" s="19">
        <f t="shared" si="31"/>
        <v>0</v>
      </c>
      <c r="AE364" s="19">
        <f t="shared" si="32"/>
        <v>0</v>
      </c>
      <c r="AF364" s="19">
        <f t="shared" si="33"/>
        <v>1</v>
      </c>
      <c r="AG364" s="19">
        <f t="shared" si="34"/>
        <v>1</v>
      </c>
      <c r="AH364" s="19">
        <f t="shared" si="35"/>
        <v>0</v>
      </c>
    </row>
    <row r="365" spans="1:34">
      <c r="A365" s="8" t="s">
        <v>232</v>
      </c>
      <c r="B365" s="8" t="s">
        <v>1992</v>
      </c>
      <c r="C365" s="8" t="s">
        <v>3</v>
      </c>
      <c r="D365" s="8" t="s">
        <v>6</v>
      </c>
      <c r="E365" s="8" t="s">
        <v>41</v>
      </c>
      <c r="F365" s="8" t="s">
        <v>70</v>
      </c>
      <c r="G365" s="8" t="s">
        <v>5</v>
      </c>
      <c r="H365" s="8" t="s">
        <v>1918</v>
      </c>
      <c r="I365" s="8" t="s">
        <v>43</v>
      </c>
      <c r="J365" s="8" t="s">
        <v>41</v>
      </c>
      <c r="K365" s="8" t="s">
        <v>5696</v>
      </c>
      <c r="L365" s="8" t="s">
        <v>110</v>
      </c>
      <c r="M365" s="11" t="s">
        <v>4500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8">
        <v>0</v>
      </c>
      <c r="AC365" s="19">
        <f t="shared" si="30"/>
        <v>0</v>
      </c>
      <c r="AD365" s="19">
        <f t="shared" si="31"/>
        <v>0</v>
      </c>
      <c r="AE365" s="19">
        <f t="shared" si="32"/>
        <v>0</v>
      </c>
      <c r="AF365" s="19">
        <f t="shared" si="33"/>
        <v>0</v>
      </c>
      <c r="AG365" s="19">
        <f t="shared" si="34"/>
        <v>0</v>
      </c>
      <c r="AH365" s="19">
        <f t="shared" si="35"/>
        <v>0</v>
      </c>
    </row>
    <row r="366" spans="1:34">
      <c r="A366" s="8" t="s">
        <v>506</v>
      </c>
      <c r="B366" s="8" t="s">
        <v>1992</v>
      </c>
      <c r="C366" s="8" t="s">
        <v>956</v>
      </c>
      <c r="D366" s="8" t="s">
        <v>8</v>
      </c>
      <c r="E366" s="8" t="s">
        <v>41</v>
      </c>
      <c r="F366" s="8" t="s">
        <v>16</v>
      </c>
      <c r="G366" s="8" t="s">
        <v>4</v>
      </c>
      <c r="H366" s="8" t="s">
        <v>89</v>
      </c>
      <c r="I366" s="8" t="s">
        <v>43</v>
      </c>
      <c r="J366" s="8" t="s">
        <v>41</v>
      </c>
      <c r="K366" s="8" t="s">
        <v>5696</v>
      </c>
      <c r="L366" s="8" t="s">
        <v>110</v>
      </c>
      <c r="M366" s="11" t="s">
        <v>1861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8">
        <v>0</v>
      </c>
      <c r="Z366" s="8">
        <v>0</v>
      </c>
      <c r="AA366" s="8">
        <v>0</v>
      </c>
      <c r="AB366" s="8">
        <v>0</v>
      </c>
      <c r="AC366" s="19">
        <f t="shared" si="30"/>
        <v>0</v>
      </c>
      <c r="AD366" s="19">
        <f t="shared" si="31"/>
        <v>0</v>
      </c>
      <c r="AE366" s="19">
        <f t="shared" si="32"/>
        <v>0</v>
      </c>
      <c r="AF366" s="19">
        <f t="shared" si="33"/>
        <v>0</v>
      </c>
      <c r="AG366" s="19">
        <f t="shared" si="34"/>
        <v>0</v>
      </c>
      <c r="AH366" s="19">
        <f t="shared" si="35"/>
        <v>0</v>
      </c>
    </row>
    <row r="367" spans="1:34">
      <c r="A367" s="8" t="s">
        <v>330</v>
      </c>
      <c r="B367" s="8" t="s">
        <v>2801</v>
      </c>
      <c r="C367" s="8" t="s">
        <v>956</v>
      </c>
      <c r="D367" s="8" t="s">
        <v>7</v>
      </c>
      <c r="E367" s="8" t="s">
        <v>41</v>
      </c>
      <c r="F367" s="8" t="s">
        <v>118</v>
      </c>
      <c r="G367" s="8" t="s">
        <v>5</v>
      </c>
      <c r="H367" s="8" t="s">
        <v>234</v>
      </c>
      <c r="I367" s="8" t="s">
        <v>41</v>
      </c>
      <c r="J367" s="8" t="s">
        <v>41</v>
      </c>
      <c r="K367" s="8" t="s">
        <v>43</v>
      </c>
      <c r="L367" s="8" t="s">
        <v>110</v>
      </c>
      <c r="M367" s="11" t="s">
        <v>2802</v>
      </c>
      <c r="N367" s="8">
        <v>325</v>
      </c>
      <c r="O367" s="8">
        <v>186</v>
      </c>
      <c r="P367" s="8">
        <v>139</v>
      </c>
      <c r="Q367" s="8">
        <v>118</v>
      </c>
      <c r="R367" s="8">
        <v>61</v>
      </c>
      <c r="S367" s="8">
        <v>69</v>
      </c>
      <c r="T367" s="8">
        <v>40</v>
      </c>
      <c r="U367" s="8">
        <v>60</v>
      </c>
      <c r="V367" s="8">
        <v>46</v>
      </c>
      <c r="W367" s="8">
        <v>57</v>
      </c>
      <c r="X367" s="8">
        <v>28</v>
      </c>
      <c r="Y367" s="8">
        <v>21</v>
      </c>
      <c r="Z367" s="8">
        <v>11</v>
      </c>
      <c r="AA367" s="8">
        <v>0</v>
      </c>
      <c r="AB367" s="8">
        <v>0</v>
      </c>
      <c r="AC367" s="19">
        <f t="shared" si="30"/>
        <v>57</v>
      </c>
      <c r="AD367" s="19">
        <f t="shared" si="31"/>
        <v>29</v>
      </c>
      <c r="AE367" s="19">
        <f t="shared" si="32"/>
        <v>14</v>
      </c>
      <c r="AF367" s="19">
        <f t="shared" si="33"/>
        <v>29</v>
      </c>
      <c r="AG367" s="19">
        <f t="shared" si="34"/>
        <v>10</v>
      </c>
      <c r="AH367" s="19">
        <f t="shared" si="35"/>
        <v>0</v>
      </c>
    </row>
    <row r="368" spans="1:34">
      <c r="A368" s="8" t="s">
        <v>306</v>
      </c>
      <c r="B368" s="8" t="s">
        <v>2804</v>
      </c>
      <c r="C368" s="8" t="s">
        <v>754</v>
      </c>
      <c r="D368" s="8" t="s">
        <v>7</v>
      </c>
      <c r="E368" s="8" t="s">
        <v>68</v>
      </c>
      <c r="F368" s="8" t="s">
        <v>4</v>
      </c>
      <c r="G368" s="8" t="s">
        <v>6</v>
      </c>
      <c r="H368" s="8" t="s">
        <v>872</v>
      </c>
      <c r="I368" s="8" t="s">
        <v>41</v>
      </c>
      <c r="J368" s="8" t="s">
        <v>43</v>
      </c>
      <c r="K368" s="8" t="s">
        <v>41</v>
      </c>
      <c r="L368" s="8" t="s">
        <v>110</v>
      </c>
      <c r="M368" s="11" t="s">
        <v>5608</v>
      </c>
      <c r="N368" s="8">
        <v>76</v>
      </c>
      <c r="O368" s="8">
        <v>41</v>
      </c>
      <c r="P368" s="8">
        <v>35</v>
      </c>
      <c r="Q368" s="8">
        <v>19</v>
      </c>
      <c r="R368" s="8">
        <v>7</v>
      </c>
      <c r="S368" s="8">
        <v>17</v>
      </c>
      <c r="T368" s="8">
        <v>7</v>
      </c>
      <c r="U368" s="8">
        <v>13</v>
      </c>
      <c r="V368" s="8">
        <v>9</v>
      </c>
      <c r="W368" s="8">
        <v>12</v>
      </c>
      <c r="X368" s="8">
        <v>7</v>
      </c>
      <c r="Y368" s="8">
        <v>15</v>
      </c>
      <c r="Z368" s="8">
        <v>11</v>
      </c>
      <c r="AA368" s="8">
        <v>0</v>
      </c>
      <c r="AB368" s="8">
        <v>0</v>
      </c>
      <c r="AC368" s="19">
        <f t="shared" si="30"/>
        <v>12</v>
      </c>
      <c r="AD368" s="19">
        <f t="shared" si="31"/>
        <v>10</v>
      </c>
      <c r="AE368" s="19">
        <f t="shared" si="32"/>
        <v>4</v>
      </c>
      <c r="AF368" s="19">
        <f t="shared" si="33"/>
        <v>5</v>
      </c>
      <c r="AG368" s="19">
        <f t="shared" si="34"/>
        <v>4</v>
      </c>
      <c r="AH368" s="19">
        <f t="shared" si="35"/>
        <v>0</v>
      </c>
    </row>
    <row r="369" spans="1:34">
      <c r="A369" s="8" t="s">
        <v>307</v>
      </c>
      <c r="B369" s="8" t="s">
        <v>2805</v>
      </c>
      <c r="C369" s="8" t="s">
        <v>17</v>
      </c>
      <c r="D369" s="8" t="s">
        <v>5</v>
      </c>
      <c r="E369" s="8" t="s">
        <v>80</v>
      </c>
      <c r="F369" s="8" t="s">
        <v>3</v>
      </c>
      <c r="G369" s="8" t="s">
        <v>8</v>
      </c>
      <c r="H369" s="8" t="s">
        <v>820</v>
      </c>
      <c r="I369" s="8" t="s">
        <v>41</v>
      </c>
      <c r="J369" s="8" t="s">
        <v>43</v>
      </c>
      <c r="K369" s="8" t="s">
        <v>5696</v>
      </c>
      <c r="L369" s="8" t="s">
        <v>110</v>
      </c>
      <c r="M369" s="11" t="s">
        <v>2806</v>
      </c>
      <c r="N369" s="8">
        <v>2</v>
      </c>
      <c r="O369" s="8">
        <v>1</v>
      </c>
      <c r="P369" s="8">
        <v>1</v>
      </c>
      <c r="Q369" s="8">
        <v>0</v>
      </c>
      <c r="R369" s="8">
        <v>0</v>
      </c>
      <c r="S369" s="8">
        <v>1</v>
      </c>
      <c r="T369" s="8">
        <v>1</v>
      </c>
      <c r="U369" s="8">
        <v>0</v>
      </c>
      <c r="V369" s="8">
        <v>0</v>
      </c>
      <c r="W369" s="8">
        <v>1</v>
      </c>
      <c r="X369" s="8">
        <v>0</v>
      </c>
      <c r="Y369" s="8">
        <v>0</v>
      </c>
      <c r="Z369" s="8">
        <v>0</v>
      </c>
      <c r="AA369" s="8">
        <v>0</v>
      </c>
      <c r="AB369" s="8">
        <v>0</v>
      </c>
      <c r="AC369" s="19">
        <f t="shared" si="30"/>
        <v>0</v>
      </c>
      <c r="AD369" s="19">
        <f t="shared" si="31"/>
        <v>0</v>
      </c>
      <c r="AE369" s="19">
        <f t="shared" si="32"/>
        <v>0</v>
      </c>
      <c r="AF369" s="19">
        <f t="shared" si="33"/>
        <v>1</v>
      </c>
      <c r="AG369" s="19">
        <f t="shared" si="34"/>
        <v>0</v>
      </c>
      <c r="AH369" s="19">
        <f t="shared" si="35"/>
        <v>0</v>
      </c>
    </row>
    <row r="370" spans="1:34">
      <c r="A370" s="8" t="s">
        <v>904</v>
      </c>
      <c r="B370" s="8" t="s">
        <v>2807</v>
      </c>
      <c r="C370" s="8" t="s">
        <v>11</v>
      </c>
      <c r="D370" s="8" t="s">
        <v>5</v>
      </c>
      <c r="E370" s="8" t="s">
        <v>126</v>
      </c>
      <c r="F370" s="8" t="s">
        <v>6</v>
      </c>
      <c r="G370" s="8" t="s">
        <v>5</v>
      </c>
      <c r="H370" s="8" t="s">
        <v>350</v>
      </c>
      <c r="I370" s="8" t="s">
        <v>41</v>
      </c>
      <c r="J370" s="8" t="s">
        <v>43</v>
      </c>
      <c r="K370" s="8" t="s">
        <v>41</v>
      </c>
      <c r="L370" s="8" t="s">
        <v>110</v>
      </c>
      <c r="M370" s="11" t="s">
        <v>5610</v>
      </c>
      <c r="N370" s="8">
        <v>65</v>
      </c>
      <c r="O370" s="8">
        <v>44</v>
      </c>
      <c r="P370" s="8">
        <v>21</v>
      </c>
      <c r="Q370" s="8">
        <v>23</v>
      </c>
      <c r="R370" s="8">
        <v>17</v>
      </c>
      <c r="S370" s="8">
        <v>18</v>
      </c>
      <c r="T370" s="8">
        <v>11</v>
      </c>
      <c r="U370" s="8">
        <v>6</v>
      </c>
      <c r="V370" s="8">
        <v>4</v>
      </c>
      <c r="W370" s="8">
        <v>18</v>
      </c>
      <c r="X370" s="8">
        <v>12</v>
      </c>
      <c r="Y370" s="8">
        <v>0</v>
      </c>
      <c r="Z370" s="8">
        <v>0</v>
      </c>
      <c r="AA370" s="8">
        <v>0</v>
      </c>
      <c r="AB370" s="8">
        <v>0</v>
      </c>
      <c r="AC370" s="19">
        <f t="shared" si="30"/>
        <v>6</v>
      </c>
      <c r="AD370" s="19">
        <f t="shared" si="31"/>
        <v>7</v>
      </c>
      <c r="AE370" s="19">
        <f t="shared" si="32"/>
        <v>2</v>
      </c>
      <c r="AF370" s="19">
        <f t="shared" si="33"/>
        <v>6</v>
      </c>
      <c r="AG370" s="19">
        <f t="shared" si="34"/>
        <v>0</v>
      </c>
      <c r="AH370" s="19">
        <f t="shared" si="35"/>
        <v>0</v>
      </c>
    </row>
    <row r="371" spans="1:34">
      <c r="A371" s="8" t="s">
        <v>905</v>
      </c>
      <c r="B371" s="8" t="s">
        <v>2810</v>
      </c>
      <c r="C371" s="8" t="s">
        <v>8</v>
      </c>
      <c r="D371" s="8" t="s">
        <v>7</v>
      </c>
      <c r="E371" s="8" t="s">
        <v>56</v>
      </c>
      <c r="F371" s="8" t="s">
        <v>7</v>
      </c>
      <c r="G371" s="8" t="s">
        <v>9</v>
      </c>
      <c r="H371" s="8" t="s">
        <v>733</v>
      </c>
      <c r="I371" s="8" t="s">
        <v>41</v>
      </c>
      <c r="J371" s="8" t="s">
        <v>43</v>
      </c>
      <c r="K371" s="8" t="s">
        <v>41</v>
      </c>
      <c r="L371" s="8" t="s">
        <v>110</v>
      </c>
      <c r="M371" s="11" t="s">
        <v>2811</v>
      </c>
      <c r="N371" s="8">
        <v>38</v>
      </c>
      <c r="O371" s="8">
        <v>26</v>
      </c>
      <c r="P371" s="8">
        <v>12</v>
      </c>
      <c r="Q371" s="8">
        <v>10</v>
      </c>
      <c r="R371" s="8">
        <v>5</v>
      </c>
      <c r="S371" s="8">
        <v>4</v>
      </c>
      <c r="T371" s="8">
        <v>3</v>
      </c>
      <c r="U371" s="8">
        <v>7</v>
      </c>
      <c r="V371" s="8">
        <v>6</v>
      </c>
      <c r="W371" s="8">
        <v>14</v>
      </c>
      <c r="X371" s="8">
        <v>11</v>
      </c>
      <c r="Y371" s="8">
        <v>3</v>
      </c>
      <c r="Z371" s="8">
        <v>1</v>
      </c>
      <c r="AA371" s="8">
        <v>0</v>
      </c>
      <c r="AB371" s="8">
        <v>0</v>
      </c>
      <c r="AC371" s="19">
        <f t="shared" si="30"/>
        <v>5</v>
      </c>
      <c r="AD371" s="19">
        <f t="shared" si="31"/>
        <v>1</v>
      </c>
      <c r="AE371" s="19">
        <f t="shared" si="32"/>
        <v>1</v>
      </c>
      <c r="AF371" s="19">
        <f t="shared" si="33"/>
        <v>3</v>
      </c>
      <c r="AG371" s="19">
        <f t="shared" si="34"/>
        <v>2</v>
      </c>
      <c r="AH371" s="19">
        <f t="shared" si="35"/>
        <v>0</v>
      </c>
    </row>
    <row r="372" spans="1:34">
      <c r="A372" s="8" t="s">
        <v>1072</v>
      </c>
      <c r="B372" s="8" t="s">
        <v>2813</v>
      </c>
      <c r="C372" s="8" t="s">
        <v>17</v>
      </c>
      <c r="D372" s="8" t="s">
        <v>9</v>
      </c>
      <c r="E372" s="8" t="s">
        <v>80</v>
      </c>
      <c r="F372" s="8" t="s">
        <v>4</v>
      </c>
      <c r="G372" s="8" t="s">
        <v>5</v>
      </c>
      <c r="H372" s="8" t="s">
        <v>826</v>
      </c>
      <c r="I372" s="8" t="s">
        <v>41</v>
      </c>
      <c r="J372" s="8" t="s">
        <v>41</v>
      </c>
      <c r="K372" s="8" t="s">
        <v>43</v>
      </c>
      <c r="L372" s="8" t="s">
        <v>110</v>
      </c>
      <c r="M372" s="11" t="s">
        <v>2814</v>
      </c>
      <c r="N372" s="8">
        <v>179</v>
      </c>
      <c r="O372" s="8">
        <v>100</v>
      </c>
      <c r="P372" s="8">
        <v>79</v>
      </c>
      <c r="Q372" s="8">
        <v>68</v>
      </c>
      <c r="R372" s="8">
        <v>41</v>
      </c>
      <c r="S372" s="8">
        <v>20</v>
      </c>
      <c r="T372" s="8">
        <v>7</v>
      </c>
      <c r="U372" s="8">
        <v>32</v>
      </c>
      <c r="V372" s="8">
        <v>18</v>
      </c>
      <c r="W372" s="8">
        <v>18</v>
      </c>
      <c r="X372" s="8">
        <v>11</v>
      </c>
      <c r="Y372" s="8">
        <v>41</v>
      </c>
      <c r="Z372" s="8">
        <v>23</v>
      </c>
      <c r="AA372" s="8">
        <v>0</v>
      </c>
      <c r="AB372" s="8">
        <v>0</v>
      </c>
      <c r="AC372" s="19">
        <f t="shared" si="30"/>
        <v>27</v>
      </c>
      <c r="AD372" s="19">
        <f t="shared" si="31"/>
        <v>13</v>
      </c>
      <c r="AE372" s="19">
        <f t="shared" si="32"/>
        <v>14</v>
      </c>
      <c r="AF372" s="19">
        <f t="shared" si="33"/>
        <v>7</v>
      </c>
      <c r="AG372" s="19">
        <f t="shared" si="34"/>
        <v>18</v>
      </c>
      <c r="AH372" s="19">
        <f t="shared" si="35"/>
        <v>0</v>
      </c>
    </row>
    <row r="373" spans="1:34">
      <c r="A373" s="8" t="s">
        <v>508</v>
      </c>
      <c r="B373" s="8" t="s">
        <v>2817</v>
      </c>
      <c r="C373" s="8" t="s">
        <v>5</v>
      </c>
      <c r="D373" s="8" t="s">
        <v>6</v>
      </c>
      <c r="E373" s="8" t="s">
        <v>43</v>
      </c>
      <c r="F373" s="8" t="s">
        <v>3</v>
      </c>
      <c r="G373" s="8" t="s">
        <v>7</v>
      </c>
      <c r="H373" s="8" t="s">
        <v>609</v>
      </c>
      <c r="I373" s="8" t="s">
        <v>41</v>
      </c>
      <c r="J373" s="8" t="s">
        <v>41</v>
      </c>
      <c r="K373" s="8" t="s">
        <v>43</v>
      </c>
      <c r="L373" s="8" t="s">
        <v>110</v>
      </c>
      <c r="M373" s="11" t="s">
        <v>2818</v>
      </c>
      <c r="N373" s="8">
        <v>189</v>
      </c>
      <c r="O373" s="8">
        <v>109</v>
      </c>
      <c r="P373" s="8">
        <v>80</v>
      </c>
      <c r="Q373" s="8">
        <v>34</v>
      </c>
      <c r="R373" s="8">
        <v>18</v>
      </c>
      <c r="S373" s="8">
        <v>59</v>
      </c>
      <c r="T373" s="8">
        <v>31</v>
      </c>
      <c r="U373" s="8">
        <v>32</v>
      </c>
      <c r="V373" s="8">
        <v>21</v>
      </c>
      <c r="W373" s="8">
        <v>52</v>
      </c>
      <c r="X373" s="8">
        <v>31</v>
      </c>
      <c r="Y373" s="8">
        <v>12</v>
      </c>
      <c r="Z373" s="8">
        <v>8</v>
      </c>
      <c r="AA373" s="8">
        <v>0</v>
      </c>
      <c r="AB373" s="8">
        <v>0</v>
      </c>
      <c r="AC373" s="19">
        <f t="shared" si="30"/>
        <v>16</v>
      </c>
      <c r="AD373" s="19">
        <f t="shared" si="31"/>
        <v>28</v>
      </c>
      <c r="AE373" s="19">
        <f t="shared" si="32"/>
        <v>11</v>
      </c>
      <c r="AF373" s="19">
        <f t="shared" si="33"/>
        <v>21</v>
      </c>
      <c r="AG373" s="19">
        <f t="shared" si="34"/>
        <v>4</v>
      </c>
      <c r="AH373" s="19">
        <f t="shared" si="35"/>
        <v>0</v>
      </c>
    </row>
    <row r="374" spans="1:34">
      <c r="A374" s="8" t="s">
        <v>509</v>
      </c>
      <c r="B374" s="8" t="s">
        <v>2819</v>
      </c>
      <c r="C374" s="8" t="s">
        <v>107</v>
      </c>
      <c r="D374" s="8" t="s">
        <v>8</v>
      </c>
      <c r="E374" s="8" t="s">
        <v>80</v>
      </c>
      <c r="F374" s="8" t="s">
        <v>11</v>
      </c>
      <c r="G374" s="8" t="s">
        <v>4</v>
      </c>
      <c r="H374" s="8" t="s">
        <v>196</v>
      </c>
      <c r="I374" s="8" t="s">
        <v>41</v>
      </c>
      <c r="J374" s="8" t="s">
        <v>43</v>
      </c>
      <c r="K374" s="8" t="s">
        <v>41</v>
      </c>
      <c r="L374" s="8" t="s">
        <v>110</v>
      </c>
      <c r="M374" s="11" t="s">
        <v>4070</v>
      </c>
      <c r="N374" s="8">
        <v>46</v>
      </c>
      <c r="O374" s="8">
        <v>34</v>
      </c>
      <c r="P374" s="8">
        <v>12</v>
      </c>
      <c r="Q374" s="8">
        <v>11</v>
      </c>
      <c r="R374" s="8">
        <v>8</v>
      </c>
      <c r="S374" s="8">
        <v>5</v>
      </c>
      <c r="T374" s="8">
        <v>4</v>
      </c>
      <c r="U374" s="8">
        <v>6</v>
      </c>
      <c r="V374" s="8">
        <v>4</v>
      </c>
      <c r="W374" s="8">
        <v>10</v>
      </c>
      <c r="X374" s="8">
        <v>8</v>
      </c>
      <c r="Y374" s="8">
        <v>14</v>
      </c>
      <c r="Z374" s="8">
        <v>10</v>
      </c>
      <c r="AA374" s="8">
        <v>0</v>
      </c>
      <c r="AB374" s="8">
        <v>0</v>
      </c>
      <c r="AC374" s="19">
        <f t="shared" si="30"/>
        <v>3</v>
      </c>
      <c r="AD374" s="19">
        <f t="shared" si="31"/>
        <v>1</v>
      </c>
      <c r="AE374" s="19">
        <f t="shared" si="32"/>
        <v>2</v>
      </c>
      <c r="AF374" s="19">
        <f t="shared" si="33"/>
        <v>2</v>
      </c>
      <c r="AG374" s="19">
        <f t="shared" si="34"/>
        <v>4</v>
      </c>
      <c r="AH374" s="19">
        <f t="shared" si="35"/>
        <v>0</v>
      </c>
    </row>
    <row r="375" spans="1:34">
      <c r="A375" s="8" t="s">
        <v>498</v>
      </c>
      <c r="B375" s="8" t="s">
        <v>2822</v>
      </c>
      <c r="C375" s="8" t="s">
        <v>17</v>
      </c>
      <c r="D375" s="8" t="s">
        <v>6</v>
      </c>
      <c r="E375" s="8" t="s">
        <v>80</v>
      </c>
      <c r="F375" s="8" t="s">
        <v>6</v>
      </c>
      <c r="G375" s="8" t="s">
        <v>4</v>
      </c>
      <c r="H375" s="8" t="s">
        <v>595</v>
      </c>
      <c r="I375" s="8" t="s">
        <v>41</v>
      </c>
      <c r="J375" s="8" t="s">
        <v>43</v>
      </c>
      <c r="K375" s="8" t="s">
        <v>41</v>
      </c>
      <c r="L375" s="8" t="s">
        <v>110</v>
      </c>
      <c r="M375" s="11" t="s">
        <v>2823</v>
      </c>
      <c r="N375" s="8">
        <v>22</v>
      </c>
      <c r="O375" s="8">
        <v>13</v>
      </c>
      <c r="P375" s="8">
        <v>9</v>
      </c>
      <c r="Q375" s="8">
        <v>1</v>
      </c>
      <c r="R375" s="8">
        <v>1</v>
      </c>
      <c r="S375" s="8">
        <v>8</v>
      </c>
      <c r="T375" s="8">
        <v>1</v>
      </c>
      <c r="U375" s="8">
        <v>0</v>
      </c>
      <c r="V375" s="8">
        <v>0</v>
      </c>
      <c r="W375" s="8">
        <v>13</v>
      </c>
      <c r="X375" s="8">
        <v>11</v>
      </c>
      <c r="Y375" s="8">
        <v>0</v>
      </c>
      <c r="Z375" s="8">
        <v>0</v>
      </c>
      <c r="AA375" s="8">
        <v>0</v>
      </c>
      <c r="AB375" s="8">
        <v>0</v>
      </c>
      <c r="AC375" s="19">
        <f t="shared" si="30"/>
        <v>0</v>
      </c>
      <c r="AD375" s="19">
        <f t="shared" si="31"/>
        <v>7</v>
      </c>
      <c r="AE375" s="19">
        <f t="shared" si="32"/>
        <v>0</v>
      </c>
      <c r="AF375" s="19">
        <f t="shared" si="33"/>
        <v>2</v>
      </c>
      <c r="AG375" s="19">
        <f t="shared" si="34"/>
        <v>0</v>
      </c>
      <c r="AH375" s="19">
        <f t="shared" si="35"/>
        <v>0</v>
      </c>
    </row>
    <row r="376" spans="1:34">
      <c r="A376" s="8" t="s">
        <v>511</v>
      </c>
      <c r="B376" s="8" t="s">
        <v>2824</v>
      </c>
      <c r="C376" s="8" t="s">
        <v>388</v>
      </c>
      <c r="D376" s="8" t="s">
        <v>5</v>
      </c>
      <c r="E376" s="8" t="s">
        <v>43</v>
      </c>
      <c r="F376" s="8" t="s">
        <v>18</v>
      </c>
      <c r="G376" s="8" t="s">
        <v>4</v>
      </c>
      <c r="H376" s="8" t="s">
        <v>193</v>
      </c>
      <c r="I376" s="8" t="s">
        <v>41</v>
      </c>
      <c r="J376" s="8" t="s">
        <v>43</v>
      </c>
      <c r="K376" s="8" t="s">
        <v>41</v>
      </c>
      <c r="L376" s="8" t="s">
        <v>110</v>
      </c>
      <c r="M376" s="11" t="s">
        <v>2825</v>
      </c>
      <c r="N376" s="8">
        <v>9</v>
      </c>
      <c r="O376" s="8">
        <v>4</v>
      </c>
      <c r="P376" s="8">
        <v>5</v>
      </c>
      <c r="Q376" s="8">
        <v>0</v>
      </c>
      <c r="R376" s="8">
        <v>0</v>
      </c>
      <c r="S376" s="8">
        <v>0</v>
      </c>
      <c r="T376" s="8">
        <v>0</v>
      </c>
      <c r="U376" s="8">
        <v>2</v>
      </c>
      <c r="V376" s="8">
        <v>2</v>
      </c>
      <c r="W376" s="8">
        <v>5</v>
      </c>
      <c r="X376" s="8">
        <v>1</v>
      </c>
      <c r="Y376" s="8">
        <v>2</v>
      </c>
      <c r="Z376" s="8">
        <v>1</v>
      </c>
      <c r="AA376" s="8">
        <v>0</v>
      </c>
      <c r="AB376" s="8">
        <v>0</v>
      </c>
      <c r="AC376" s="19">
        <f t="shared" si="30"/>
        <v>0</v>
      </c>
      <c r="AD376" s="19">
        <f t="shared" si="31"/>
        <v>0</v>
      </c>
      <c r="AE376" s="19">
        <f t="shared" si="32"/>
        <v>0</v>
      </c>
      <c r="AF376" s="19">
        <f t="shared" si="33"/>
        <v>4</v>
      </c>
      <c r="AG376" s="19">
        <f t="shared" si="34"/>
        <v>1</v>
      </c>
      <c r="AH376" s="19">
        <f t="shared" si="35"/>
        <v>0</v>
      </c>
    </row>
    <row r="377" spans="1:34">
      <c r="A377" s="8" t="s">
        <v>946</v>
      </c>
      <c r="B377" s="8" t="s">
        <v>1992</v>
      </c>
      <c r="C377" s="8" t="s">
        <v>18</v>
      </c>
      <c r="D377" s="8" t="s">
        <v>3</v>
      </c>
      <c r="E377" s="8" t="s">
        <v>80</v>
      </c>
      <c r="F377" s="8" t="s">
        <v>8</v>
      </c>
      <c r="G377" s="8" t="s">
        <v>3</v>
      </c>
      <c r="H377" s="8" t="s">
        <v>3502</v>
      </c>
      <c r="I377" s="8" t="s">
        <v>43</v>
      </c>
      <c r="J377" s="8" t="s">
        <v>41</v>
      </c>
      <c r="K377" s="8" t="s">
        <v>5696</v>
      </c>
      <c r="L377" s="8" t="s">
        <v>110</v>
      </c>
      <c r="M377" s="11" t="s">
        <v>5719</v>
      </c>
      <c r="N377" s="8">
        <v>3</v>
      </c>
      <c r="O377" s="8">
        <v>3</v>
      </c>
      <c r="P377" s="8">
        <v>0</v>
      </c>
      <c r="Q377" s="8">
        <v>0</v>
      </c>
      <c r="R377" s="8">
        <v>0</v>
      </c>
      <c r="S377" s="8">
        <v>1</v>
      </c>
      <c r="T377" s="8">
        <v>1</v>
      </c>
      <c r="U377" s="8">
        <v>2</v>
      </c>
      <c r="V377" s="8">
        <v>2</v>
      </c>
      <c r="W377" s="8">
        <v>0</v>
      </c>
      <c r="X377" s="8">
        <v>0</v>
      </c>
      <c r="Y377" s="8">
        <v>0</v>
      </c>
      <c r="Z377" s="8">
        <v>0</v>
      </c>
      <c r="AA377" s="8">
        <v>0</v>
      </c>
      <c r="AB377" s="8">
        <v>0</v>
      </c>
      <c r="AC377" s="19">
        <f t="shared" si="30"/>
        <v>0</v>
      </c>
      <c r="AD377" s="19">
        <f t="shared" si="31"/>
        <v>0</v>
      </c>
      <c r="AE377" s="19">
        <f t="shared" si="32"/>
        <v>0</v>
      </c>
      <c r="AF377" s="19">
        <f t="shared" si="33"/>
        <v>0</v>
      </c>
      <c r="AG377" s="19">
        <f t="shared" si="34"/>
        <v>0</v>
      </c>
      <c r="AH377" s="19">
        <f t="shared" si="35"/>
        <v>0</v>
      </c>
    </row>
    <row r="378" spans="1:34">
      <c r="A378" s="8" t="s">
        <v>1083</v>
      </c>
      <c r="B378" s="8" t="s">
        <v>2828</v>
      </c>
      <c r="C378" s="8" t="s">
        <v>70</v>
      </c>
      <c r="D378" s="8" t="s">
        <v>5</v>
      </c>
      <c r="E378" s="8" t="s">
        <v>43</v>
      </c>
      <c r="F378" s="8" t="s">
        <v>13</v>
      </c>
      <c r="G378" s="8" t="s">
        <v>3</v>
      </c>
      <c r="H378" s="8" t="s">
        <v>595</v>
      </c>
      <c r="I378" s="8" t="s">
        <v>41</v>
      </c>
      <c r="J378" s="8" t="s">
        <v>41</v>
      </c>
      <c r="K378" s="8" t="s">
        <v>41</v>
      </c>
      <c r="L378" s="8" t="s">
        <v>110</v>
      </c>
      <c r="M378" s="11" t="s">
        <v>2829</v>
      </c>
      <c r="N378" s="8">
        <v>130</v>
      </c>
      <c r="O378" s="8">
        <v>84</v>
      </c>
      <c r="P378" s="8">
        <v>46</v>
      </c>
      <c r="Q378" s="8">
        <v>30</v>
      </c>
      <c r="R378" s="8">
        <v>20</v>
      </c>
      <c r="S378" s="8">
        <v>30</v>
      </c>
      <c r="T378" s="8">
        <v>20</v>
      </c>
      <c r="U378" s="8">
        <v>30</v>
      </c>
      <c r="V378" s="8">
        <v>18</v>
      </c>
      <c r="W378" s="8">
        <v>16</v>
      </c>
      <c r="X378" s="8">
        <v>9</v>
      </c>
      <c r="Y378" s="8">
        <v>24</v>
      </c>
      <c r="Z378" s="8">
        <v>17</v>
      </c>
      <c r="AA378" s="8">
        <v>0</v>
      </c>
      <c r="AB378" s="8">
        <v>0</v>
      </c>
      <c r="AC378" s="19">
        <f t="shared" si="30"/>
        <v>10</v>
      </c>
      <c r="AD378" s="19">
        <f t="shared" si="31"/>
        <v>10</v>
      </c>
      <c r="AE378" s="19">
        <f t="shared" si="32"/>
        <v>12</v>
      </c>
      <c r="AF378" s="19">
        <f t="shared" si="33"/>
        <v>7</v>
      </c>
      <c r="AG378" s="19">
        <f t="shared" si="34"/>
        <v>7</v>
      </c>
      <c r="AH378" s="19">
        <f t="shared" si="35"/>
        <v>0</v>
      </c>
    </row>
    <row r="379" spans="1:34">
      <c r="A379" s="8" t="s">
        <v>906</v>
      </c>
      <c r="B379" s="8" t="s">
        <v>2831</v>
      </c>
      <c r="C379" s="8" t="s">
        <v>70</v>
      </c>
      <c r="D379" s="8" t="s">
        <v>6</v>
      </c>
      <c r="E379" s="8" t="s">
        <v>43</v>
      </c>
      <c r="F379" s="8" t="s">
        <v>13</v>
      </c>
      <c r="G379" s="8" t="s">
        <v>6</v>
      </c>
      <c r="H379" s="8" t="s">
        <v>719</v>
      </c>
      <c r="I379" s="8" t="s">
        <v>41</v>
      </c>
      <c r="J379" s="8" t="s">
        <v>43</v>
      </c>
      <c r="K379" s="8" t="s">
        <v>41</v>
      </c>
      <c r="L379" s="8" t="s">
        <v>110</v>
      </c>
      <c r="M379" s="11" t="s">
        <v>2832</v>
      </c>
      <c r="N379" s="8">
        <v>163</v>
      </c>
      <c r="O379" s="8">
        <v>99</v>
      </c>
      <c r="P379" s="8">
        <v>64</v>
      </c>
      <c r="Q379" s="8">
        <v>25</v>
      </c>
      <c r="R379" s="8">
        <v>20</v>
      </c>
      <c r="S379" s="8">
        <v>41</v>
      </c>
      <c r="T379" s="8">
        <v>26</v>
      </c>
      <c r="U379" s="8">
        <v>14</v>
      </c>
      <c r="V379" s="8">
        <v>9</v>
      </c>
      <c r="W379" s="8">
        <v>51</v>
      </c>
      <c r="X379" s="8">
        <v>22</v>
      </c>
      <c r="Y379" s="8">
        <v>32</v>
      </c>
      <c r="Z379" s="8">
        <v>22</v>
      </c>
      <c r="AA379" s="8">
        <v>0</v>
      </c>
      <c r="AB379" s="8">
        <v>0</v>
      </c>
      <c r="AC379" s="19">
        <f t="shared" si="30"/>
        <v>5</v>
      </c>
      <c r="AD379" s="19">
        <f t="shared" si="31"/>
        <v>15</v>
      </c>
      <c r="AE379" s="19">
        <f t="shared" si="32"/>
        <v>5</v>
      </c>
      <c r="AF379" s="19">
        <f t="shared" si="33"/>
        <v>29</v>
      </c>
      <c r="AG379" s="19">
        <f t="shared" si="34"/>
        <v>10</v>
      </c>
      <c r="AH379" s="19">
        <f t="shared" si="35"/>
        <v>0</v>
      </c>
    </row>
    <row r="380" spans="1:34">
      <c r="A380" s="8" t="s">
        <v>907</v>
      </c>
      <c r="B380" s="8" t="s">
        <v>2835</v>
      </c>
      <c r="C380" s="8" t="s">
        <v>70</v>
      </c>
      <c r="D380" s="8" t="s">
        <v>9</v>
      </c>
      <c r="E380" s="8" t="s">
        <v>43</v>
      </c>
      <c r="F380" s="8" t="s">
        <v>13</v>
      </c>
      <c r="G380" s="8" t="s">
        <v>16</v>
      </c>
      <c r="H380" s="8" t="s">
        <v>408</v>
      </c>
      <c r="I380" s="8" t="s">
        <v>41</v>
      </c>
      <c r="J380" s="8" t="s">
        <v>43</v>
      </c>
      <c r="K380" s="8" t="s">
        <v>41</v>
      </c>
      <c r="L380" s="8" t="s">
        <v>110</v>
      </c>
      <c r="M380" s="11" t="s">
        <v>3503</v>
      </c>
      <c r="N380" s="8">
        <v>25</v>
      </c>
      <c r="O380" s="8">
        <v>19</v>
      </c>
      <c r="P380" s="8">
        <v>6</v>
      </c>
      <c r="Q380" s="8">
        <v>2</v>
      </c>
      <c r="R380" s="8">
        <v>2</v>
      </c>
      <c r="S380" s="8">
        <v>4</v>
      </c>
      <c r="T380" s="8">
        <v>3</v>
      </c>
      <c r="U380" s="8">
        <v>2</v>
      </c>
      <c r="V380" s="8">
        <v>2</v>
      </c>
      <c r="W380" s="8">
        <v>6</v>
      </c>
      <c r="X380" s="8">
        <v>3</v>
      </c>
      <c r="Y380" s="8">
        <v>11</v>
      </c>
      <c r="Z380" s="8">
        <v>9</v>
      </c>
      <c r="AA380" s="8">
        <v>0</v>
      </c>
      <c r="AB380" s="8">
        <v>0</v>
      </c>
      <c r="AC380" s="19">
        <f t="shared" si="30"/>
        <v>0</v>
      </c>
      <c r="AD380" s="19">
        <f t="shared" si="31"/>
        <v>1</v>
      </c>
      <c r="AE380" s="19">
        <f t="shared" si="32"/>
        <v>0</v>
      </c>
      <c r="AF380" s="19">
        <f t="shared" si="33"/>
        <v>3</v>
      </c>
      <c r="AG380" s="19">
        <f t="shared" si="34"/>
        <v>2</v>
      </c>
      <c r="AH380" s="19">
        <f t="shared" si="35"/>
        <v>0</v>
      </c>
    </row>
    <row r="381" spans="1:34">
      <c r="A381" s="8" t="s">
        <v>515</v>
      </c>
      <c r="B381" s="8" t="s">
        <v>2836</v>
      </c>
      <c r="C381" s="8" t="s">
        <v>70</v>
      </c>
      <c r="D381" s="8" t="s">
        <v>18</v>
      </c>
      <c r="E381" s="8" t="s">
        <v>43</v>
      </c>
      <c r="F381" s="8" t="s">
        <v>13</v>
      </c>
      <c r="G381" s="8" t="s">
        <v>18</v>
      </c>
      <c r="H381" s="8" t="s">
        <v>89</v>
      </c>
      <c r="I381" s="8" t="s">
        <v>41</v>
      </c>
      <c r="J381" s="8" t="s">
        <v>43</v>
      </c>
      <c r="K381" s="8" t="s">
        <v>41</v>
      </c>
      <c r="L381" s="8" t="s">
        <v>110</v>
      </c>
      <c r="M381" s="11" t="s">
        <v>2837</v>
      </c>
      <c r="N381" s="8">
        <v>12</v>
      </c>
      <c r="O381" s="8">
        <v>7</v>
      </c>
      <c r="P381" s="8">
        <v>5</v>
      </c>
      <c r="Q381" s="8">
        <v>1</v>
      </c>
      <c r="R381" s="8">
        <v>0</v>
      </c>
      <c r="S381" s="8">
        <v>1</v>
      </c>
      <c r="T381" s="8">
        <v>0</v>
      </c>
      <c r="U381" s="8">
        <v>5</v>
      </c>
      <c r="V381" s="8">
        <v>3</v>
      </c>
      <c r="W381" s="8">
        <v>1</v>
      </c>
      <c r="X381" s="8">
        <v>0</v>
      </c>
      <c r="Y381" s="8">
        <v>4</v>
      </c>
      <c r="Z381" s="8">
        <v>4</v>
      </c>
      <c r="AA381" s="8">
        <v>0</v>
      </c>
      <c r="AB381" s="8">
        <v>0</v>
      </c>
      <c r="AC381" s="19">
        <f t="shared" si="30"/>
        <v>1</v>
      </c>
      <c r="AD381" s="19">
        <f t="shared" si="31"/>
        <v>1</v>
      </c>
      <c r="AE381" s="19">
        <f t="shared" si="32"/>
        <v>2</v>
      </c>
      <c r="AF381" s="19">
        <f t="shared" si="33"/>
        <v>1</v>
      </c>
      <c r="AG381" s="19">
        <f t="shared" si="34"/>
        <v>0</v>
      </c>
      <c r="AH381" s="19">
        <f t="shared" si="35"/>
        <v>0</v>
      </c>
    </row>
    <row r="382" spans="1:34">
      <c r="A382" s="8" t="s">
        <v>516</v>
      </c>
      <c r="B382" s="8" t="s">
        <v>2838</v>
      </c>
      <c r="C382" s="8" t="s">
        <v>70</v>
      </c>
      <c r="D382" s="8" t="s">
        <v>12</v>
      </c>
      <c r="E382" s="8" t="s">
        <v>43</v>
      </c>
      <c r="F382" s="8" t="s">
        <v>118</v>
      </c>
      <c r="G382" s="8" t="s">
        <v>3</v>
      </c>
      <c r="H382" s="8" t="s">
        <v>744</v>
      </c>
      <c r="I382" s="8" t="s">
        <v>41</v>
      </c>
      <c r="J382" s="8" t="s">
        <v>43</v>
      </c>
      <c r="K382" s="8" t="s">
        <v>41</v>
      </c>
      <c r="L382" s="8" t="s">
        <v>110</v>
      </c>
      <c r="M382" s="11" t="s">
        <v>2839</v>
      </c>
      <c r="N382" s="8">
        <v>44</v>
      </c>
      <c r="O382" s="8">
        <v>29</v>
      </c>
      <c r="P382" s="8">
        <v>15</v>
      </c>
      <c r="Q382" s="8">
        <v>12</v>
      </c>
      <c r="R382" s="8">
        <v>9</v>
      </c>
      <c r="S382" s="8">
        <v>10</v>
      </c>
      <c r="T382" s="8">
        <v>6</v>
      </c>
      <c r="U382" s="8">
        <v>11</v>
      </c>
      <c r="V382" s="8">
        <v>7</v>
      </c>
      <c r="W382" s="8">
        <v>11</v>
      </c>
      <c r="X382" s="8">
        <v>7</v>
      </c>
      <c r="Y382" s="8">
        <v>0</v>
      </c>
      <c r="Z382" s="8">
        <v>0</v>
      </c>
      <c r="AA382" s="8">
        <v>0</v>
      </c>
      <c r="AB382" s="8">
        <v>0</v>
      </c>
      <c r="AC382" s="19">
        <f t="shared" si="30"/>
        <v>3</v>
      </c>
      <c r="AD382" s="19">
        <f t="shared" si="31"/>
        <v>4</v>
      </c>
      <c r="AE382" s="19">
        <f t="shared" si="32"/>
        <v>4</v>
      </c>
      <c r="AF382" s="19">
        <f t="shared" si="33"/>
        <v>4</v>
      </c>
      <c r="AG382" s="19">
        <f t="shared" si="34"/>
        <v>0</v>
      </c>
      <c r="AH382" s="19">
        <f t="shared" si="35"/>
        <v>0</v>
      </c>
    </row>
    <row r="383" spans="1:34">
      <c r="A383" s="8" t="s">
        <v>517</v>
      </c>
      <c r="B383" s="8" t="s">
        <v>2840</v>
      </c>
      <c r="C383" s="8" t="s">
        <v>7</v>
      </c>
      <c r="D383" s="8" t="s">
        <v>11</v>
      </c>
      <c r="E383" s="8" t="s">
        <v>56</v>
      </c>
      <c r="F383" s="8" t="s">
        <v>4</v>
      </c>
      <c r="G383" s="8" t="s">
        <v>6</v>
      </c>
      <c r="H383" s="8" t="s">
        <v>763</v>
      </c>
      <c r="I383" s="8" t="s">
        <v>41</v>
      </c>
      <c r="J383" s="8" t="s">
        <v>41</v>
      </c>
      <c r="K383" s="8" t="s">
        <v>41</v>
      </c>
      <c r="L383" s="8" t="s">
        <v>110</v>
      </c>
      <c r="M383" s="11" t="s">
        <v>2841</v>
      </c>
      <c r="N383" s="8">
        <v>106</v>
      </c>
      <c r="O383" s="8">
        <v>57</v>
      </c>
      <c r="P383" s="8">
        <v>49</v>
      </c>
      <c r="Q383" s="8">
        <v>32</v>
      </c>
      <c r="R383" s="8">
        <v>19</v>
      </c>
      <c r="S383" s="8">
        <v>23</v>
      </c>
      <c r="T383" s="8">
        <v>12</v>
      </c>
      <c r="U383" s="8">
        <v>22</v>
      </c>
      <c r="V383" s="8">
        <v>12</v>
      </c>
      <c r="W383" s="8">
        <v>18</v>
      </c>
      <c r="X383" s="8">
        <v>9</v>
      </c>
      <c r="Y383" s="8">
        <v>11</v>
      </c>
      <c r="Z383" s="8">
        <v>5</v>
      </c>
      <c r="AA383" s="8">
        <v>0</v>
      </c>
      <c r="AB383" s="8">
        <v>0</v>
      </c>
      <c r="AC383" s="19">
        <f t="shared" si="30"/>
        <v>13</v>
      </c>
      <c r="AD383" s="19">
        <f t="shared" si="31"/>
        <v>11</v>
      </c>
      <c r="AE383" s="19">
        <f t="shared" si="32"/>
        <v>10</v>
      </c>
      <c r="AF383" s="19">
        <f t="shared" si="33"/>
        <v>9</v>
      </c>
      <c r="AG383" s="19">
        <f t="shared" si="34"/>
        <v>6</v>
      </c>
      <c r="AH383" s="19">
        <f t="shared" si="35"/>
        <v>0</v>
      </c>
    </row>
    <row r="384" spans="1:34">
      <c r="A384" s="8" t="s">
        <v>518</v>
      </c>
      <c r="B384" s="8" t="s">
        <v>2843</v>
      </c>
      <c r="C384" s="8" t="s">
        <v>752</v>
      </c>
      <c r="D384" s="8" t="s">
        <v>4</v>
      </c>
      <c r="E384" s="8" t="s">
        <v>41</v>
      </c>
      <c r="F384" s="8" t="s">
        <v>5</v>
      </c>
      <c r="G384" s="8" t="s">
        <v>6</v>
      </c>
      <c r="H384" s="8" t="s">
        <v>156</v>
      </c>
      <c r="I384" s="8" t="s">
        <v>41</v>
      </c>
      <c r="J384" s="8" t="s">
        <v>41</v>
      </c>
      <c r="K384" s="8" t="s">
        <v>43</v>
      </c>
      <c r="L384" s="8" t="s">
        <v>110</v>
      </c>
      <c r="M384" s="11" t="s">
        <v>2844</v>
      </c>
      <c r="N384" s="8">
        <v>238</v>
      </c>
      <c r="O384" s="8">
        <v>142</v>
      </c>
      <c r="P384" s="8">
        <v>96</v>
      </c>
      <c r="Q384" s="8">
        <v>43</v>
      </c>
      <c r="R384" s="8">
        <v>29</v>
      </c>
      <c r="S384" s="8">
        <v>53</v>
      </c>
      <c r="T384" s="8">
        <v>28</v>
      </c>
      <c r="U384" s="8">
        <v>36</v>
      </c>
      <c r="V384" s="8">
        <v>23</v>
      </c>
      <c r="W384" s="8">
        <v>52</v>
      </c>
      <c r="X384" s="8">
        <v>28</v>
      </c>
      <c r="Y384" s="8">
        <v>54</v>
      </c>
      <c r="Z384" s="8">
        <v>34</v>
      </c>
      <c r="AA384" s="8">
        <v>0</v>
      </c>
      <c r="AB384" s="8">
        <v>0</v>
      </c>
      <c r="AC384" s="19">
        <f t="shared" si="30"/>
        <v>14</v>
      </c>
      <c r="AD384" s="19">
        <f t="shared" si="31"/>
        <v>25</v>
      </c>
      <c r="AE384" s="19">
        <f t="shared" si="32"/>
        <v>13</v>
      </c>
      <c r="AF384" s="19">
        <f t="shared" si="33"/>
        <v>24</v>
      </c>
      <c r="AG384" s="19">
        <f t="shared" si="34"/>
        <v>20</v>
      </c>
      <c r="AH384" s="19">
        <f t="shared" si="35"/>
        <v>0</v>
      </c>
    </row>
    <row r="385" spans="1:34">
      <c r="A385" s="8" t="s">
        <v>519</v>
      </c>
      <c r="B385" s="8" t="s">
        <v>2846</v>
      </c>
      <c r="C385" s="8" t="s">
        <v>118</v>
      </c>
      <c r="D385" s="8" t="s">
        <v>7</v>
      </c>
      <c r="E385" s="8" t="s">
        <v>41</v>
      </c>
      <c r="F385" s="8" t="s">
        <v>388</v>
      </c>
      <c r="G385" s="8" t="s">
        <v>6</v>
      </c>
      <c r="H385" s="8" t="s">
        <v>487</v>
      </c>
      <c r="I385" s="8" t="s">
        <v>41</v>
      </c>
      <c r="J385" s="8" t="s">
        <v>43</v>
      </c>
      <c r="K385" s="8" t="s">
        <v>41</v>
      </c>
      <c r="L385" s="8" t="s">
        <v>110</v>
      </c>
      <c r="M385" s="11" t="s">
        <v>2847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0</v>
      </c>
      <c r="AA385" s="8">
        <v>0</v>
      </c>
      <c r="AB385" s="8">
        <v>0</v>
      </c>
      <c r="AC385" s="19">
        <f t="shared" si="30"/>
        <v>0</v>
      </c>
      <c r="AD385" s="19">
        <f t="shared" si="31"/>
        <v>0</v>
      </c>
      <c r="AE385" s="19">
        <f t="shared" si="32"/>
        <v>0</v>
      </c>
      <c r="AF385" s="19">
        <f t="shared" si="33"/>
        <v>0</v>
      </c>
      <c r="AG385" s="19">
        <f t="shared" si="34"/>
        <v>0</v>
      </c>
      <c r="AH385" s="19">
        <f t="shared" si="35"/>
        <v>0</v>
      </c>
    </row>
    <row r="386" spans="1:34">
      <c r="A386" s="8" t="s">
        <v>521</v>
      </c>
      <c r="B386" s="8" t="s">
        <v>2849</v>
      </c>
      <c r="C386" s="8" t="s">
        <v>107</v>
      </c>
      <c r="D386" s="8" t="s">
        <v>5</v>
      </c>
      <c r="E386" s="8" t="s">
        <v>80</v>
      </c>
      <c r="F386" s="8" t="s">
        <v>9</v>
      </c>
      <c r="G386" s="8" t="s">
        <v>4</v>
      </c>
      <c r="H386" s="8" t="s">
        <v>271</v>
      </c>
      <c r="I386" s="8" t="s">
        <v>41</v>
      </c>
      <c r="J386" s="8" t="s">
        <v>43</v>
      </c>
      <c r="K386" s="8" t="s">
        <v>41</v>
      </c>
      <c r="L386" s="8" t="s">
        <v>110</v>
      </c>
      <c r="M386" s="11" t="s">
        <v>2850</v>
      </c>
      <c r="N386" s="8">
        <v>74</v>
      </c>
      <c r="O386" s="8">
        <v>43</v>
      </c>
      <c r="P386" s="8">
        <v>31</v>
      </c>
      <c r="Q386" s="8">
        <v>9</v>
      </c>
      <c r="R386" s="8">
        <v>6</v>
      </c>
      <c r="S386" s="8">
        <v>21</v>
      </c>
      <c r="T386" s="8">
        <v>11</v>
      </c>
      <c r="U386" s="8">
        <v>9</v>
      </c>
      <c r="V386" s="8">
        <v>8</v>
      </c>
      <c r="W386" s="8">
        <v>25</v>
      </c>
      <c r="X386" s="8">
        <v>16</v>
      </c>
      <c r="Y386" s="8">
        <v>10</v>
      </c>
      <c r="Z386" s="8">
        <v>2</v>
      </c>
      <c r="AA386" s="8">
        <v>0</v>
      </c>
      <c r="AB386" s="8">
        <v>0</v>
      </c>
      <c r="AC386" s="19">
        <f t="shared" si="30"/>
        <v>3</v>
      </c>
      <c r="AD386" s="19">
        <f t="shared" si="31"/>
        <v>10</v>
      </c>
      <c r="AE386" s="19">
        <f t="shared" si="32"/>
        <v>1</v>
      </c>
      <c r="AF386" s="19">
        <f t="shared" si="33"/>
        <v>9</v>
      </c>
      <c r="AG386" s="19">
        <f t="shared" si="34"/>
        <v>8</v>
      </c>
      <c r="AH386" s="19">
        <f t="shared" si="35"/>
        <v>0</v>
      </c>
    </row>
    <row r="387" spans="1:34">
      <c r="A387" s="8" t="s">
        <v>522</v>
      </c>
      <c r="B387" s="8" t="s">
        <v>2851</v>
      </c>
      <c r="C387" s="8" t="s">
        <v>107</v>
      </c>
      <c r="D387" s="8" t="s">
        <v>11</v>
      </c>
      <c r="E387" s="8" t="s">
        <v>80</v>
      </c>
      <c r="F387" s="8" t="s">
        <v>11</v>
      </c>
      <c r="G387" s="8" t="s">
        <v>6</v>
      </c>
      <c r="H387" s="8" t="s">
        <v>261</v>
      </c>
      <c r="I387" s="8" t="s">
        <v>41</v>
      </c>
      <c r="J387" s="8" t="s">
        <v>43</v>
      </c>
      <c r="K387" s="8" t="s">
        <v>41</v>
      </c>
      <c r="L387" s="8" t="s">
        <v>110</v>
      </c>
      <c r="M387" s="11" t="s">
        <v>2503</v>
      </c>
      <c r="N387" s="8">
        <v>56</v>
      </c>
      <c r="O387" s="8">
        <v>38</v>
      </c>
      <c r="P387" s="8">
        <v>18</v>
      </c>
      <c r="Q387" s="8">
        <v>6</v>
      </c>
      <c r="R387" s="8">
        <v>4</v>
      </c>
      <c r="S387" s="8">
        <v>11</v>
      </c>
      <c r="T387" s="8">
        <v>8</v>
      </c>
      <c r="U387" s="8">
        <v>18</v>
      </c>
      <c r="V387" s="8">
        <v>12</v>
      </c>
      <c r="W387" s="8">
        <v>16</v>
      </c>
      <c r="X387" s="8">
        <v>10</v>
      </c>
      <c r="Y387" s="8">
        <v>5</v>
      </c>
      <c r="Z387" s="8">
        <v>4</v>
      </c>
      <c r="AA387" s="8">
        <v>0</v>
      </c>
      <c r="AB387" s="8">
        <v>0</v>
      </c>
      <c r="AC387" s="19">
        <f t="shared" si="30"/>
        <v>2</v>
      </c>
      <c r="AD387" s="19">
        <f t="shared" si="31"/>
        <v>3</v>
      </c>
      <c r="AE387" s="19">
        <f t="shared" si="32"/>
        <v>6</v>
      </c>
      <c r="AF387" s="19">
        <f t="shared" si="33"/>
        <v>6</v>
      </c>
      <c r="AG387" s="19">
        <f t="shared" si="34"/>
        <v>1</v>
      </c>
      <c r="AH387" s="19">
        <f t="shared" si="35"/>
        <v>0</v>
      </c>
    </row>
    <row r="388" spans="1:34">
      <c r="A388" s="8" t="s">
        <v>523</v>
      </c>
      <c r="B388" s="8" t="s">
        <v>2853</v>
      </c>
      <c r="C388" s="8" t="s">
        <v>388</v>
      </c>
      <c r="D388" s="8" t="s">
        <v>6</v>
      </c>
      <c r="E388" s="8" t="s">
        <v>43</v>
      </c>
      <c r="F388" s="8" t="s">
        <v>18</v>
      </c>
      <c r="G388" s="8" t="s">
        <v>11</v>
      </c>
      <c r="H388" s="8" t="s">
        <v>813</v>
      </c>
      <c r="I388" s="8" t="s">
        <v>41</v>
      </c>
      <c r="J388" s="8" t="s">
        <v>43</v>
      </c>
      <c r="K388" s="8" t="s">
        <v>41</v>
      </c>
      <c r="L388" s="8" t="s">
        <v>110</v>
      </c>
      <c r="M388" s="11" t="s">
        <v>2854</v>
      </c>
      <c r="N388" s="8">
        <v>154</v>
      </c>
      <c r="O388" s="8">
        <v>87</v>
      </c>
      <c r="P388" s="8">
        <v>67</v>
      </c>
      <c r="Q388" s="8">
        <v>32</v>
      </c>
      <c r="R388" s="8">
        <v>19</v>
      </c>
      <c r="S388" s="8">
        <v>29</v>
      </c>
      <c r="T388" s="8">
        <v>16</v>
      </c>
      <c r="U388" s="8">
        <v>13</v>
      </c>
      <c r="V388" s="8">
        <v>8</v>
      </c>
      <c r="W388" s="8">
        <v>49</v>
      </c>
      <c r="X388" s="8">
        <v>27</v>
      </c>
      <c r="Y388" s="8">
        <v>31</v>
      </c>
      <c r="Z388" s="8">
        <v>17</v>
      </c>
      <c r="AA388" s="8">
        <v>0</v>
      </c>
      <c r="AB388" s="8">
        <v>0</v>
      </c>
      <c r="AC388" s="19">
        <f t="shared" ref="AC388:AC449" si="36">+Q388-R388</f>
        <v>13</v>
      </c>
      <c r="AD388" s="19">
        <f t="shared" ref="AD388:AD449" si="37">+S388-T388</f>
        <v>13</v>
      </c>
      <c r="AE388" s="19">
        <f t="shared" ref="AE388:AE449" si="38">+U388-V388</f>
        <v>5</v>
      </c>
      <c r="AF388" s="19">
        <f t="shared" ref="AF388:AF449" si="39">+W388-X388</f>
        <v>22</v>
      </c>
      <c r="AG388" s="19">
        <f t="shared" ref="AG388:AG449" si="40">+Y388-Z388</f>
        <v>14</v>
      </c>
      <c r="AH388" s="19">
        <f t="shared" ref="AH388:AH449" si="41">+AA388-AB388</f>
        <v>0</v>
      </c>
    </row>
    <row r="389" spans="1:34">
      <c r="A389" s="8" t="s">
        <v>908</v>
      </c>
      <c r="B389" s="8" t="s">
        <v>2856</v>
      </c>
      <c r="C389" s="8" t="s">
        <v>955</v>
      </c>
      <c r="D389" s="8" t="s">
        <v>5</v>
      </c>
      <c r="E389" s="8" t="s">
        <v>41</v>
      </c>
      <c r="F389" s="8" t="s">
        <v>752</v>
      </c>
      <c r="G389" s="8" t="s">
        <v>5</v>
      </c>
      <c r="H389" s="8" t="s">
        <v>202</v>
      </c>
      <c r="I389" s="8" t="s">
        <v>41</v>
      </c>
      <c r="J389" s="8" t="s">
        <v>43</v>
      </c>
      <c r="K389" s="8" t="s">
        <v>41</v>
      </c>
      <c r="L389" s="8" t="s">
        <v>110</v>
      </c>
      <c r="M389" s="11" t="s">
        <v>2857</v>
      </c>
      <c r="N389" s="8">
        <v>19</v>
      </c>
      <c r="O389" s="8">
        <v>11</v>
      </c>
      <c r="P389" s="8">
        <v>8</v>
      </c>
      <c r="Q389" s="8">
        <v>6</v>
      </c>
      <c r="R389" s="8">
        <v>5</v>
      </c>
      <c r="S389" s="8">
        <v>4</v>
      </c>
      <c r="T389" s="8">
        <v>3</v>
      </c>
      <c r="U389" s="8">
        <v>1</v>
      </c>
      <c r="V389" s="8">
        <v>1</v>
      </c>
      <c r="W389" s="8">
        <v>6</v>
      </c>
      <c r="X389" s="8">
        <v>2</v>
      </c>
      <c r="Y389" s="8">
        <v>2</v>
      </c>
      <c r="Z389" s="8">
        <v>0</v>
      </c>
      <c r="AA389" s="8">
        <v>0</v>
      </c>
      <c r="AB389" s="8">
        <v>0</v>
      </c>
      <c r="AC389" s="19">
        <f t="shared" si="36"/>
        <v>1</v>
      </c>
      <c r="AD389" s="19">
        <f t="shared" si="37"/>
        <v>1</v>
      </c>
      <c r="AE389" s="19">
        <f t="shared" si="38"/>
        <v>0</v>
      </c>
      <c r="AF389" s="19">
        <f t="shared" si="39"/>
        <v>4</v>
      </c>
      <c r="AG389" s="19">
        <f t="shared" si="40"/>
        <v>2</v>
      </c>
      <c r="AH389" s="19">
        <f t="shared" si="41"/>
        <v>0</v>
      </c>
    </row>
    <row r="390" spans="1:34">
      <c r="A390" s="8" t="s">
        <v>952</v>
      </c>
      <c r="B390" s="8" t="s">
        <v>1992</v>
      </c>
      <c r="C390" s="8" t="s">
        <v>7</v>
      </c>
      <c r="D390" s="8" t="s">
        <v>3</v>
      </c>
      <c r="E390" s="8" t="s">
        <v>56</v>
      </c>
      <c r="F390" s="8" t="s">
        <v>3</v>
      </c>
      <c r="G390" s="8" t="s">
        <v>5</v>
      </c>
      <c r="H390" s="8" t="s">
        <v>175</v>
      </c>
      <c r="I390" s="8" t="s">
        <v>43</v>
      </c>
      <c r="J390" s="8" t="s">
        <v>41</v>
      </c>
      <c r="K390" s="8" t="s">
        <v>5696</v>
      </c>
      <c r="L390" s="8" t="s">
        <v>110</v>
      </c>
      <c r="M390" s="11" t="s">
        <v>5480</v>
      </c>
      <c r="N390" s="8">
        <v>9</v>
      </c>
      <c r="O390" s="8">
        <v>5</v>
      </c>
      <c r="P390" s="8">
        <v>4</v>
      </c>
      <c r="Q390" s="8">
        <v>3</v>
      </c>
      <c r="R390" s="8">
        <v>2</v>
      </c>
      <c r="S390" s="8">
        <v>1</v>
      </c>
      <c r="T390" s="8">
        <v>0</v>
      </c>
      <c r="U390" s="8">
        <v>1</v>
      </c>
      <c r="V390" s="8">
        <v>1</v>
      </c>
      <c r="W390" s="8">
        <v>1</v>
      </c>
      <c r="X390" s="8">
        <v>0</v>
      </c>
      <c r="Y390" s="8">
        <v>3</v>
      </c>
      <c r="Z390" s="8">
        <v>2</v>
      </c>
      <c r="AA390" s="8">
        <v>0</v>
      </c>
      <c r="AB390" s="8">
        <v>0</v>
      </c>
      <c r="AC390" s="19">
        <f t="shared" si="36"/>
        <v>1</v>
      </c>
      <c r="AD390" s="19">
        <f t="shared" si="37"/>
        <v>1</v>
      </c>
      <c r="AE390" s="19">
        <f t="shared" si="38"/>
        <v>0</v>
      </c>
      <c r="AF390" s="19">
        <f t="shared" si="39"/>
        <v>1</v>
      </c>
      <c r="AG390" s="19">
        <f t="shared" si="40"/>
        <v>1</v>
      </c>
      <c r="AH390" s="19">
        <f t="shared" si="41"/>
        <v>0</v>
      </c>
    </row>
    <row r="391" spans="1:34">
      <c r="A391" s="8" t="s">
        <v>1159</v>
      </c>
      <c r="B391" s="8" t="s">
        <v>2860</v>
      </c>
      <c r="C391" s="8" t="s">
        <v>954</v>
      </c>
      <c r="D391" s="8" t="s">
        <v>4</v>
      </c>
      <c r="E391" s="8" t="s">
        <v>80</v>
      </c>
      <c r="F391" s="8" t="s">
        <v>5</v>
      </c>
      <c r="G391" s="8" t="s">
        <v>4</v>
      </c>
      <c r="H391" s="8" t="s">
        <v>5674</v>
      </c>
      <c r="I391" s="8" t="s">
        <v>41</v>
      </c>
      <c r="J391" s="8" t="s">
        <v>43</v>
      </c>
      <c r="K391" s="8" t="s">
        <v>41</v>
      </c>
      <c r="L391" s="8" t="s">
        <v>110</v>
      </c>
      <c r="M391" s="11" t="s">
        <v>2861</v>
      </c>
      <c r="N391" s="8">
        <v>70</v>
      </c>
      <c r="O391" s="8">
        <v>45</v>
      </c>
      <c r="P391" s="8">
        <v>25</v>
      </c>
      <c r="Q391" s="8">
        <v>8</v>
      </c>
      <c r="R391" s="8">
        <v>4</v>
      </c>
      <c r="S391" s="8">
        <v>19</v>
      </c>
      <c r="T391" s="8">
        <v>13</v>
      </c>
      <c r="U391" s="8">
        <v>13</v>
      </c>
      <c r="V391" s="8">
        <v>10</v>
      </c>
      <c r="W391" s="8">
        <v>13</v>
      </c>
      <c r="X391" s="8">
        <v>6</v>
      </c>
      <c r="Y391" s="8">
        <v>17</v>
      </c>
      <c r="Z391" s="8">
        <v>12</v>
      </c>
      <c r="AA391" s="8">
        <v>0</v>
      </c>
      <c r="AB391" s="8">
        <v>0</v>
      </c>
      <c r="AC391" s="19">
        <f t="shared" si="36"/>
        <v>4</v>
      </c>
      <c r="AD391" s="19">
        <f t="shared" si="37"/>
        <v>6</v>
      </c>
      <c r="AE391" s="19">
        <f t="shared" si="38"/>
        <v>3</v>
      </c>
      <c r="AF391" s="19">
        <f t="shared" si="39"/>
        <v>7</v>
      </c>
      <c r="AG391" s="19">
        <f t="shared" si="40"/>
        <v>5</v>
      </c>
      <c r="AH391" s="19">
        <f t="shared" si="41"/>
        <v>0</v>
      </c>
    </row>
    <row r="392" spans="1:34">
      <c r="A392" s="8" t="s">
        <v>1078</v>
      </c>
      <c r="B392" s="8" t="s">
        <v>2865</v>
      </c>
      <c r="C392" s="8" t="s">
        <v>959</v>
      </c>
      <c r="D392" s="8" t="s">
        <v>6</v>
      </c>
      <c r="E392" s="8" t="s">
        <v>68</v>
      </c>
      <c r="F392" s="8" t="s">
        <v>6</v>
      </c>
      <c r="G392" s="8" t="s">
        <v>3</v>
      </c>
      <c r="H392" s="8" t="s">
        <v>238</v>
      </c>
      <c r="I392" s="8" t="s">
        <v>41</v>
      </c>
      <c r="J392" s="8" t="s">
        <v>43</v>
      </c>
      <c r="K392" s="8" t="s">
        <v>41</v>
      </c>
      <c r="L392" s="8" t="s">
        <v>110</v>
      </c>
      <c r="M392" s="11" t="s">
        <v>2866</v>
      </c>
      <c r="N392" s="8">
        <v>20</v>
      </c>
      <c r="O392" s="8">
        <v>17</v>
      </c>
      <c r="P392" s="8">
        <v>3</v>
      </c>
      <c r="Q392" s="8">
        <v>4</v>
      </c>
      <c r="R392" s="8">
        <v>4</v>
      </c>
      <c r="S392" s="8">
        <v>4</v>
      </c>
      <c r="T392" s="8">
        <v>3</v>
      </c>
      <c r="U392" s="8">
        <v>4</v>
      </c>
      <c r="V392" s="8">
        <v>3</v>
      </c>
      <c r="W392" s="8">
        <v>4</v>
      </c>
      <c r="X392" s="8">
        <v>3</v>
      </c>
      <c r="Y392" s="8">
        <v>4</v>
      </c>
      <c r="Z392" s="8">
        <v>4</v>
      </c>
      <c r="AA392" s="8">
        <v>0</v>
      </c>
      <c r="AB392" s="8">
        <v>0</v>
      </c>
      <c r="AC392" s="19">
        <f t="shared" si="36"/>
        <v>0</v>
      </c>
      <c r="AD392" s="19">
        <f t="shared" si="37"/>
        <v>1</v>
      </c>
      <c r="AE392" s="19">
        <f t="shared" si="38"/>
        <v>1</v>
      </c>
      <c r="AF392" s="19">
        <f t="shared" si="39"/>
        <v>1</v>
      </c>
      <c r="AG392" s="19">
        <f t="shared" si="40"/>
        <v>0</v>
      </c>
      <c r="AH392" s="19">
        <f t="shared" si="41"/>
        <v>0</v>
      </c>
    </row>
    <row r="393" spans="1:34">
      <c r="A393" s="8" t="s">
        <v>524</v>
      </c>
      <c r="B393" s="8" t="s">
        <v>2868</v>
      </c>
      <c r="C393" s="8" t="s">
        <v>118</v>
      </c>
      <c r="D393" s="8" t="s">
        <v>4</v>
      </c>
      <c r="E393" s="8" t="s">
        <v>41</v>
      </c>
      <c r="F393" s="8" t="s">
        <v>388</v>
      </c>
      <c r="G393" s="8" t="s">
        <v>16</v>
      </c>
      <c r="H393" s="8" t="s">
        <v>1184</v>
      </c>
      <c r="I393" s="8" t="s">
        <v>41</v>
      </c>
      <c r="J393" s="8" t="s">
        <v>43</v>
      </c>
      <c r="K393" s="8" t="s">
        <v>41</v>
      </c>
      <c r="L393" s="8" t="s">
        <v>110</v>
      </c>
      <c r="M393" s="11" t="s">
        <v>4071</v>
      </c>
      <c r="N393" s="8">
        <v>7</v>
      </c>
      <c r="O393" s="8">
        <v>6</v>
      </c>
      <c r="P393" s="8">
        <v>1</v>
      </c>
      <c r="Q393" s="8">
        <v>3</v>
      </c>
      <c r="R393" s="8">
        <v>3</v>
      </c>
      <c r="S393" s="8">
        <v>1</v>
      </c>
      <c r="T393" s="8">
        <v>1</v>
      </c>
      <c r="U393" s="8">
        <v>0</v>
      </c>
      <c r="V393" s="8">
        <v>0</v>
      </c>
      <c r="W393" s="8">
        <v>3</v>
      </c>
      <c r="X393" s="8">
        <v>2</v>
      </c>
      <c r="Y393" s="8">
        <v>0</v>
      </c>
      <c r="Z393" s="8">
        <v>0</v>
      </c>
      <c r="AA393" s="8">
        <v>0</v>
      </c>
      <c r="AB393" s="8">
        <v>0</v>
      </c>
      <c r="AC393" s="19">
        <f t="shared" si="36"/>
        <v>0</v>
      </c>
      <c r="AD393" s="19">
        <f t="shared" si="37"/>
        <v>0</v>
      </c>
      <c r="AE393" s="19">
        <f t="shared" si="38"/>
        <v>0</v>
      </c>
      <c r="AF393" s="19">
        <f t="shared" si="39"/>
        <v>1</v>
      </c>
      <c r="AG393" s="19">
        <f t="shared" si="40"/>
        <v>0</v>
      </c>
      <c r="AH393" s="19">
        <f t="shared" si="41"/>
        <v>0</v>
      </c>
    </row>
    <row r="394" spans="1:34">
      <c r="A394" s="8" t="s">
        <v>526</v>
      </c>
      <c r="B394" s="8" t="s">
        <v>2870</v>
      </c>
      <c r="C394" s="8" t="s">
        <v>118</v>
      </c>
      <c r="D394" s="8" t="s">
        <v>4</v>
      </c>
      <c r="E394" s="8" t="s">
        <v>41</v>
      </c>
      <c r="F394" s="8" t="s">
        <v>388</v>
      </c>
      <c r="G394" s="8" t="s">
        <v>13</v>
      </c>
      <c r="H394" s="8" t="s">
        <v>405</v>
      </c>
      <c r="I394" s="8" t="s">
        <v>41</v>
      </c>
      <c r="J394" s="8" t="s">
        <v>43</v>
      </c>
      <c r="K394" s="8" t="s">
        <v>41</v>
      </c>
      <c r="L394" s="8" t="s">
        <v>110</v>
      </c>
      <c r="M394" s="11" t="s">
        <v>4072</v>
      </c>
      <c r="N394" s="8">
        <v>6</v>
      </c>
      <c r="O394" s="8">
        <v>3</v>
      </c>
      <c r="P394" s="8">
        <v>3</v>
      </c>
      <c r="Q394" s="8">
        <v>2</v>
      </c>
      <c r="R394" s="8">
        <v>1</v>
      </c>
      <c r="S394" s="8">
        <v>1</v>
      </c>
      <c r="T394" s="8">
        <v>0</v>
      </c>
      <c r="U394" s="8">
        <v>3</v>
      </c>
      <c r="V394" s="8">
        <v>2</v>
      </c>
      <c r="W394" s="8">
        <v>0</v>
      </c>
      <c r="X394" s="8">
        <v>0</v>
      </c>
      <c r="Y394" s="8">
        <v>0</v>
      </c>
      <c r="Z394" s="8">
        <v>0</v>
      </c>
      <c r="AA394" s="8">
        <v>0</v>
      </c>
      <c r="AB394" s="8">
        <v>0</v>
      </c>
      <c r="AC394" s="19">
        <f t="shared" si="36"/>
        <v>1</v>
      </c>
      <c r="AD394" s="19">
        <f t="shared" si="37"/>
        <v>1</v>
      </c>
      <c r="AE394" s="19">
        <f t="shared" si="38"/>
        <v>1</v>
      </c>
      <c r="AF394" s="19">
        <f t="shared" si="39"/>
        <v>0</v>
      </c>
      <c r="AG394" s="19">
        <f t="shared" si="40"/>
        <v>0</v>
      </c>
      <c r="AH394" s="19">
        <f t="shared" si="41"/>
        <v>0</v>
      </c>
    </row>
    <row r="395" spans="1:34">
      <c r="A395" s="8" t="s">
        <v>528</v>
      </c>
      <c r="B395" s="8" t="s">
        <v>2871</v>
      </c>
      <c r="C395" s="8" t="s">
        <v>954</v>
      </c>
      <c r="D395" s="8" t="s">
        <v>11</v>
      </c>
      <c r="E395" s="8" t="s">
        <v>80</v>
      </c>
      <c r="F395" s="8" t="s">
        <v>7</v>
      </c>
      <c r="G395" s="8" t="s">
        <v>5</v>
      </c>
      <c r="H395" s="8" t="s">
        <v>832</v>
      </c>
      <c r="I395" s="8" t="s">
        <v>41</v>
      </c>
      <c r="J395" s="8" t="s">
        <v>43</v>
      </c>
      <c r="K395" s="8" t="s">
        <v>41</v>
      </c>
      <c r="L395" s="8" t="s">
        <v>110</v>
      </c>
      <c r="M395" s="11" t="s">
        <v>2872</v>
      </c>
      <c r="N395" s="8">
        <v>168</v>
      </c>
      <c r="O395" s="8">
        <v>75</v>
      </c>
      <c r="P395" s="8">
        <v>93</v>
      </c>
      <c r="Q395" s="8">
        <v>43</v>
      </c>
      <c r="R395" s="8">
        <v>21</v>
      </c>
      <c r="S395" s="8">
        <v>30</v>
      </c>
      <c r="T395" s="8">
        <v>14</v>
      </c>
      <c r="U395" s="8">
        <v>25</v>
      </c>
      <c r="V395" s="8">
        <v>10</v>
      </c>
      <c r="W395" s="8">
        <v>36</v>
      </c>
      <c r="X395" s="8">
        <v>16</v>
      </c>
      <c r="Y395" s="8">
        <v>34</v>
      </c>
      <c r="Z395" s="8">
        <v>14</v>
      </c>
      <c r="AA395" s="8">
        <v>0</v>
      </c>
      <c r="AB395" s="8">
        <v>0</v>
      </c>
      <c r="AC395" s="19">
        <f t="shared" si="36"/>
        <v>22</v>
      </c>
      <c r="AD395" s="19">
        <f t="shared" si="37"/>
        <v>16</v>
      </c>
      <c r="AE395" s="19">
        <f t="shared" si="38"/>
        <v>15</v>
      </c>
      <c r="AF395" s="19">
        <f t="shared" si="39"/>
        <v>20</v>
      </c>
      <c r="AG395" s="19">
        <f t="shared" si="40"/>
        <v>20</v>
      </c>
      <c r="AH395" s="19">
        <f t="shared" si="41"/>
        <v>0</v>
      </c>
    </row>
    <row r="396" spans="1:34">
      <c r="A396" s="8" t="s">
        <v>529</v>
      </c>
      <c r="B396" s="8" t="s">
        <v>2875</v>
      </c>
      <c r="C396" s="8" t="s">
        <v>118</v>
      </c>
      <c r="D396" s="8" t="s">
        <v>9</v>
      </c>
      <c r="E396" s="8" t="s">
        <v>41</v>
      </c>
      <c r="F396" s="8" t="s">
        <v>388</v>
      </c>
      <c r="G396" s="8" t="s">
        <v>5</v>
      </c>
      <c r="H396" s="8" t="s">
        <v>5702</v>
      </c>
      <c r="I396" s="8" t="s">
        <v>41</v>
      </c>
      <c r="J396" s="8" t="s">
        <v>41</v>
      </c>
      <c r="K396" s="8" t="s">
        <v>43</v>
      </c>
      <c r="L396" s="8" t="s">
        <v>110</v>
      </c>
      <c r="M396" s="11" t="s">
        <v>4073</v>
      </c>
      <c r="N396" s="8">
        <v>37</v>
      </c>
      <c r="O396" s="8">
        <v>28</v>
      </c>
      <c r="P396" s="8">
        <v>9</v>
      </c>
      <c r="Q396" s="8">
        <v>1</v>
      </c>
      <c r="R396" s="8">
        <v>1</v>
      </c>
      <c r="S396" s="8">
        <v>7</v>
      </c>
      <c r="T396" s="8">
        <v>6</v>
      </c>
      <c r="U396" s="8">
        <v>0</v>
      </c>
      <c r="V396" s="8">
        <v>0</v>
      </c>
      <c r="W396" s="8">
        <v>20</v>
      </c>
      <c r="X396" s="8">
        <v>14</v>
      </c>
      <c r="Y396" s="8">
        <v>9</v>
      </c>
      <c r="Z396" s="8">
        <v>7</v>
      </c>
      <c r="AA396" s="8">
        <v>0</v>
      </c>
      <c r="AB396" s="8">
        <v>0</v>
      </c>
      <c r="AC396" s="19">
        <f t="shared" si="36"/>
        <v>0</v>
      </c>
      <c r="AD396" s="19">
        <f t="shared" si="37"/>
        <v>1</v>
      </c>
      <c r="AE396" s="19">
        <f t="shared" si="38"/>
        <v>0</v>
      </c>
      <c r="AF396" s="19">
        <f t="shared" si="39"/>
        <v>6</v>
      </c>
      <c r="AG396" s="19">
        <f t="shared" si="40"/>
        <v>2</v>
      </c>
      <c r="AH396" s="19">
        <f t="shared" si="41"/>
        <v>0</v>
      </c>
    </row>
    <row r="397" spans="1:34">
      <c r="A397" s="8" t="s">
        <v>530</v>
      </c>
      <c r="B397" s="8" t="s">
        <v>2876</v>
      </c>
      <c r="C397" s="8" t="s">
        <v>70</v>
      </c>
      <c r="D397" s="8" t="s">
        <v>7</v>
      </c>
      <c r="E397" s="8" t="s">
        <v>43</v>
      </c>
      <c r="F397" s="8" t="s">
        <v>13</v>
      </c>
      <c r="G397" s="8" t="s">
        <v>8</v>
      </c>
      <c r="H397" s="8" t="s">
        <v>60</v>
      </c>
      <c r="I397" s="8" t="s">
        <v>41</v>
      </c>
      <c r="J397" s="8" t="s">
        <v>43</v>
      </c>
      <c r="K397" s="8" t="s">
        <v>41</v>
      </c>
      <c r="L397" s="8" t="s">
        <v>110</v>
      </c>
      <c r="M397" s="11" t="s">
        <v>2877</v>
      </c>
      <c r="N397" s="8">
        <v>113</v>
      </c>
      <c r="O397" s="8">
        <v>69</v>
      </c>
      <c r="P397" s="8">
        <v>44</v>
      </c>
      <c r="Q397" s="8">
        <v>29</v>
      </c>
      <c r="R397" s="8">
        <v>21</v>
      </c>
      <c r="S397" s="8">
        <v>26</v>
      </c>
      <c r="T397" s="8">
        <v>13</v>
      </c>
      <c r="U397" s="8">
        <v>16</v>
      </c>
      <c r="V397" s="8">
        <v>7</v>
      </c>
      <c r="W397" s="8">
        <v>27</v>
      </c>
      <c r="X397" s="8">
        <v>20</v>
      </c>
      <c r="Y397" s="8">
        <v>15</v>
      </c>
      <c r="Z397" s="8">
        <v>8</v>
      </c>
      <c r="AA397" s="8">
        <v>0</v>
      </c>
      <c r="AB397" s="8">
        <v>0</v>
      </c>
      <c r="AC397" s="19">
        <f t="shared" si="36"/>
        <v>8</v>
      </c>
      <c r="AD397" s="19">
        <f t="shared" si="37"/>
        <v>13</v>
      </c>
      <c r="AE397" s="19">
        <f t="shared" si="38"/>
        <v>9</v>
      </c>
      <c r="AF397" s="19">
        <f t="shared" si="39"/>
        <v>7</v>
      </c>
      <c r="AG397" s="19">
        <f t="shared" si="40"/>
        <v>7</v>
      </c>
      <c r="AH397" s="19">
        <f t="shared" si="41"/>
        <v>0</v>
      </c>
    </row>
    <row r="398" spans="1:34">
      <c r="A398" s="8" t="s">
        <v>531</v>
      </c>
      <c r="B398" s="8" t="s">
        <v>2878</v>
      </c>
      <c r="C398" s="8" t="s">
        <v>70</v>
      </c>
      <c r="D398" s="8" t="s">
        <v>7</v>
      </c>
      <c r="E398" s="8" t="s">
        <v>43</v>
      </c>
      <c r="F398" s="8" t="s">
        <v>13</v>
      </c>
      <c r="G398" s="8" t="s">
        <v>8</v>
      </c>
      <c r="H398" s="8" t="s">
        <v>721</v>
      </c>
      <c r="I398" s="8" t="s">
        <v>41</v>
      </c>
      <c r="J398" s="8" t="s">
        <v>43</v>
      </c>
      <c r="K398" s="8" t="s">
        <v>41</v>
      </c>
      <c r="L398" s="8" t="s">
        <v>110</v>
      </c>
      <c r="M398" s="11" t="s">
        <v>2879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8">
        <v>0</v>
      </c>
      <c r="AC398" s="19">
        <f t="shared" si="36"/>
        <v>0</v>
      </c>
      <c r="AD398" s="19">
        <f t="shared" si="37"/>
        <v>0</v>
      </c>
      <c r="AE398" s="19">
        <f t="shared" si="38"/>
        <v>0</v>
      </c>
      <c r="AF398" s="19">
        <f t="shared" si="39"/>
        <v>0</v>
      </c>
      <c r="AG398" s="19">
        <f t="shared" si="40"/>
        <v>0</v>
      </c>
      <c r="AH398" s="19">
        <f t="shared" si="41"/>
        <v>0</v>
      </c>
    </row>
    <row r="399" spans="1:34">
      <c r="A399" s="8" t="s">
        <v>532</v>
      </c>
      <c r="B399" s="8" t="s">
        <v>2881</v>
      </c>
      <c r="C399" s="8" t="s">
        <v>70</v>
      </c>
      <c r="D399" s="8" t="s">
        <v>16</v>
      </c>
      <c r="E399" s="8" t="s">
        <v>43</v>
      </c>
      <c r="F399" s="8" t="s">
        <v>13</v>
      </c>
      <c r="G399" s="8" t="s">
        <v>17</v>
      </c>
      <c r="H399" s="8" t="s">
        <v>510</v>
      </c>
      <c r="I399" s="8" t="s">
        <v>41</v>
      </c>
      <c r="J399" s="8" t="s">
        <v>43</v>
      </c>
      <c r="K399" s="8" t="s">
        <v>41</v>
      </c>
      <c r="L399" s="8" t="s">
        <v>110</v>
      </c>
      <c r="M399" s="11" t="s">
        <v>2882</v>
      </c>
      <c r="N399" s="8">
        <v>66</v>
      </c>
      <c r="O399" s="8">
        <v>50</v>
      </c>
      <c r="P399" s="8">
        <v>16</v>
      </c>
      <c r="Q399" s="8">
        <v>5</v>
      </c>
      <c r="R399" s="8">
        <v>4</v>
      </c>
      <c r="S399" s="8">
        <v>24</v>
      </c>
      <c r="T399" s="8">
        <v>19</v>
      </c>
      <c r="U399" s="8">
        <v>11</v>
      </c>
      <c r="V399" s="8">
        <v>10</v>
      </c>
      <c r="W399" s="8">
        <v>14</v>
      </c>
      <c r="X399" s="8">
        <v>9</v>
      </c>
      <c r="Y399" s="8">
        <v>12</v>
      </c>
      <c r="Z399" s="8">
        <v>8</v>
      </c>
      <c r="AA399" s="8">
        <v>0</v>
      </c>
      <c r="AB399" s="8">
        <v>0</v>
      </c>
      <c r="AC399" s="19">
        <f t="shared" si="36"/>
        <v>1</v>
      </c>
      <c r="AD399" s="19">
        <f t="shared" si="37"/>
        <v>5</v>
      </c>
      <c r="AE399" s="19">
        <f t="shared" si="38"/>
        <v>1</v>
      </c>
      <c r="AF399" s="19">
        <f t="shared" si="39"/>
        <v>5</v>
      </c>
      <c r="AG399" s="19">
        <f t="shared" si="40"/>
        <v>4</v>
      </c>
      <c r="AH399" s="19">
        <f t="shared" si="41"/>
        <v>0</v>
      </c>
    </row>
    <row r="400" spans="1:34">
      <c r="A400" s="8" t="s">
        <v>533</v>
      </c>
      <c r="B400" s="8" t="s">
        <v>1992</v>
      </c>
      <c r="C400" s="8" t="s">
        <v>9</v>
      </c>
      <c r="D400" s="8" t="s">
        <v>9</v>
      </c>
      <c r="E400" s="8" t="s">
        <v>110</v>
      </c>
      <c r="F400" s="8" t="s">
        <v>11</v>
      </c>
      <c r="G400" s="8" t="s">
        <v>4</v>
      </c>
      <c r="H400" s="8" t="s">
        <v>461</v>
      </c>
      <c r="I400" s="8" t="s">
        <v>43</v>
      </c>
      <c r="J400" s="8" t="s">
        <v>41</v>
      </c>
      <c r="K400" s="8" t="s">
        <v>5696</v>
      </c>
      <c r="L400" s="8" t="s">
        <v>110</v>
      </c>
      <c r="M400" s="11" t="s">
        <v>2883</v>
      </c>
      <c r="N400" s="8">
        <v>2</v>
      </c>
      <c r="O400" s="8">
        <v>2</v>
      </c>
      <c r="P400" s="8">
        <v>0</v>
      </c>
      <c r="Q400" s="8">
        <v>1</v>
      </c>
      <c r="R400" s="8">
        <v>1</v>
      </c>
      <c r="S400" s="8">
        <v>1</v>
      </c>
      <c r="T400" s="8">
        <v>1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  <c r="Z400" s="8">
        <v>0</v>
      </c>
      <c r="AA400" s="8">
        <v>0</v>
      </c>
      <c r="AB400" s="8">
        <v>0</v>
      </c>
      <c r="AC400" s="19">
        <f t="shared" si="36"/>
        <v>0</v>
      </c>
      <c r="AD400" s="19">
        <f t="shared" si="37"/>
        <v>0</v>
      </c>
      <c r="AE400" s="19">
        <f t="shared" si="38"/>
        <v>0</v>
      </c>
      <c r="AF400" s="19">
        <f t="shared" si="39"/>
        <v>0</v>
      </c>
      <c r="AG400" s="19">
        <f t="shared" si="40"/>
        <v>0</v>
      </c>
      <c r="AH400" s="19">
        <f t="shared" si="41"/>
        <v>0</v>
      </c>
    </row>
    <row r="401" spans="1:34">
      <c r="A401" s="8" t="s">
        <v>534</v>
      </c>
      <c r="B401" s="8" t="s">
        <v>1992</v>
      </c>
      <c r="C401" s="8" t="s">
        <v>956</v>
      </c>
      <c r="D401" s="8" t="s">
        <v>6</v>
      </c>
      <c r="E401" s="8" t="s">
        <v>41</v>
      </c>
      <c r="F401" s="8" t="s">
        <v>18</v>
      </c>
      <c r="G401" s="8" t="s">
        <v>5</v>
      </c>
      <c r="H401" s="8" t="s">
        <v>99</v>
      </c>
      <c r="I401" s="8" t="s">
        <v>43</v>
      </c>
      <c r="J401" s="8" t="s">
        <v>41</v>
      </c>
      <c r="K401" s="8" t="s">
        <v>5696</v>
      </c>
      <c r="L401" s="8" t="s">
        <v>110</v>
      </c>
      <c r="M401" s="11" t="s">
        <v>2886</v>
      </c>
      <c r="N401" s="8">
        <v>20</v>
      </c>
      <c r="O401" s="8">
        <v>13</v>
      </c>
      <c r="P401" s="8">
        <v>7</v>
      </c>
      <c r="Q401" s="8">
        <v>11</v>
      </c>
      <c r="R401" s="8">
        <v>7</v>
      </c>
      <c r="S401" s="8">
        <v>4</v>
      </c>
      <c r="T401" s="8">
        <v>3</v>
      </c>
      <c r="U401" s="8">
        <v>1</v>
      </c>
      <c r="V401" s="8">
        <v>1</v>
      </c>
      <c r="W401" s="8">
        <v>2</v>
      </c>
      <c r="X401" s="8">
        <v>2</v>
      </c>
      <c r="Y401" s="8">
        <v>2</v>
      </c>
      <c r="Z401" s="8">
        <v>0</v>
      </c>
      <c r="AA401" s="8">
        <v>0</v>
      </c>
      <c r="AB401" s="8">
        <v>0</v>
      </c>
      <c r="AC401" s="19">
        <f t="shared" si="36"/>
        <v>4</v>
      </c>
      <c r="AD401" s="19">
        <f t="shared" si="37"/>
        <v>1</v>
      </c>
      <c r="AE401" s="19">
        <f t="shared" si="38"/>
        <v>0</v>
      </c>
      <c r="AF401" s="19">
        <f t="shared" si="39"/>
        <v>0</v>
      </c>
      <c r="AG401" s="19">
        <f t="shared" si="40"/>
        <v>2</v>
      </c>
      <c r="AH401" s="19">
        <f t="shared" si="41"/>
        <v>0</v>
      </c>
    </row>
    <row r="402" spans="1:34">
      <c r="A402" s="8" t="s">
        <v>535</v>
      </c>
      <c r="B402" s="8" t="s">
        <v>2888</v>
      </c>
      <c r="C402" s="8" t="s">
        <v>956</v>
      </c>
      <c r="D402" s="8" t="s">
        <v>8</v>
      </c>
      <c r="E402" s="8" t="s">
        <v>41</v>
      </c>
      <c r="F402" s="8" t="s">
        <v>16</v>
      </c>
      <c r="G402" s="8" t="s">
        <v>7</v>
      </c>
      <c r="H402" s="8" t="s">
        <v>233</v>
      </c>
      <c r="I402" s="8" t="s">
        <v>41</v>
      </c>
      <c r="J402" s="8" t="s">
        <v>41</v>
      </c>
      <c r="K402" s="8" t="s">
        <v>41</v>
      </c>
      <c r="L402" s="8" t="s">
        <v>110</v>
      </c>
      <c r="M402" s="11" t="s">
        <v>2889</v>
      </c>
      <c r="N402" s="8">
        <v>125</v>
      </c>
      <c r="O402" s="8">
        <v>61</v>
      </c>
      <c r="P402" s="8">
        <v>64</v>
      </c>
      <c r="Q402" s="8">
        <v>34</v>
      </c>
      <c r="R402" s="8">
        <v>13</v>
      </c>
      <c r="S402" s="8">
        <v>29</v>
      </c>
      <c r="T402" s="8">
        <v>17</v>
      </c>
      <c r="U402" s="8">
        <v>32</v>
      </c>
      <c r="V402" s="8">
        <v>15</v>
      </c>
      <c r="W402" s="8">
        <v>20</v>
      </c>
      <c r="X402" s="8">
        <v>12</v>
      </c>
      <c r="Y402" s="8">
        <v>10</v>
      </c>
      <c r="Z402" s="8">
        <v>4</v>
      </c>
      <c r="AA402" s="8">
        <v>0</v>
      </c>
      <c r="AB402" s="8">
        <v>0</v>
      </c>
      <c r="AC402" s="19">
        <f t="shared" si="36"/>
        <v>21</v>
      </c>
      <c r="AD402" s="19">
        <f t="shared" si="37"/>
        <v>12</v>
      </c>
      <c r="AE402" s="19">
        <f t="shared" si="38"/>
        <v>17</v>
      </c>
      <c r="AF402" s="19">
        <f t="shared" si="39"/>
        <v>8</v>
      </c>
      <c r="AG402" s="19">
        <f t="shared" si="40"/>
        <v>6</v>
      </c>
      <c r="AH402" s="19">
        <f t="shared" si="41"/>
        <v>0</v>
      </c>
    </row>
    <row r="403" spans="1:34">
      <c r="A403" s="8" t="s">
        <v>536</v>
      </c>
      <c r="B403" s="8" t="s">
        <v>1992</v>
      </c>
      <c r="C403" s="8" t="s">
        <v>957</v>
      </c>
      <c r="D403" s="8" t="s">
        <v>6</v>
      </c>
      <c r="E403" s="8" t="s">
        <v>41</v>
      </c>
      <c r="F403" s="8" t="s">
        <v>12</v>
      </c>
      <c r="G403" s="8" t="s">
        <v>3</v>
      </c>
      <c r="H403" s="8" t="s">
        <v>89</v>
      </c>
      <c r="I403" s="8" t="s">
        <v>43</v>
      </c>
      <c r="J403" s="8" t="s">
        <v>41</v>
      </c>
      <c r="K403" s="8" t="s">
        <v>5696</v>
      </c>
      <c r="L403" s="8" t="s">
        <v>110</v>
      </c>
      <c r="M403" s="11" t="s">
        <v>4298</v>
      </c>
      <c r="N403" s="8">
        <v>0</v>
      </c>
      <c r="O403" s="8">
        <v>0</v>
      </c>
      <c r="P403" s="8">
        <v>0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8">
        <v>0</v>
      </c>
      <c r="Z403" s="8">
        <v>0</v>
      </c>
      <c r="AA403" s="8">
        <v>0</v>
      </c>
      <c r="AB403" s="8">
        <v>0</v>
      </c>
      <c r="AC403" s="19">
        <f t="shared" si="36"/>
        <v>0</v>
      </c>
      <c r="AD403" s="19">
        <f t="shared" si="37"/>
        <v>0</v>
      </c>
      <c r="AE403" s="19">
        <f t="shared" si="38"/>
        <v>0</v>
      </c>
      <c r="AF403" s="19">
        <f t="shared" si="39"/>
        <v>0</v>
      </c>
      <c r="AG403" s="19">
        <f t="shared" si="40"/>
        <v>0</v>
      </c>
      <c r="AH403" s="19">
        <f t="shared" si="41"/>
        <v>0</v>
      </c>
    </row>
    <row r="404" spans="1:34">
      <c r="A404" s="8" t="s">
        <v>909</v>
      </c>
      <c r="B404" s="8" t="s">
        <v>1992</v>
      </c>
      <c r="C404" s="8" t="s">
        <v>957</v>
      </c>
      <c r="D404" s="8" t="s">
        <v>6</v>
      </c>
      <c r="E404" s="8" t="s">
        <v>41</v>
      </c>
      <c r="F404" s="8" t="s">
        <v>12</v>
      </c>
      <c r="G404" s="8" t="s">
        <v>3</v>
      </c>
      <c r="H404" s="8" t="s">
        <v>165</v>
      </c>
      <c r="I404" s="8" t="s">
        <v>43</v>
      </c>
      <c r="J404" s="8" t="s">
        <v>41</v>
      </c>
      <c r="K404" s="8" t="s">
        <v>5696</v>
      </c>
      <c r="L404" s="8" t="s">
        <v>110</v>
      </c>
      <c r="M404" s="11" t="s">
        <v>2892</v>
      </c>
      <c r="N404" s="8">
        <v>2</v>
      </c>
      <c r="O404" s="8">
        <v>0</v>
      </c>
      <c r="P404" s="8">
        <v>2</v>
      </c>
      <c r="Q404" s="8">
        <v>1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1</v>
      </c>
      <c r="X404" s="8">
        <v>0</v>
      </c>
      <c r="Y404" s="8">
        <v>0</v>
      </c>
      <c r="Z404" s="8">
        <v>0</v>
      </c>
      <c r="AA404" s="8">
        <v>0</v>
      </c>
      <c r="AB404" s="8">
        <v>0</v>
      </c>
      <c r="AC404" s="19">
        <f t="shared" si="36"/>
        <v>1</v>
      </c>
      <c r="AD404" s="19">
        <f t="shared" si="37"/>
        <v>0</v>
      </c>
      <c r="AE404" s="19">
        <f t="shared" si="38"/>
        <v>0</v>
      </c>
      <c r="AF404" s="19">
        <f t="shared" si="39"/>
        <v>1</v>
      </c>
      <c r="AG404" s="19">
        <f t="shared" si="40"/>
        <v>0</v>
      </c>
      <c r="AH404" s="19">
        <f t="shared" si="41"/>
        <v>0</v>
      </c>
    </row>
    <row r="405" spans="1:34">
      <c r="A405" s="8" t="s">
        <v>1084</v>
      </c>
      <c r="B405" s="8" t="s">
        <v>1992</v>
      </c>
      <c r="C405" s="8" t="s">
        <v>9</v>
      </c>
      <c r="D405" s="8" t="s">
        <v>6</v>
      </c>
      <c r="E405" s="8" t="s">
        <v>110</v>
      </c>
      <c r="F405" s="8" t="s">
        <v>7</v>
      </c>
      <c r="G405" s="8" t="s">
        <v>6</v>
      </c>
      <c r="H405" s="8" t="s">
        <v>2893</v>
      </c>
      <c r="I405" s="8" t="s">
        <v>43</v>
      </c>
      <c r="J405" s="8" t="s">
        <v>41</v>
      </c>
      <c r="K405" s="8" t="s">
        <v>5696</v>
      </c>
      <c r="L405" s="8" t="s">
        <v>110</v>
      </c>
      <c r="M405" s="11" t="s">
        <v>3504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  <c r="Z405" s="8">
        <v>0</v>
      </c>
      <c r="AA405" s="8">
        <v>0</v>
      </c>
      <c r="AB405" s="8">
        <v>0</v>
      </c>
      <c r="AC405" s="19">
        <f t="shared" si="36"/>
        <v>0</v>
      </c>
      <c r="AD405" s="19">
        <f t="shared" si="37"/>
        <v>0</v>
      </c>
      <c r="AE405" s="19">
        <f t="shared" si="38"/>
        <v>0</v>
      </c>
      <c r="AF405" s="19">
        <f t="shared" si="39"/>
        <v>0</v>
      </c>
      <c r="AG405" s="19">
        <f t="shared" si="40"/>
        <v>0</v>
      </c>
      <c r="AH405" s="19">
        <f t="shared" si="41"/>
        <v>0</v>
      </c>
    </row>
    <row r="406" spans="1:34">
      <c r="A406" s="8" t="s">
        <v>1160</v>
      </c>
      <c r="B406" s="8" t="s">
        <v>1992</v>
      </c>
      <c r="C406" s="8" t="s">
        <v>956</v>
      </c>
      <c r="D406" s="8" t="s">
        <v>3</v>
      </c>
      <c r="E406" s="8" t="s">
        <v>41</v>
      </c>
      <c r="F406" s="8" t="s">
        <v>11</v>
      </c>
      <c r="G406" s="8" t="s">
        <v>3</v>
      </c>
      <c r="H406" s="8" t="s">
        <v>132</v>
      </c>
      <c r="I406" s="8" t="s">
        <v>43</v>
      </c>
      <c r="J406" s="8" t="s">
        <v>41</v>
      </c>
      <c r="K406" s="8" t="s">
        <v>5696</v>
      </c>
      <c r="L406" s="8" t="s">
        <v>110</v>
      </c>
      <c r="M406" s="11" t="s">
        <v>1929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0</v>
      </c>
      <c r="X406" s="8">
        <v>0</v>
      </c>
      <c r="Y406" s="8">
        <v>0</v>
      </c>
      <c r="Z406" s="8">
        <v>0</v>
      </c>
      <c r="AA406" s="8">
        <v>0</v>
      </c>
      <c r="AB406" s="8">
        <v>0</v>
      </c>
      <c r="AC406" s="19">
        <f t="shared" si="36"/>
        <v>0</v>
      </c>
      <c r="AD406" s="19">
        <f t="shared" si="37"/>
        <v>0</v>
      </c>
      <c r="AE406" s="19">
        <f t="shared" si="38"/>
        <v>0</v>
      </c>
      <c r="AF406" s="19">
        <f t="shared" si="39"/>
        <v>0</v>
      </c>
      <c r="AG406" s="19">
        <f t="shared" si="40"/>
        <v>0</v>
      </c>
      <c r="AH406" s="19">
        <f t="shared" si="41"/>
        <v>0</v>
      </c>
    </row>
    <row r="407" spans="1:34">
      <c r="A407" s="8" t="s">
        <v>539</v>
      </c>
      <c r="B407" s="8" t="s">
        <v>2894</v>
      </c>
      <c r="C407" s="8" t="s">
        <v>953</v>
      </c>
      <c r="D407" s="8" t="s">
        <v>4</v>
      </c>
      <c r="E407" s="8" t="s">
        <v>110</v>
      </c>
      <c r="F407" s="8" t="s">
        <v>13</v>
      </c>
      <c r="G407" s="8" t="s">
        <v>5</v>
      </c>
      <c r="H407" s="8" t="s">
        <v>2896</v>
      </c>
      <c r="I407" s="8" t="s">
        <v>41</v>
      </c>
      <c r="J407" s="8" t="s">
        <v>43</v>
      </c>
      <c r="K407" s="8" t="s">
        <v>41</v>
      </c>
      <c r="L407" s="8" t="s">
        <v>110</v>
      </c>
      <c r="M407" s="11" t="s">
        <v>2895</v>
      </c>
      <c r="N407" s="8">
        <v>220</v>
      </c>
      <c r="O407" s="8">
        <v>134</v>
      </c>
      <c r="P407" s="8">
        <v>86</v>
      </c>
      <c r="Q407" s="8">
        <v>62</v>
      </c>
      <c r="R407" s="8">
        <v>39</v>
      </c>
      <c r="S407" s="8">
        <v>49</v>
      </c>
      <c r="T407" s="8">
        <v>26</v>
      </c>
      <c r="U407" s="8">
        <v>45</v>
      </c>
      <c r="V407" s="8">
        <v>26</v>
      </c>
      <c r="W407" s="8">
        <v>47</v>
      </c>
      <c r="X407" s="8">
        <v>33</v>
      </c>
      <c r="Y407" s="8">
        <v>17</v>
      </c>
      <c r="Z407" s="8">
        <v>10</v>
      </c>
      <c r="AA407" s="8">
        <v>0</v>
      </c>
      <c r="AB407" s="8">
        <v>0</v>
      </c>
      <c r="AC407" s="19">
        <f t="shared" si="36"/>
        <v>23</v>
      </c>
      <c r="AD407" s="19">
        <f t="shared" si="37"/>
        <v>23</v>
      </c>
      <c r="AE407" s="19">
        <f t="shared" si="38"/>
        <v>19</v>
      </c>
      <c r="AF407" s="19">
        <f t="shared" si="39"/>
        <v>14</v>
      </c>
      <c r="AG407" s="19">
        <f t="shared" si="40"/>
        <v>7</v>
      </c>
      <c r="AH407" s="19">
        <f t="shared" si="41"/>
        <v>0</v>
      </c>
    </row>
    <row r="408" spans="1:34">
      <c r="A408" s="8" t="s">
        <v>540</v>
      </c>
      <c r="B408" s="8" t="s">
        <v>2898</v>
      </c>
      <c r="C408" s="8" t="s">
        <v>304</v>
      </c>
      <c r="D408" s="8" t="s">
        <v>6</v>
      </c>
      <c r="E408" s="8" t="s">
        <v>68</v>
      </c>
      <c r="F408" s="8" t="s">
        <v>5</v>
      </c>
      <c r="G408" s="8" t="s">
        <v>4</v>
      </c>
      <c r="H408" s="8" t="s">
        <v>725</v>
      </c>
      <c r="I408" s="8" t="s">
        <v>41</v>
      </c>
      <c r="J408" s="8" t="s">
        <v>43</v>
      </c>
      <c r="K408" s="8" t="s">
        <v>41</v>
      </c>
      <c r="L408" s="8" t="s">
        <v>110</v>
      </c>
      <c r="M408" s="11" t="s">
        <v>2899</v>
      </c>
      <c r="N408" s="8">
        <v>72</v>
      </c>
      <c r="O408" s="8">
        <v>38</v>
      </c>
      <c r="P408" s="8">
        <v>34</v>
      </c>
      <c r="Q408" s="8">
        <v>17</v>
      </c>
      <c r="R408" s="8">
        <v>9</v>
      </c>
      <c r="S408" s="8">
        <v>13</v>
      </c>
      <c r="T408" s="8">
        <v>4</v>
      </c>
      <c r="U408" s="8">
        <v>21</v>
      </c>
      <c r="V408" s="8">
        <v>13</v>
      </c>
      <c r="W408" s="8">
        <v>10</v>
      </c>
      <c r="X408" s="8">
        <v>2</v>
      </c>
      <c r="Y408" s="8">
        <v>11</v>
      </c>
      <c r="Z408" s="8">
        <v>10</v>
      </c>
      <c r="AA408" s="8">
        <v>0</v>
      </c>
      <c r="AB408" s="8">
        <v>0</v>
      </c>
      <c r="AC408" s="19">
        <f t="shared" si="36"/>
        <v>8</v>
      </c>
      <c r="AD408" s="19">
        <f t="shared" si="37"/>
        <v>9</v>
      </c>
      <c r="AE408" s="19">
        <f t="shared" si="38"/>
        <v>8</v>
      </c>
      <c r="AF408" s="19">
        <f t="shared" si="39"/>
        <v>8</v>
      </c>
      <c r="AG408" s="19">
        <f t="shared" si="40"/>
        <v>1</v>
      </c>
      <c r="AH408" s="19">
        <f t="shared" si="41"/>
        <v>0</v>
      </c>
    </row>
    <row r="409" spans="1:34">
      <c r="A409" s="8" t="s">
        <v>541</v>
      </c>
      <c r="B409" s="8" t="s">
        <v>2900</v>
      </c>
      <c r="C409" s="8" t="s">
        <v>955</v>
      </c>
      <c r="D409" s="8" t="s">
        <v>5</v>
      </c>
      <c r="E409" s="8" t="s">
        <v>41</v>
      </c>
      <c r="F409" s="8" t="s">
        <v>8</v>
      </c>
      <c r="G409" s="8" t="s">
        <v>7</v>
      </c>
      <c r="H409" s="8" t="s">
        <v>377</v>
      </c>
      <c r="I409" s="8" t="s">
        <v>41</v>
      </c>
      <c r="J409" s="8" t="s">
        <v>43</v>
      </c>
      <c r="K409" s="8" t="s">
        <v>41</v>
      </c>
      <c r="L409" s="8" t="s">
        <v>110</v>
      </c>
      <c r="M409" s="11" t="s">
        <v>5615</v>
      </c>
      <c r="N409" s="8">
        <v>4</v>
      </c>
      <c r="O409" s="8">
        <v>3</v>
      </c>
      <c r="P409" s="8">
        <v>1</v>
      </c>
      <c r="Q409" s="8">
        <v>0</v>
      </c>
      <c r="R409" s="8">
        <v>0</v>
      </c>
      <c r="S409" s="8">
        <v>1</v>
      </c>
      <c r="T409" s="8">
        <v>0</v>
      </c>
      <c r="U409" s="8">
        <v>1</v>
      </c>
      <c r="V409" s="8">
        <v>1</v>
      </c>
      <c r="W409" s="8">
        <v>2</v>
      </c>
      <c r="X409" s="8">
        <v>2</v>
      </c>
      <c r="Y409" s="8">
        <v>0</v>
      </c>
      <c r="Z409" s="8">
        <v>0</v>
      </c>
      <c r="AA409" s="8">
        <v>0</v>
      </c>
      <c r="AB409" s="8">
        <v>0</v>
      </c>
      <c r="AC409" s="19">
        <f t="shared" si="36"/>
        <v>0</v>
      </c>
      <c r="AD409" s="19">
        <f t="shared" si="37"/>
        <v>1</v>
      </c>
      <c r="AE409" s="19">
        <f t="shared" si="38"/>
        <v>0</v>
      </c>
      <c r="AF409" s="19">
        <f t="shared" si="39"/>
        <v>0</v>
      </c>
      <c r="AG409" s="19">
        <f t="shared" si="40"/>
        <v>0</v>
      </c>
      <c r="AH409" s="19">
        <f t="shared" si="41"/>
        <v>0</v>
      </c>
    </row>
    <row r="410" spans="1:34">
      <c r="A410" s="8" t="s">
        <v>1086</v>
      </c>
      <c r="B410" s="8" t="s">
        <v>2902</v>
      </c>
      <c r="C410" s="8" t="s">
        <v>107</v>
      </c>
      <c r="D410" s="8" t="s">
        <v>18</v>
      </c>
      <c r="E410" s="8" t="s">
        <v>80</v>
      </c>
      <c r="F410" s="8" t="s">
        <v>13</v>
      </c>
      <c r="G410" s="8" t="s">
        <v>3</v>
      </c>
      <c r="H410" s="8" t="s">
        <v>3505</v>
      </c>
      <c r="I410" s="8" t="s">
        <v>41</v>
      </c>
      <c r="J410" s="8" t="s">
        <v>41</v>
      </c>
      <c r="K410" s="8" t="s">
        <v>41</v>
      </c>
      <c r="L410" s="8" t="s">
        <v>110</v>
      </c>
      <c r="M410" s="11" t="s">
        <v>2903</v>
      </c>
      <c r="N410" s="8">
        <v>14</v>
      </c>
      <c r="O410" s="8">
        <v>11</v>
      </c>
      <c r="P410" s="8">
        <v>3</v>
      </c>
      <c r="Q410" s="8">
        <v>0</v>
      </c>
      <c r="R410" s="8">
        <v>0</v>
      </c>
      <c r="S410" s="8">
        <v>0</v>
      </c>
      <c r="T410" s="8">
        <v>0</v>
      </c>
      <c r="U410" s="8">
        <v>2</v>
      </c>
      <c r="V410" s="8">
        <v>1</v>
      </c>
      <c r="W410" s="8">
        <v>10</v>
      </c>
      <c r="X410" s="8">
        <v>9</v>
      </c>
      <c r="Y410" s="8">
        <v>2</v>
      </c>
      <c r="Z410" s="8">
        <v>1</v>
      </c>
      <c r="AA410" s="8">
        <v>0</v>
      </c>
      <c r="AB410" s="8">
        <v>0</v>
      </c>
      <c r="AC410" s="19">
        <f t="shared" si="36"/>
        <v>0</v>
      </c>
      <c r="AD410" s="19">
        <f t="shared" si="37"/>
        <v>0</v>
      </c>
      <c r="AE410" s="19">
        <f t="shared" si="38"/>
        <v>1</v>
      </c>
      <c r="AF410" s="19">
        <f t="shared" si="39"/>
        <v>1</v>
      </c>
      <c r="AG410" s="19">
        <f t="shared" si="40"/>
        <v>1</v>
      </c>
      <c r="AH410" s="19">
        <f t="shared" si="41"/>
        <v>0</v>
      </c>
    </row>
    <row r="411" spans="1:34">
      <c r="A411" s="8" t="s">
        <v>1165</v>
      </c>
      <c r="B411" s="8" t="s">
        <v>2904</v>
      </c>
      <c r="C411" s="8" t="s">
        <v>107</v>
      </c>
      <c r="D411" s="8" t="s">
        <v>16</v>
      </c>
      <c r="E411" s="8" t="s">
        <v>80</v>
      </c>
      <c r="F411" s="8" t="s">
        <v>13</v>
      </c>
      <c r="G411" s="8" t="s">
        <v>6</v>
      </c>
      <c r="H411" s="8" t="s">
        <v>402</v>
      </c>
      <c r="I411" s="8" t="s">
        <v>41</v>
      </c>
      <c r="J411" s="8" t="s">
        <v>43</v>
      </c>
      <c r="K411" s="8" t="s">
        <v>41</v>
      </c>
      <c r="L411" s="8" t="s">
        <v>110</v>
      </c>
      <c r="M411" s="11" t="s">
        <v>3228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>
        <v>0</v>
      </c>
      <c r="W411" s="8">
        <v>0</v>
      </c>
      <c r="X411" s="8">
        <v>0</v>
      </c>
      <c r="Y411" s="8">
        <v>0</v>
      </c>
      <c r="Z411" s="8">
        <v>0</v>
      </c>
      <c r="AA411" s="8">
        <v>0</v>
      </c>
      <c r="AB411" s="8">
        <v>0</v>
      </c>
      <c r="AC411" s="19">
        <f t="shared" si="36"/>
        <v>0</v>
      </c>
      <c r="AD411" s="19">
        <f t="shared" si="37"/>
        <v>0</v>
      </c>
      <c r="AE411" s="19">
        <f t="shared" si="38"/>
        <v>0</v>
      </c>
      <c r="AF411" s="19">
        <f t="shared" si="39"/>
        <v>0</v>
      </c>
      <c r="AG411" s="19">
        <f t="shared" si="40"/>
        <v>0</v>
      </c>
      <c r="AH411" s="19">
        <f t="shared" si="41"/>
        <v>0</v>
      </c>
    </row>
    <row r="412" spans="1:34">
      <c r="A412" s="8" t="s">
        <v>1760</v>
      </c>
      <c r="B412" s="8" t="s">
        <v>2905</v>
      </c>
      <c r="C412" s="8" t="s">
        <v>11</v>
      </c>
      <c r="D412" s="8" t="s">
        <v>7</v>
      </c>
      <c r="E412" s="8" t="s">
        <v>126</v>
      </c>
      <c r="F412" s="8" t="s">
        <v>13</v>
      </c>
      <c r="G412" s="8" t="s">
        <v>4</v>
      </c>
      <c r="H412" s="8" t="s">
        <v>792</v>
      </c>
      <c r="I412" s="8" t="s">
        <v>41</v>
      </c>
      <c r="J412" s="8" t="s">
        <v>43</v>
      </c>
      <c r="K412" s="8" t="s">
        <v>41</v>
      </c>
      <c r="L412" s="8" t="s">
        <v>110</v>
      </c>
      <c r="M412" s="11" t="s">
        <v>2906</v>
      </c>
      <c r="N412" s="8">
        <v>14</v>
      </c>
      <c r="O412" s="8">
        <v>11</v>
      </c>
      <c r="P412" s="8">
        <v>3</v>
      </c>
      <c r="Q412" s="8">
        <v>0</v>
      </c>
      <c r="R412" s="8">
        <v>0</v>
      </c>
      <c r="S412" s="8">
        <v>0</v>
      </c>
      <c r="T412" s="8">
        <v>0</v>
      </c>
      <c r="U412" s="8">
        <v>4</v>
      </c>
      <c r="V412" s="8">
        <v>4</v>
      </c>
      <c r="W412" s="8">
        <v>4</v>
      </c>
      <c r="X412" s="8">
        <v>4</v>
      </c>
      <c r="Y412" s="8">
        <v>6</v>
      </c>
      <c r="Z412" s="8">
        <v>3</v>
      </c>
      <c r="AA412" s="8">
        <v>0</v>
      </c>
      <c r="AB412" s="8">
        <v>0</v>
      </c>
      <c r="AC412" s="19">
        <f t="shared" si="36"/>
        <v>0</v>
      </c>
      <c r="AD412" s="19">
        <f t="shared" si="37"/>
        <v>0</v>
      </c>
      <c r="AE412" s="19">
        <f t="shared" si="38"/>
        <v>0</v>
      </c>
      <c r="AF412" s="19">
        <f t="shared" si="39"/>
        <v>0</v>
      </c>
      <c r="AG412" s="19">
        <f t="shared" si="40"/>
        <v>3</v>
      </c>
      <c r="AH412" s="19">
        <f t="shared" si="41"/>
        <v>0</v>
      </c>
    </row>
    <row r="413" spans="1:34">
      <c r="A413" s="8" t="s">
        <v>543</v>
      </c>
      <c r="B413" s="8" t="s">
        <v>2908</v>
      </c>
      <c r="C413" s="8" t="s">
        <v>11</v>
      </c>
      <c r="D413" s="8" t="s">
        <v>4</v>
      </c>
      <c r="E413" s="8" t="s">
        <v>126</v>
      </c>
      <c r="F413" s="8" t="s">
        <v>3</v>
      </c>
      <c r="G413" s="8" t="s">
        <v>6</v>
      </c>
      <c r="H413" s="8" t="s">
        <v>795</v>
      </c>
      <c r="I413" s="8" t="s">
        <v>41</v>
      </c>
      <c r="J413" s="8" t="s">
        <v>41</v>
      </c>
      <c r="K413" s="8" t="s">
        <v>41</v>
      </c>
      <c r="L413" s="8" t="s">
        <v>110</v>
      </c>
      <c r="M413" s="11" t="s">
        <v>2909</v>
      </c>
      <c r="N413" s="8">
        <v>134</v>
      </c>
      <c r="O413" s="8">
        <v>68</v>
      </c>
      <c r="P413" s="8">
        <v>66</v>
      </c>
      <c r="Q413" s="8">
        <v>29</v>
      </c>
      <c r="R413" s="8">
        <v>14</v>
      </c>
      <c r="S413" s="8">
        <v>8</v>
      </c>
      <c r="T413" s="8">
        <v>5</v>
      </c>
      <c r="U413" s="8">
        <v>27</v>
      </c>
      <c r="V413" s="8">
        <v>17</v>
      </c>
      <c r="W413" s="8">
        <v>34</v>
      </c>
      <c r="X413" s="8">
        <v>20</v>
      </c>
      <c r="Y413" s="8">
        <v>36</v>
      </c>
      <c r="Z413" s="8">
        <v>12</v>
      </c>
      <c r="AA413" s="8">
        <v>0</v>
      </c>
      <c r="AB413" s="8">
        <v>0</v>
      </c>
      <c r="AC413" s="19">
        <f t="shared" si="36"/>
        <v>15</v>
      </c>
      <c r="AD413" s="19">
        <f t="shared" si="37"/>
        <v>3</v>
      </c>
      <c r="AE413" s="19">
        <f t="shared" si="38"/>
        <v>10</v>
      </c>
      <c r="AF413" s="19">
        <f t="shared" si="39"/>
        <v>14</v>
      </c>
      <c r="AG413" s="19">
        <f t="shared" si="40"/>
        <v>24</v>
      </c>
      <c r="AH413" s="19">
        <f t="shared" si="41"/>
        <v>0</v>
      </c>
    </row>
    <row r="414" spans="1:34">
      <c r="A414" s="8" t="s">
        <v>545</v>
      </c>
      <c r="B414" s="8" t="s">
        <v>2911</v>
      </c>
      <c r="C414" s="8" t="s">
        <v>388</v>
      </c>
      <c r="D414" s="8" t="s">
        <v>4</v>
      </c>
      <c r="E414" s="8" t="s">
        <v>43</v>
      </c>
      <c r="F414" s="8" t="s">
        <v>18</v>
      </c>
      <c r="G414" s="8" t="s">
        <v>4</v>
      </c>
      <c r="H414" s="8" t="s">
        <v>786</v>
      </c>
      <c r="I414" s="8" t="s">
        <v>41</v>
      </c>
      <c r="J414" s="8" t="s">
        <v>43</v>
      </c>
      <c r="K414" s="8" t="s">
        <v>41</v>
      </c>
      <c r="L414" s="8" t="s">
        <v>110</v>
      </c>
      <c r="M414" s="11" t="s">
        <v>2912</v>
      </c>
      <c r="N414" s="8">
        <v>24</v>
      </c>
      <c r="O414" s="8">
        <v>15</v>
      </c>
      <c r="P414" s="8">
        <v>9</v>
      </c>
      <c r="Q414" s="8">
        <v>4</v>
      </c>
      <c r="R414" s="8">
        <v>0</v>
      </c>
      <c r="S414" s="8">
        <v>7</v>
      </c>
      <c r="T414" s="8">
        <v>7</v>
      </c>
      <c r="U414" s="8">
        <v>1</v>
      </c>
      <c r="V414" s="8">
        <v>1</v>
      </c>
      <c r="W414" s="8">
        <v>12</v>
      </c>
      <c r="X414" s="8">
        <v>7</v>
      </c>
      <c r="Y414" s="8">
        <v>0</v>
      </c>
      <c r="Z414" s="8">
        <v>0</v>
      </c>
      <c r="AA414" s="8">
        <v>0</v>
      </c>
      <c r="AB414" s="8">
        <v>0</v>
      </c>
      <c r="AC414" s="19">
        <f t="shared" si="36"/>
        <v>4</v>
      </c>
      <c r="AD414" s="19">
        <f t="shared" si="37"/>
        <v>0</v>
      </c>
      <c r="AE414" s="19">
        <f t="shared" si="38"/>
        <v>0</v>
      </c>
      <c r="AF414" s="19">
        <f t="shared" si="39"/>
        <v>5</v>
      </c>
      <c r="AG414" s="19">
        <f t="shared" si="40"/>
        <v>0</v>
      </c>
      <c r="AH414" s="19">
        <f t="shared" si="41"/>
        <v>0</v>
      </c>
    </row>
    <row r="415" spans="1:34">
      <c r="A415" s="8" t="s">
        <v>546</v>
      </c>
      <c r="B415" s="8" t="s">
        <v>2914</v>
      </c>
      <c r="C415" s="8" t="s">
        <v>953</v>
      </c>
      <c r="D415" s="8" t="s">
        <v>6</v>
      </c>
      <c r="E415" s="8" t="s">
        <v>110</v>
      </c>
      <c r="F415" s="8" t="s">
        <v>13</v>
      </c>
      <c r="G415" s="8" t="s">
        <v>5</v>
      </c>
      <c r="H415" s="8" t="s">
        <v>863</v>
      </c>
      <c r="I415" s="8" t="s">
        <v>41</v>
      </c>
      <c r="J415" s="8" t="s">
        <v>43</v>
      </c>
      <c r="K415" s="8" t="s">
        <v>41</v>
      </c>
      <c r="L415" s="8" t="s">
        <v>110</v>
      </c>
      <c r="M415" s="11" t="s">
        <v>2915</v>
      </c>
      <c r="N415" s="8">
        <v>85</v>
      </c>
      <c r="O415" s="8">
        <v>42</v>
      </c>
      <c r="P415" s="8">
        <v>43</v>
      </c>
      <c r="Q415" s="8">
        <v>21</v>
      </c>
      <c r="R415" s="8">
        <v>16</v>
      </c>
      <c r="S415" s="8">
        <v>12</v>
      </c>
      <c r="T415" s="8">
        <v>5</v>
      </c>
      <c r="U415" s="8">
        <v>18</v>
      </c>
      <c r="V415" s="8">
        <v>6</v>
      </c>
      <c r="W415" s="8">
        <v>27</v>
      </c>
      <c r="X415" s="8">
        <v>10</v>
      </c>
      <c r="Y415" s="8">
        <v>7</v>
      </c>
      <c r="Z415" s="8">
        <v>5</v>
      </c>
      <c r="AA415" s="8">
        <v>0</v>
      </c>
      <c r="AB415" s="8">
        <v>0</v>
      </c>
      <c r="AC415" s="19">
        <f t="shared" si="36"/>
        <v>5</v>
      </c>
      <c r="AD415" s="19">
        <f t="shared" si="37"/>
        <v>7</v>
      </c>
      <c r="AE415" s="19">
        <f t="shared" si="38"/>
        <v>12</v>
      </c>
      <c r="AF415" s="19">
        <f t="shared" si="39"/>
        <v>17</v>
      </c>
      <c r="AG415" s="19">
        <f t="shared" si="40"/>
        <v>2</v>
      </c>
      <c r="AH415" s="19">
        <f t="shared" si="41"/>
        <v>0</v>
      </c>
    </row>
    <row r="416" spans="1:34">
      <c r="A416" s="8" t="s">
        <v>547</v>
      </c>
      <c r="B416" s="8" t="s">
        <v>2918</v>
      </c>
      <c r="C416" s="8" t="s">
        <v>959</v>
      </c>
      <c r="D416" s="8" t="s">
        <v>5</v>
      </c>
      <c r="E416" s="8" t="s">
        <v>68</v>
      </c>
      <c r="F416" s="8" t="s">
        <v>6</v>
      </c>
      <c r="G416" s="8" t="s">
        <v>6</v>
      </c>
      <c r="H416" s="8" t="s">
        <v>846</v>
      </c>
      <c r="I416" s="8" t="s">
        <v>41</v>
      </c>
      <c r="J416" s="8" t="s">
        <v>43</v>
      </c>
      <c r="K416" s="8" t="s">
        <v>41</v>
      </c>
      <c r="L416" s="8" t="s">
        <v>110</v>
      </c>
      <c r="M416" s="11" t="s">
        <v>2919</v>
      </c>
      <c r="N416" s="8">
        <v>42</v>
      </c>
      <c r="O416" s="8">
        <v>28</v>
      </c>
      <c r="P416" s="8">
        <v>14</v>
      </c>
      <c r="Q416" s="8">
        <v>14</v>
      </c>
      <c r="R416" s="8">
        <v>6</v>
      </c>
      <c r="S416" s="8">
        <v>10</v>
      </c>
      <c r="T416" s="8">
        <v>7</v>
      </c>
      <c r="U416" s="8">
        <v>9</v>
      </c>
      <c r="V416" s="8">
        <v>7</v>
      </c>
      <c r="W416" s="8">
        <v>8</v>
      </c>
      <c r="X416" s="8">
        <v>7</v>
      </c>
      <c r="Y416" s="8">
        <v>1</v>
      </c>
      <c r="Z416" s="8">
        <v>1</v>
      </c>
      <c r="AA416" s="8">
        <v>0</v>
      </c>
      <c r="AB416" s="8">
        <v>0</v>
      </c>
      <c r="AC416" s="19">
        <f t="shared" si="36"/>
        <v>8</v>
      </c>
      <c r="AD416" s="19">
        <f t="shared" si="37"/>
        <v>3</v>
      </c>
      <c r="AE416" s="19">
        <f t="shared" si="38"/>
        <v>2</v>
      </c>
      <c r="AF416" s="19">
        <f t="shared" si="39"/>
        <v>1</v>
      </c>
      <c r="AG416" s="19">
        <f t="shared" si="40"/>
        <v>0</v>
      </c>
      <c r="AH416" s="19">
        <f t="shared" si="41"/>
        <v>0</v>
      </c>
    </row>
    <row r="417" spans="1:34">
      <c r="A417" s="8" t="s">
        <v>548</v>
      </c>
      <c r="B417" s="8" t="s">
        <v>2922</v>
      </c>
      <c r="C417" s="8" t="s">
        <v>304</v>
      </c>
      <c r="D417" s="8" t="s">
        <v>12</v>
      </c>
      <c r="E417" s="8" t="s">
        <v>68</v>
      </c>
      <c r="F417" s="8" t="s">
        <v>7</v>
      </c>
      <c r="G417" s="8" t="s">
        <v>5</v>
      </c>
      <c r="H417" s="8" t="s">
        <v>698</v>
      </c>
      <c r="I417" s="8" t="s">
        <v>41</v>
      </c>
      <c r="J417" s="8" t="s">
        <v>43</v>
      </c>
      <c r="K417" s="8" t="s">
        <v>41</v>
      </c>
      <c r="L417" s="8" t="s">
        <v>110</v>
      </c>
      <c r="M417" s="11" t="s">
        <v>5616</v>
      </c>
      <c r="N417" s="8">
        <v>179</v>
      </c>
      <c r="O417" s="8">
        <v>85</v>
      </c>
      <c r="P417" s="8">
        <v>94</v>
      </c>
      <c r="Q417" s="8">
        <v>21</v>
      </c>
      <c r="R417" s="8">
        <v>8</v>
      </c>
      <c r="S417" s="8">
        <v>25</v>
      </c>
      <c r="T417" s="8">
        <v>14</v>
      </c>
      <c r="U417" s="8">
        <v>56</v>
      </c>
      <c r="V417" s="8">
        <v>27</v>
      </c>
      <c r="W417" s="8">
        <v>41</v>
      </c>
      <c r="X417" s="8">
        <v>18</v>
      </c>
      <c r="Y417" s="8">
        <v>36</v>
      </c>
      <c r="Z417" s="8">
        <v>18</v>
      </c>
      <c r="AA417" s="8">
        <v>0</v>
      </c>
      <c r="AB417" s="8">
        <v>0</v>
      </c>
      <c r="AC417" s="19">
        <f t="shared" si="36"/>
        <v>13</v>
      </c>
      <c r="AD417" s="19">
        <f t="shared" si="37"/>
        <v>11</v>
      </c>
      <c r="AE417" s="19">
        <f t="shared" si="38"/>
        <v>29</v>
      </c>
      <c r="AF417" s="19">
        <f t="shared" si="39"/>
        <v>23</v>
      </c>
      <c r="AG417" s="19">
        <f t="shared" si="40"/>
        <v>18</v>
      </c>
      <c r="AH417" s="19">
        <f t="shared" si="41"/>
        <v>0</v>
      </c>
    </row>
    <row r="418" spans="1:34">
      <c r="A418" s="8" t="s">
        <v>549</v>
      </c>
      <c r="B418" s="8" t="s">
        <v>2924</v>
      </c>
      <c r="C418" s="8" t="s">
        <v>70</v>
      </c>
      <c r="D418" s="8" t="s">
        <v>7</v>
      </c>
      <c r="E418" s="8" t="s">
        <v>43</v>
      </c>
      <c r="F418" s="8" t="s">
        <v>13</v>
      </c>
      <c r="G418" s="8" t="s">
        <v>8</v>
      </c>
      <c r="H418" s="8" t="s">
        <v>720</v>
      </c>
      <c r="I418" s="8" t="s">
        <v>41</v>
      </c>
      <c r="J418" s="8" t="s">
        <v>43</v>
      </c>
      <c r="K418" s="8" t="s">
        <v>41</v>
      </c>
      <c r="L418" s="8" t="s">
        <v>110</v>
      </c>
      <c r="M418" s="11" t="s">
        <v>2925</v>
      </c>
      <c r="N418" s="8">
        <v>57</v>
      </c>
      <c r="O418" s="8">
        <v>38</v>
      </c>
      <c r="P418" s="8">
        <v>19</v>
      </c>
      <c r="Q418" s="8">
        <v>11</v>
      </c>
      <c r="R418" s="8">
        <v>5</v>
      </c>
      <c r="S418" s="8">
        <v>8</v>
      </c>
      <c r="T418" s="8">
        <v>8</v>
      </c>
      <c r="U418" s="8">
        <v>9</v>
      </c>
      <c r="V418" s="8">
        <v>5</v>
      </c>
      <c r="W418" s="8">
        <v>18</v>
      </c>
      <c r="X418" s="8">
        <v>10</v>
      </c>
      <c r="Y418" s="8">
        <v>11</v>
      </c>
      <c r="Z418" s="8">
        <v>10</v>
      </c>
      <c r="AA418" s="8">
        <v>0</v>
      </c>
      <c r="AB418" s="8">
        <v>0</v>
      </c>
      <c r="AC418" s="19">
        <f t="shared" si="36"/>
        <v>6</v>
      </c>
      <c r="AD418" s="19">
        <f t="shared" si="37"/>
        <v>0</v>
      </c>
      <c r="AE418" s="19">
        <f t="shared" si="38"/>
        <v>4</v>
      </c>
      <c r="AF418" s="19">
        <f t="shared" si="39"/>
        <v>8</v>
      </c>
      <c r="AG418" s="19">
        <f t="shared" si="40"/>
        <v>1</v>
      </c>
      <c r="AH418" s="19">
        <f t="shared" si="41"/>
        <v>0</v>
      </c>
    </row>
    <row r="419" spans="1:34">
      <c r="A419" s="8" t="s">
        <v>550</v>
      </c>
      <c r="B419" s="8" t="s">
        <v>2926</v>
      </c>
      <c r="C419" s="8" t="s">
        <v>70</v>
      </c>
      <c r="D419" s="8" t="s">
        <v>8</v>
      </c>
      <c r="E419" s="8" t="s">
        <v>43</v>
      </c>
      <c r="F419" s="8" t="s">
        <v>13</v>
      </c>
      <c r="G419" s="8" t="s">
        <v>9</v>
      </c>
      <c r="H419" s="8" t="s">
        <v>60</v>
      </c>
      <c r="I419" s="8" t="s">
        <v>41</v>
      </c>
      <c r="J419" s="8" t="s">
        <v>41</v>
      </c>
      <c r="K419" s="8" t="s">
        <v>41</v>
      </c>
      <c r="L419" s="8" t="s">
        <v>110</v>
      </c>
      <c r="M419" s="11" t="s">
        <v>5720</v>
      </c>
      <c r="N419" s="8">
        <v>33</v>
      </c>
      <c r="O419" s="8">
        <v>19</v>
      </c>
      <c r="P419" s="8">
        <v>14</v>
      </c>
      <c r="Q419" s="8">
        <v>5</v>
      </c>
      <c r="R419" s="8">
        <v>3</v>
      </c>
      <c r="S419" s="8">
        <v>11</v>
      </c>
      <c r="T419" s="8">
        <v>9</v>
      </c>
      <c r="U419" s="8">
        <v>3</v>
      </c>
      <c r="V419" s="8">
        <v>0</v>
      </c>
      <c r="W419" s="8">
        <v>9</v>
      </c>
      <c r="X419" s="8">
        <v>4</v>
      </c>
      <c r="Y419" s="8">
        <v>5</v>
      </c>
      <c r="Z419" s="8">
        <v>3</v>
      </c>
      <c r="AA419" s="8">
        <v>0</v>
      </c>
      <c r="AB419" s="8">
        <v>0</v>
      </c>
      <c r="AC419" s="19">
        <f t="shared" si="36"/>
        <v>2</v>
      </c>
      <c r="AD419" s="19">
        <f t="shared" si="37"/>
        <v>2</v>
      </c>
      <c r="AE419" s="19">
        <f t="shared" si="38"/>
        <v>3</v>
      </c>
      <c r="AF419" s="19">
        <f t="shared" si="39"/>
        <v>5</v>
      </c>
      <c r="AG419" s="19">
        <f t="shared" si="40"/>
        <v>2</v>
      </c>
      <c r="AH419" s="19">
        <f t="shared" si="41"/>
        <v>0</v>
      </c>
    </row>
    <row r="420" spans="1:34">
      <c r="A420" s="8" t="s">
        <v>551</v>
      </c>
      <c r="B420" s="8" t="s">
        <v>2927</v>
      </c>
      <c r="C420" s="8" t="s">
        <v>4</v>
      </c>
      <c r="D420" s="8" t="s">
        <v>5</v>
      </c>
      <c r="E420" s="8" t="s">
        <v>41</v>
      </c>
      <c r="F420" s="8" t="s">
        <v>6</v>
      </c>
      <c r="G420" s="8" t="s">
        <v>12</v>
      </c>
      <c r="H420" s="8" t="s">
        <v>1071</v>
      </c>
      <c r="I420" s="8" t="s">
        <v>41</v>
      </c>
      <c r="J420" s="8" t="s">
        <v>43</v>
      </c>
      <c r="K420" s="8" t="s">
        <v>41</v>
      </c>
      <c r="L420" s="8" t="s">
        <v>110</v>
      </c>
      <c r="M420" s="11" t="s">
        <v>4074</v>
      </c>
      <c r="N420" s="8">
        <v>2</v>
      </c>
      <c r="O420" s="8">
        <v>2</v>
      </c>
      <c r="P420" s="8">
        <v>0</v>
      </c>
      <c r="Q420" s="8">
        <v>1</v>
      </c>
      <c r="R420" s="8">
        <v>1</v>
      </c>
      <c r="S420" s="8">
        <v>0</v>
      </c>
      <c r="T420" s="8">
        <v>0</v>
      </c>
      <c r="U420" s="8">
        <v>0</v>
      </c>
      <c r="V420" s="8">
        <v>0</v>
      </c>
      <c r="W420" s="8">
        <v>1</v>
      </c>
      <c r="X420" s="8">
        <v>1</v>
      </c>
      <c r="Y420" s="8">
        <v>0</v>
      </c>
      <c r="Z420" s="8">
        <v>0</v>
      </c>
      <c r="AA420" s="8">
        <v>0</v>
      </c>
      <c r="AB420" s="8">
        <v>0</v>
      </c>
      <c r="AC420" s="19">
        <f t="shared" si="36"/>
        <v>0</v>
      </c>
      <c r="AD420" s="19">
        <f t="shared" si="37"/>
        <v>0</v>
      </c>
      <c r="AE420" s="19">
        <f t="shared" si="38"/>
        <v>0</v>
      </c>
      <c r="AF420" s="19">
        <f t="shared" si="39"/>
        <v>0</v>
      </c>
      <c r="AG420" s="19">
        <f t="shared" si="40"/>
        <v>0</v>
      </c>
      <c r="AH420" s="19">
        <f t="shared" si="41"/>
        <v>0</v>
      </c>
    </row>
    <row r="421" spans="1:34">
      <c r="A421" s="8" t="s">
        <v>552</v>
      </c>
      <c r="B421" s="8" t="s">
        <v>1992</v>
      </c>
      <c r="C421" s="8" t="s">
        <v>5</v>
      </c>
      <c r="D421" s="8" t="s">
        <v>11</v>
      </c>
      <c r="E421" s="8" t="s">
        <v>43</v>
      </c>
      <c r="F421" s="8" t="s">
        <v>7</v>
      </c>
      <c r="G421" s="8" t="s">
        <v>4</v>
      </c>
      <c r="H421" s="8" t="s">
        <v>665</v>
      </c>
      <c r="I421" s="8" t="s">
        <v>43</v>
      </c>
      <c r="J421" s="8" t="s">
        <v>43</v>
      </c>
      <c r="K421" s="8" t="s">
        <v>5696</v>
      </c>
      <c r="L421" s="8" t="s">
        <v>110</v>
      </c>
      <c r="M421" s="11" t="s">
        <v>2928</v>
      </c>
      <c r="N421" s="8">
        <v>6</v>
      </c>
      <c r="O421" s="8">
        <v>6</v>
      </c>
      <c r="P421" s="8">
        <v>0</v>
      </c>
      <c r="Q421" s="8">
        <v>3</v>
      </c>
      <c r="R421" s="8">
        <v>3</v>
      </c>
      <c r="S421" s="8">
        <v>2</v>
      </c>
      <c r="T421" s="8">
        <v>2</v>
      </c>
      <c r="U421" s="8">
        <v>0</v>
      </c>
      <c r="V421" s="8">
        <v>0</v>
      </c>
      <c r="W421" s="8">
        <v>1</v>
      </c>
      <c r="X421" s="8">
        <v>1</v>
      </c>
      <c r="Y421" s="8">
        <v>0</v>
      </c>
      <c r="Z421" s="8">
        <v>0</v>
      </c>
      <c r="AA421" s="8">
        <v>0</v>
      </c>
      <c r="AB421" s="8">
        <v>0</v>
      </c>
      <c r="AC421" s="19">
        <f t="shared" si="36"/>
        <v>0</v>
      </c>
      <c r="AD421" s="19">
        <f t="shared" si="37"/>
        <v>0</v>
      </c>
      <c r="AE421" s="19">
        <f t="shared" si="38"/>
        <v>0</v>
      </c>
      <c r="AF421" s="19">
        <f t="shared" si="39"/>
        <v>0</v>
      </c>
      <c r="AG421" s="19">
        <f t="shared" si="40"/>
        <v>0</v>
      </c>
      <c r="AH421" s="19">
        <f t="shared" si="41"/>
        <v>0</v>
      </c>
    </row>
    <row r="422" spans="1:34">
      <c r="A422" s="8" t="s">
        <v>553</v>
      </c>
      <c r="B422" s="8" t="s">
        <v>1992</v>
      </c>
      <c r="C422" s="8" t="s">
        <v>956</v>
      </c>
      <c r="D422" s="8" t="s">
        <v>7</v>
      </c>
      <c r="E422" s="8" t="s">
        <v>41</v>
      </c>
      <c r="F422" s="8" t="s">
        <v>118</v>
      </c>
      <c r="G422" s="8" t="s">
        <v>3</v>
      </c>
      <c r="H422" s="8" t="s">
        <v>2932</v>
      </c>
      <c r="I422" s="8" t="s">
        <v>43</v>
      </c>
      <c r="J422" s="8" t="s">
        <v>41</v>
      </c>
      <c r="K422" s="8" t="s">
        <v>5696</v>
      </c>
      <c r="L422" s="8" t="s">
        <v>110</v>
      </c>
      <c r="M422" s="11" t="s">
        <v>2931</v>
      </c>
      <c r="N422" s="8">
        <v>1</v>
      </c>
      <c r="O422" s="8">
        <v>1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  <c r="W422" s="8">
        <v>0</v>
      </c>
      <c r="X422" s="8">
        <v>0</v>
      </c>
      <c r="Y422" s="8">
        <v>1</v>
      </c>
      <c r="Z422" s="8">
        <v>1</v>
      </c>
      <c r="AA422" s="8">
        <v>0</v>
      </c>
      <c r="AB422" s="8">
        <v>0</v>
      </c>
      <c r="AC422" s="19">
        <f t="shared" si="36"/>
        <v>0</v>
      </c>
      <c r="AD422" s="19">
        <f t="shared" si="37"/>
        <v>0</v>
      </c>
      <c r="AE422" s="19">
        <f t="shared" si="38"/>
        <v>0</v>
      </c>
      <c r="AF422" s="19">
        <f t="shared" si="39"/>
        <v>0</v>
      </c>
      <c r="AG422" s="19">
        <f t="shared" si="40"/>
        <v>0</v>
      </c>
      <c r="AH422" s="19">
        <f t="shared" si="41"/>
        <v>0</v>
      </c>
    </row>
    <row r="423" spans="1:34">
      <c r="A423" s="8" t="s">
        <v>554</v>
      </c>
      <c r="B423" s="8" t="s">
        <v>1992</v>
      </c>
      <c r="C423" s="8" t="s">
        <v>7</v>
      </c>
      <c r="D423" s="8" t="s">
        <v>8</v>
      </c>
      <c r="E423" s="8" t="s">
        <v>56</v>
      </c>
      <c r="F423" s="8" t="s">
        <v>5</v>
      </c>
      <c r="G423" s="8" t="s">
        <v>7</v>
      </c>
      <c r="H423" s="8" t="s">
        <v>766</v>
      </c>
      <c r="I423" s="8" t="s">
        <v>43</v>
      </c>
      <c r="J423" s="8" t="s">
        <v>41</v>
      </c>
      <c r="K423" s="8" t="s">
        <v>5696</v>
      </c>
      <c r="L423" s="8" t="s">
        <v>110</v>
      </c>
      <c r="M423" s="11" t="s">
        <v>5483</v>
      </c>
      <c r="N423" s="8">
        <v>0</v>
      </c>
      <c r="O423" s="8">
        <v>0</v>
      </c>
      <c r="P423" s="8">
        <v>0</v>
      </c>
      <c r="Q423" s="8">
        <v>0</v>
      </c>
      <c r="R423" s="8">
        <v>0</v>
      </c>
      <c r="S423" s="8">
        <v>0</v>
      </c>
      <c r="T423" s="8">
        <v>0</v>
      </c>
      <c r="U423" s="8">
        <v>0</v>
      </c>
      <c r="V423" s="8">
        <v>0</v>
      </c>
      <c r="W423" s="8">
        <v>0</v>
      </c>
      <c r="X423" s="8">
        <v>0</v>
      </c>
      <c r="Y423" s="8">
        <v>0</v>
      </c>
      <c r="Z423" s="8">
        <v>0</v>
      </c>
      <c r="AA423" s="8">
        <v>0</v>
      </c>
      <c r="AB423" s="8">
        <v>0</v>
      </c>
      <c r="AC423" s="19">
        <f t="shared" si="36"/>
        <v>0</v>
      </c>
      <c r="AD423" s="19">
        <f t="shared" si="37"/>
        <v>0</v>
      </c>
      <c r="AE423" s="19">
        <f t="shared" si="38"/>
        <v>0</v>
      </c>
      <c r="AF423" s="19">
        <f t="shared" si="39"/>
        <v>0</v>
      </c>
      <c r="AG423" s="19">
        <f t="shared" si="40"/>
        <v>0</v>
      </c>
      <c r="AH423" s="19">
        <f t="shared" si="41"/>
        <v>0</v>
      </c>
    </row>
    <row r="424" spans="1:34">
      <c r="A424" s="8" t="s">
        <v>555</v>
      </c>
      <c r="B424" s="8" t="s">
        <v>1992</v>
      </c>
      <c r="C424" s="8" t="s">
        <v>304</v>
      </c>
      <c r="D424" s="8" t="s">
        <v>4</v>
      </c>
      <c r="E424" s="8" t="s">
        <v>68</v>
      </c>
      <c r="F424" s="8" t="s">
        <v>3</v>
      </c>
      <c r="G424" s="8" t="s">
        <v>3</v>
      </c>
      <c r="H424" s="8" t="s">
        <v>839</v>
      </c>
      <c r="I424" s="8" t="s">
        <v>41</v>
      </c>
      <c r="J424" s="8" t="s">
        <v>41</v>
      </c>
      <c r="K424" s="8" t="s">
        <v>41</v>
      </c>
      <c r="L424" s="8" t="s">
        <v>110</v>
      </c>
      <c r="M424" s="11" t="s">
        <v>2935</v>
      </c>
      <c r="N424" s="8">
        <v>0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0</v>
      </c>
      <c r="X424" s="8">
        <v>0</v>
      </c>
      <c r="Y424" s="8">
        <v>0</v>
      </c>
      <c r="Z424" s="8">
        <v>0</v>
      </c>
      <c r="AA424" s="8">
        <v>0</v>
      </c>
      <c r="AB424" s="8">
        <v>0</v>
      </c>
      <c r="AC424" s="19">
        <f t="shared" si="36"/>
        <v>0</v>
      </c>
      <c r="AD424" s="19">
        <f t="shared" si="37"/>
        <v>0</v>
      </c>
      <c r="AE424" s="19">
        <f t="shared" si="38"/>
        <v>0</v>
      </c>
      <c r="AF424" s="19">
        <f t="shared" si="39"/>
        <v>0</v>
      </c>
      <c r="AG424" s="19">
        <f t="shared" si="40"/>
        <v>0</v>
      </c>
      <c r="AH424" s="19">
        <f t="shared" si="41"/>
        <v>0</v>
      </c>
    </row>
    <row r="425" spans="1:34">
      <c r="A425" s="8" t="s">
        <v>556</v>
      </c>
      <c r="B425" s="8" t="s">
        <v>1992</v>
      </c>
      <c r="C425" s="8" t="s">
        <v>957</v>
      </c>
      <c r="D425" s="8" t="s">
        <v>5</v>
      </c>
      <c r="E425" s="8" t="s">
        <v>41</v>
      </c>
      <c r="F425" s="8" t="s">
        <v>4</v>
      </c>
      <c r="G425" s="8" t="s">
        <v>5</v>
      </c>
      <c r="H425" s="8" t="s">
        <v>4325</v>
      </c>
      <c r="I425" s="8" t="s">
        <v>43</v>
      </c>
      <c r="J425" s="8" t="s">
        <v>41</v>
      </c>
      <c r="K425" s="8" t="s">
        <v>5696</v>
      </c>
      <c r="L425" s="8" t="s">
        <v>110</v>
      </c>
      <c r="M425" s="11" t="s">
        <v>1896</v>
      </c>
      <c r="N425" s="8">
        <v>7</v>
      </c>
      <c r="O425" s="8">
        <v>4</v>
      </c>
      <c r="P425" s="8">
        <v>3</v>
      </c>
      <c r="Q425" s="8">
        <v>2</v>
      </c>
      <c r="R425" s="8">
        <v>1</v>
      </c>
      <c r="S425" s="8">
        <v>2</v>
      </c>
      <c r="T425" s="8">
        <v>2</v>
      </c>
      <c r="U425" s="8">
        <v>0</v>
      </c>
      <c r="V425" s="8">
        <v>0</v>
      </c>
      <c r="W425" s="8">
        <v>2</v>
      </c>
      <c r="X425" s="8">
        <v>1</v>
      </c>
      <c r="Y425" s="8">
        <v>1</v>
      </c>
      <c r="Z425" s="8">
        <v>0</v>
      </c>
      <c r="AA425" s="8">
        <v>0</v>
      </c>
      <c r="AB425" s="8">
        <v>0</v>
      </c>
      <c r="AC425" s="19">
        <f t="shared" si="36"/>
        <v>1</v>
      </c>
      <c r="AD425" s="19">
        <f t="shared" si="37"/>
        <v>0</v>
      </c>
      <c r="AE425" s="19">
        <f t="shared" si="38"/>
        <v>0</v>
      </c>
      <c r="AF425" s="19">
        <f t="shared" si="39"/>
        <v>1</v>
      </c>
      <c r="AG425" s="19">
        <f t="shared" si="40"/>
        <v>1</v>
      </c>
      <c r="AH425" s="19">
        <f t="shared" si="41"/>
        <v>0</v>
      </c>
    </row>
    <row r="426" spans="1:34">
      <c r="A426" s="8" t="s">
        <v>557</v>
      </c>
      <c r="B426" s="8" t="s">
        <v>2937</v>
      </c>
      <c r="C426" s="8" t="s">
        <v>118</v>
      </c>
      <c r="D426" s="8" t="s">
        <v>12</v>
      </c>
      <c r="E426" s="8" t="s">
        <v>41</v>
      </c>
      <c r="F426" s="8" t="s">
        <v>388</v>
      </c>
      <c r="G426" s="8" t="s">
        <v>7</v>
      </c>
      <c r="H426" s="8" t="s">
        <v>230</v>
      </c>
      <c r="I426" s="8" t="s">
        <v>41</v>
      </c>
      <c r="J426" s="8" t="s">
        <v>43</v>
      </c>
      <c r="K426" s="8" t="s">
        <v>41</v>
      </c>
      <c r="L426" s="8" t="s">
        <v>110</v>
      </c>
      <c r="M426" s="11" t="s">
        <v>2938</v>
      </c>
      <c r="N426" s="8">
        <v>6</v>
      </c>
      <c r="O426" s="8">
        <v>4</v>
      </c>
      <c r="P426" s="8">
        <v>2</v>
      </c>
      <c r="Q426" s="8">
        <v>2</v>
      </c>
      <c r="R426" s="8">
        <v>2</v>
      </c>
      <c r="S426" s="8">
        <v>1</v>
      </c>
      <c r="T426" s="8">
        <v>0</v>
      </c>
      <c r="U426" s="8">
        <v>0</v>
      </c>
      <c r="V426" s="8">
        <v>0</v>
      </c>
      <c r="W426" s="8">
        <v>2</v>
      </c>
      <c r="X426" s="8">
        <v>1</v>
      </c>
      <c r="Y426" s="8">
        <v>1</v>
      </c>
      <c r="Z426" s="8">
        <v>1</v>
      </c>
      <c r="AA426" s="8">
        <v>0</v>
      </c>
      <c r="AB426" s="8">
        <v>0</v>
      </c>
      <c r="AC426" s="19">
        <f t="shared" si="36"/>
        <v>0</v>
      </c>
      <c r="AD426" s="19">
        <f t="shared" si="37"/>
        <v>1</v>
      </c>
      <c r="AE426" s="19">
        <f t="shared" si="38"/>
        <v>0</v>
      </c>
      <c r="AF426" s="19">
        <f t="shared" si="39"/>
        <v>1</v>
      </c>
      <c r="AG426" s="19">
        <f t="shared" si="40"/>
        <v>0</v>
      </c>
      <c r="AH426" s="19">
        <f t="shared" si="41"/>
        <v>0</v>
      </c>
    </row>
    <row r="427" spans="1:34">
      <c r="A427" s="8" t="s">
        <v>1783</v>
      </c>
      <c r="B427" s="8" t="s">
        <v>2940</v>
      </c>
      <c r="C427" s="8" t="s">
        <v>118</v>
      </c>
      <c r="D427" s="8" t="s">
        <v>11</v>
      </c>
      <c r="E427" s="8" t="s">
        <v>41</v>
      </c>
      <c r="F427" s="8" t="s">
        <v>388</v>
      </c>
      <c r="G427" s="8" t="s">
        <v>17</v>
      </c>
      <c r="H427" s="8" t="s">
        <v>132</v>
      </c>
      <c r="I427" s="8" t="s">
        <v>41</v>
      </c>
      <c r="J427" s="8" t="s">
        <v>43</v>
      </c>
      <c r="K427" s="8" t="s">
        <v>41</v>
      </c>
      <c r="L427" s="8" t="s">
        <v>110</v>
      </c>
      <c r="M427" s="11" t="s">
        <v>4075</v>
      </c>
      <c r="N427" s="8">
        <v>21</v>
      </c>
      <c r="O427" s="8">
        <v>13</v>
      </c>
      <c r="P427" s="8">
        <v>8</v>
      </c>
      <c r="Q427" s="8">
        <v>1</v>
      </c>
      <c r="R427" s="8">
        <v>1</v>
      </c>
      <c r="S427" s="8">
        <v>8</v>
      </c>
      <c r="T427" s="8">
        <v>5</v>
      </c>
      <c r="U427" s="8">
        <v>3</v>
      </c>
      <c r="V427" s="8">
        <v>3</v>
      </c>
      <c r="W427" s="8">
        <v>6</v>
      </c>
      <c r="X427" s="8">
        <v>2</v>
      </c>
      <c r="Y427" s="8">
        <v>3</v>
      </c>
      <c r="Z427" s="8">
        <v>2</v>
      </c>
      <c r="AA427" s="8">
        <v>0</v>
      </c>
      <c r="AB427" s="8">
        <v>0</v>
      </c>
      <c r="AC427" s="19">
        <f t="shared" si="36"/>
        <v>0</v>
      </c>
      <c r="AD427" s="19">
        <f t="shared" si="37"/>
        <v>3</v>
      </c>
      <c r="AE427" s="19">
        <f t="shared" si="38"/>
        <v>0</v>
      </c>
      <c r="AF427" s="19">
        <f t="shared" si="39"/>
        <v>4</v>
      </c>
      <c r="AG427" s="19">
        <f t="shared" si="40"/>
        <v>1</v>
      </c>
      <c r="AH427" s="19">
        <f t="shared" si="41"/>
        <v>0</v>
      </c>
    </row>
    <row r="428" spans="1:34">
      <c r="A428" s="8" t="s">
        <v>910</v>
      </c>
      <c r="B428" s="8" t="s">
        <v>2942</v>
      </c>
      <c r="C428" s="8" t="s">
        <v>954</v>
      </c>
      <c r="D428" s="8" t="s">
        <v>17</v>
      </c>
      <c r="E428" s="8" t="s">
        <v>80</v>
      </c>
      <c r="F428" s="8" t="s">
        <v>5</v>
      </c>
      <c r="G428" s="8" t="s">
        <v>5</v>
      </c>
      <c r="H428" s="8" t="s">
        <v>2944</v>
      </c>
      <c r="I428" s="8" t="s">
        <v>41</v>
      </c>
      <c r="J428" s="8" t="s">
        <v>43</v>
      </c>
      <c r="K428" s="8" t="s">
        <v>41</v>
      </c>
      <c r="L428" s="8" t="s">
        <v>110</v>
      </c>
      <c r="M428" s="11" t="s">
        <v>2943</v>
      </c>
      <c r="N428" s="8">
        <v>25</v>
      </c>
      <c r="O428" s="8">
        <v>13</v>
      </c>
      <c r="P428" s="8">
        <v>12</v>
      </c>
      <c r="Q428" s="8">
        <v>11</v>
      </c>
      <c r="R428" s="8">
        <v>5</v>
      </c>
      <c r="S428" s="8">
        <v>5</v>
      </c>
      <c r="T428" s="8">
        <v>3</v>
      </c>
      <c r="U428" s="8">
        <v>4</v>
      </c>
      <c r="V428" s="8">
        <v>1</v>
      </c>
      <c r="W428" s="8">
        <v>3</v>
      </c>
      <c r="X428" s="8">
        <v>2</v>
      </c>
      <c r="Y428" s="8">
        <v>2</v>
      </c>
      <c r="Z428" s="8">
        <v>2</v>
      </c>
      <c r="AA428" s="8">
        <v>0</v>
      </c>
      <c r="AB428" s="8">
        <v>0</v>
      </c>
      <c r="AC428" s="19">
        <f t="shared" si="36"/>
        <v>6</v>
      </c>
      <c r="AD428" s="19">
        <f t="shared" si="37"/>
        <v>2</v>
      </c>
      <c r="AE428" s="19">
        <f t="shared" si="38"/>
        <v>3</v>
      </c>
      <c r="AF428" s="19">
        <f t="shared" si="39"/>
        <v>1</v>
      </c>
      <c r="AG428" s="19">
        <f t="shared" si="40"/>
        <v>0</v>
      </c>
      <c r="AH428" s="19">
        <f t="shared" si="41"/>
        <v>0</v>
      </c>
    </row>
    <row r="429" spans="1:34">
      <c r="A429" s="8" t="s">
        <v>1169</v>
      </c>
      <c r="B429" s="8" t="s">
        <v>2946</v>
      </c>
      <c r="C429" s="8" t="s">
        <v>953</v>
      </c>
      <c r="D429" s="8" t="s">
        <v>7</v>
      </c>
      <c r="E429" s="8" t="s">
        <v>110</v>
      </c>
      <c r="F429" s="8" t="s">
        <v>13</v>
      </c>
      <c r="G429" s="8" t="s">
        <v>6</v>
      </c>
      <c r="H429" s="8" t="s">
        <v>742</v>
      </c>
      <c r="I429" s="8" t="s">
        <v>41</v>
      </c>
      <c r="J429" s="8" t="s">
        <v>43</v>
      </c>
      <c r="K429" s="8" t="s">
        <v>41</v>
      </c>
      <c r="L429" s="8" t="s">
        <v>110</v>
      </c>
      <c r="M429" s="11" t="s">
        <v>2947</v>
      </c>
      <c r="N429" s="8">
        <v>36</v>
      </c>
      <c r="O429" s="8">
        <v>25</v>
      </c>
      <c r="P429" s="8">
        <v>11</v>
      </c>
      <c r="Q429" s="8">
        <v>15</v>
      </c>
      <c r="R429" s="8">
        <v>13</v>
      </c>
      <c r="S429" s="8">
        <v>8</v>
      </c>
      <c r="T429" s="8">
        <v>5</v>
      </c>
      <c r="U429" s="8">
        <v>6</v>
      </c>
      <c r="V429" s="8">
        <v>4</v>
      </c>
      <c r="W429" s="8">
        <v>5</v>
      </c>
      <c r="X429" s="8">
        <v>2</v>
      </c>
      <c r="Y429" s="8">
        <v>2</v>
      </c>
      <c r="Z429" s="8">
        <v>1</v>
      </c>
      <c r="AA429" s="8">
        <v>0</v>
      </c>
      <c r="AB429" s="8">
        <v>0</v>
      </c>
      <c r="AC429" s="19">
        <f t="shared" si="36"/>
        <v>2</v>
      </c>
      <c r="AD429" s="19">
        <f t="shared" si="37"/>
        <v>3</v>
      </c>
      <c r="AE429" s="19">
        <f t="shared" si="38"/>
        <v>2</v>
      </c>
      <c r="AF429" s="19">
        <f t="shared" si="39"/>
        <v>3</v>
      </c>
      <c r="AG429" s="19">
        <f t="shared" si="40"/>
        <v>1</v>
      </c>
      <c r="AH429" s="19">
        <f t="shared" si="41"/>
        <v>0</v>
      </c>
    </row>
    <row r="430" spans="1:34">
      <c r="A430" s="8" t="s">
        <v>1141</v>
      </c>
      <c r="B430" s="8" t="s">
        <v>2949</v>
      </c>
      <c r="C430" s="8" t="s">
        <v>953</v>
      </c>
      <c r="D430" s="8" t="s">
        <v>7</v>
      </c>
      <c r="E430" s="8" t="s">
        <v>110</v>
      </c>
      <c r="F430" s="8" t="s">
        <v>13</v>
      </c>
      <c r="G430" s="8" t="s">
        <v>3</v>
      </c>
      <c r="H430" s="8" t="s">
        <v>1192</v>
      </c>
      <c r="I430" s="8" t="s">
        <v>41</v>
      </c>
      <c r="J430" s="8" t="s">
        <v>43</v>
      </c>
      <c r="K430" s="8" t="s">
        <v>41</v>
      </c>
      <c r="L430" s="8" t="s">
        <v>110</v>
      </c>
      <c r="M430" s="11" t="s">
        <v>4076</v>
      </c>
      <c r="N430" s="8">
        <v>1</v>
      </c>
      <c r="O430" s="8">
        <v>0</v>
      </c>
      <c r="P430" s="8">
        <v>1</v>
      </c>
      <c r="Q430" s="8">
        <v>0</v>
      </c>
      <c r="R430" s="8">
        <v>0</v>
      </c>
      <c r="S430" s="8">
        <v>0</v>
      </c>
      <c r="T430" s="8">
        <v>0</v>
      </c>
      <c r="U430" s="8">
        <v>0</v>
      </c>
      <c r="V430" s="8">
        <v>0</v>
      </c>
      <c r="W430" s="8">
        <v>1</v>
      </c>
      <c r="X430" s="8">
        <v>0</v>
      </c>
      <c r="Y430" s="8">
        <v>0</v>
      </c>
      <c r="Z430" s="8">
        <v>0</v>
      </c>
      <c r="AA430" s="8">
        <v>0</v>
      </c>
      <c r="AB430" s="8">
        <v>0</v>
      </c>
      <c r="AC430" s="19">
        <f t="shared" si="36"/>
        <v>0</v>
      </c>
      <c r="AD430" s="19">
        <f t="shared" si="37"/>
        <v>0</v>
      </c>
      <c r="AE430" s="19">
        <f t="shared" si="38"/>
        <v>0</v>
      </c>
      <c r="AF430" s="19">
        <f t="shared" si="39"/>
        <v>1</v>
      </c>
      <c r="AG430" s="19">
        <f t="shared" si="40"/>
        <v>0</v>
      </c>
      <c r="AH430" s="19">
        <f t="shared" si="41"/>
        <v>0</v>
      </c>
    </row>
    <row r="431" spans="1:34">
      <c r="A431" s="8" t="s">
        <v>911</v>
      </c>
      <c r="B431" s="8" t="s">
        <v>2950</v>
      </c>
      <c r="C431" s="8" t="s">
        <v>953</v>
      </c>
      <c r="D431" s="8" t="s">
        <v>7</v>
      </c>
      <c r="E431" s="8" t="s">
        <v>110</v>
      </c>
      <c r="F431" s="8" t="s">
        <v>13</v>
      </c>
      <c r="G431" s="8" t="s">
        <v>3</v>
      </c>
      <c r="H431" s="8" t="s">
        <v>72</v>
      </c>
      <c r="I431" s="8" t="s">
        <v>41</v>
      </c>
      <c r="J431" s="8" t="s">
        <v>43</v>
      </c>
      <c r="K431" s="8" t="s">
        <v>41</v>
      </c>
      <c r="L431" s="8" t="s">
        <v>110</v>
      </c>
      <c r="M431" s="11" t="s">
        <v>2951</v>
      </c>
      <c r="N431" s="8">
        <v>59</v>
      </c>
      <c r="O431" s="8">
        <v>31</v>
      </c>
      <c r="P431" s="8">
        <v>28</v>
      </c>
      <c r="Q431" s="8">
        <v>20</v>
      </c>
      <c r="R431" s="8">
        <v>5</v>
      </c>
      <c r="S431" s="8">
        <v>13</v>
      </c>
      <c r="T431" s="8">
        <v>7</v>
      </c>
      <c r="U431" s="8">
        <v>7</v>
      </c>
      <c r="V431" s="8">
        <v>5</v>
      </c>
      <c r="W431" s="8">
        <v>19</v>
      </c>
      <c r="X431" s="8">
        <v>14</v>
      </c>
      <c r="Y431" s="8">
        <v>0</v>
      </c>
      <c r="Z431" s="8">
        <v>0</v>
      </c>
      <c r="AA431" s="8">
        <v>0</v>
      </c>
      <c r="AB431" s="8">
        <v>0</v>
      </c>
      <c r="AC431" s="19">
        <f t="shared" si="36"/>
        <v>15</v>
      </c>
      <c r="AD431" s="19">
        <f t="shared" si="37"/>
        <v>6</v>
      </c>
      <c r="AE431" s="19">
        <f t="shared" si="38"/>
        <v>2</v>
      </c>
      <c r="AF431" s="19">
        <f t="shared" si="39"/>
        <v>5</v>
      </c>
      <c r="AG431" s="19">
        <f t="shared" si="40"/>
        <v>0</v>
      </c>
      <c r="AH431" s="19">
        <f t="shared" si="41"/>
        <v>0</v>
      </c>
    </row>
    <row r="432" spans="1:34">
      <c r="A432" s="8" t="s">
        <v>559</v>
      </c>
      <c r="B432" s="8" t="s">
        <v>2953</v>
      </c>
      <c r="C432" s="8" t="s">
        <v>953</v>
      </c>
      <c r="D432" s="8" t="s">
        <v>7</v>
      </c>
      <c r="E432" s="8" t="s">
        <v>110</v>
      </c>
      <c r="F432" s="8" t="s">
        <v>13</v>
      </c>
      <c r="G432" s="8" t="s">
        <v>3</v>
      </c>
      <c r="H432" s="8" t="s">
        <v>1170</v>
      </c>
      <c r="I432" s="8" t="s">
        <v>41</v>
      </c>
      <c r="J432" s="8" t="s">
        <v>43</v>
      </c>
      <c r="K432" s="8" t="s">
        <v>41</v>
      </c>
      <c r="L432" s="8" t="s">
        <v>110</v>
      </c>
      <c r="M432" s="11" t="s">
        <v>2954</v>
      </c>
      <c r="N432" s="8">
        <v>70</v>
      </c>
      <c r="O432" s="8">
        <v>40</v>
      </c>
      <c r="P432" s="8">
        <v>30</v>
      </c>
      <c r="Q432" s="8">
        <v>20</v>
      </c>
      <c r="R432" s="8">
        <v>10</v>
      </c>
      <c r="S432" s="8">
        <v>17</v>
      </c>
      <c r="T432" s="8">
        <v>11</v>
      </c>
      <c r="U432" s="8">
        <v>17</v>
      </c>
      <c r="V432" s="8">
        <v>7</v>
      </c>
      <c r="W432" s="8">
        <v>14</v>
      </c>
      <c r="X432" s="8">
        <v>11</v>
      </c>
      <c r="Y432" s="8">
        <v>2</v>
      </c>
      <c r="Z432" s="8">
        <v>1</v>
      </c>
      <c r="AA432" s="8">
        <v>0</v>
      </c>
      <c r="AB432" s="8">
        <v>0</v>
      </c>
      <c r="AC432" s="19">
        <f t="shared" si="36"/>
        <v>10</v>
      </c>
      <c r="AD432" s="19">
        <f t="shared" si="37"/>
        <v>6</v>
      </c>
      <c r="AE432" s="19">
        <f t="shared" si="38"/>
        <v>10</v>
      </c>
      <c r="AF432" s="19">
        <f t="shared" si="39"/>
        <v>3</v>
      </c>
      <c r="AG432" s="19">
        <f t="shared" si="40"/>
        <v>1</v>
      </c>
      <c r="AH432" s="19">
        <f t="shared" si="41"/>
        <v>0</v>
      </c>
    </row>
    <row r="433" spans="1:34">
      <c r="A433" s="8" t="s">
        <v>560</v>
      </c>
      <c r="B433" s="8" t="s">
        <v>1992</v>
      </c>
      <c r="C433" s="8" t="s">
        <v>70</v>
      </c>
      <c r="D433" s="8" t="s">
        <v>6</v>
      </c>
      <c r="E433" s="8" t="s">
        <v>43</v>
      </c>
      <c r="F433" s="8" t="s">
        <v>13</v>
      </c>
      <c r="G433" s="8" t="s">
        <v>6</v>
      </c>
      <c r="H433" s="8" t="s">
        <v>716</v>
      </c>
      <c r="I433" s="8" t="s">
        <v>43</v>
      </c>
      <c r="J433" s="8" t="s">
        <v>43</v>
      </c>
      <c r="K433" s="8" t="s">
        <v>5696</v>
      </c>
      <c r="L433" s="8" t="s">
        <v>110</v>
      </c>
      <c r="M433" s="11" t="s">
        <v>3506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T433" s="8">
        <v>0</v>
      </c>
      <c r="U433" s="8">
        <v>0</v>
      </c>
      <c r="V433" s="8">
        <v>0</v>
      </c>
      <c r="W433" s="8">
        <v>0</v>
      </c>
      <c r="X433" s="8">
        <v>0</v>
      </c>
      <c r="Y433" s="8">
        <v>0</v>
      </c>
      <c r="Z433" s="8">
        <v>0</v>
      </c>
      <c r="AA433" s="8">
        <v>0</v>
      </c>
      <c r="AB433" s="8">
        <v>0</v>
      </c>
      <c r="AC433" s="19">
        <f t="shared" si="36"/>
        <v>0</v>
      </c>
      <c r="AD433" s="19">
        <f t="shared" si="37"/>
        <v>0</v>
      </c>
      <c r="AE433" s="19">
        <f t="shared" si="38"/>
        <v>0</v>
      </c>
      <c r="AF433" s="19">
        <f t="shared" si="39"/>
        <v>0</v>
      </c>
      <c r="AG433" s="19">
        <f t="shared" si="40"/>
        <v>0</v>
      </c>
      <c r="AH433" s="19">
        <f t="shared" si="41"/>
        <v>0</v>
      </c>
    </row>
    <row r="434" spans="1:34">
      <c r="A434" s="8" t="s">
        <v>561</v>
      </c>
      <c r="B434" s="8" t="s">
        <v>1992</v>
      </c>
      <c r="C434" s="8" t="s">
        <v>17</v>
      </c>
      <c r="D434" s="8" t="s">
        <v>8</v>
      </c>
      <c r="E434" s="8" t="s">
        <v>80</v>
      </c>
      <c r="F434" s="8" t="s">
        <v>3</v>
      </c>
      <c r="G434" s="8" t="s">
        <v>12</v>
      </c>
      <c r="H434" s="8" t="s">
        <v>843</v>
      </c>
      <c r="I434" s="8" t="s">
        <v>43</v>
      </c>
      <c r="J434" s="8" t="s">
        <v>41</v>
      </c>
      <c r="K434" s="8" t="s">
        <v>5696</v>
      </c>
      <c r="L434" s="8" t="s">
        <v>110</v>
      </c>
      <c r="M434" s="11" t="s">
        <v>1908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0</v>
      </c>
      <c r="W434" s="8">
        <v>0</v>
      </c>
      <c r="X434" s="8">
        <v>0</v>
      </c>
      <c r="Y434" s="8">
        <v>0</v>
      </c>
      <c r="Z434" s="8">
        <v>0</v>
      </c>
      <c r="AA434" s="8">
        <v>0</v>
      </c>
      <c r="AB434" s="8">
        <v>0</v>
      </c>
      <c r="AC434" s="19">
        <f t="shared" si="36"/>
        <v>0</v>
      </c>
      <c r="AD434" s="19">
        <f t="shared" si="37"/>
        <v>0</v>
      </c>
      <c r="AE434" s="19">
        <f t="shared" si="38"/>
        <v>0</v>
      </c>
      <c r="AF434" s="19">
        <f t="shared" si="39"/>
        <v>0</v>
      </c>
      <c r="AG434" s="19">
        <f t="shared" si="40"/>
        <v>0</v>
      </c>
      <c r="AH434" s="19">
        <f t="shared" si="41"/>
        <v>0</v>
      </c>
    </row>
    <row r="435" spans="1:34">
      <c r="A435" s="8" t="s">
        <v>562</v>
      </c>
      <c r="B435" s="8" t="s">
        <v>2958</v>
      </c>
      <c r="C435" s="8" t="s">
        <v>304</v>
      </c>
      <c r="D435" s="8" t="s">
        <v>11</v>
      </c>
      <c r="E435" s="8" t="s">
        <v>68</v>
      </c>
      <c r="F435" s="8" t="s">
        <v>6</v>
      </c>
      <c r="G435" s="8" t="s">
        <v>3</v>
      </c>
      <c r="H435" s="8" t="s">
        <v>751</v>
      </c>
      <c r="I435" s="8" t="s">
        <v>41</v>
      </c>
      <c r="J435" s="8" t="s">
        <v>43</v>
      </c>
      <c r="K435" s="8" t="s">
        <v>41</v>
      </c>
      <c r="L435" s="8" t="s">
        <v>110</v>
      </c>
      <c r="M435" s="11" t="s">
        <v>2959</v>
      </c>
      <c r="N435" s="8">
        <v>58</v>
      </c>
      <c r="O435" s="8">
        <v>37</v>
      </c>
      <c r="P435" s="8">
        <v>21</v>
      </c>
      <c r="Q435" s="8">
        <v>14</v>
      </c>
      <c r="R435" s="8">
        <v>8</v>
      </c>
      <c r="S435" s="8">
        <v>3</v>
      </c>
      <c r="T435" s="8">
        <v>3</v>
      </c>
      <c r="U435" s="8">
        <v>8</v>
      </c>
      <c r="V435" s="8">
        <v>4</v>
      </c>
      <c r="W435" s="8">
        <v>13</v>
      </c>
      <c r="X435" s="8">
        <v>10</v>
      </c>
      <c r="Y435" s="8">
        <v>20</v>
      </c>
      <c r="Z435" s="8">
        <v>12</v>
      </c>
      <c r="AA435" s="8">
        <v>0</v>
      </c>
      <c r="AB435" s="8">
        <v>0</v>
      </c>
      <c r="AC435" s="19">
        <f t="shared" si="36"/>
        <v>6</v>
      </c>
      <c r="AD435" s="19">
        <f t="shared" si="37"/>
        <v>0</v>
      </c>
      <c r="AE435" s="19">
        <f t="shared" si="38"/>
        <v>4</v>
      </c>
      <c r="AF435" s="19">
        <f t="shared" si="39"/>
        <v>3</v>
      </c>
      <c r="AG435" s="19">
        <f t="shared" si="40"/>
        <v>8</v>
      </c>
      <c r="AH435" s="19">
        <f t="shared" si="41"/>
        <v>0</v>
      </c>
    </row>
    <row r="436" spans="1:34">
      <c r="A436" s="8" t="s">
        <v>563</v>
      </c>
      <c r="B436" s="8" t="s">
        <v>2960</v>
      </c>
      <c r="C436" s="8" t="s">
        <v>70</v>
      </c>
      <c r="D436" s="8" t="s">
        <v>12</v>
      </c>
      <c r="E436" s="8" t="s">
        <v>43</v>
      </c>
      <c r="F436" s="8" t="s">
        <v>118</v>
      </c>
      <c r="G436" s="8" t="s">
        <v>3</v>
      </c>
      <c r="H436" s="8" t="s">
        <v>743</v>
      </c>
      <c r="I436" s="8" t="s">
        <v>41</v>
      </c>
      <c r="J436" s="8" t="s">
        <v>43</v>
      </c>
      <c r="K436" s="8" t="s">
        <v>41</v>
      </c>
      <c r="L436" s="8" t="s">
        <v>110</v>
      </c>
      <c r="M436" s="11" t="s">
        <v>3507</v>
      </c>
      <c r="N436" s="8">
        <v>25</v>
      </c>
      <c r="O436" s="8">
        <v>16</v>
      </c>
      <c r="P436" s="8">
        <v>9</v>
      </c>
      <c r="Q436" s="8">
        <v>6</v>
      </c>
      <c r="R436" s="8">
        <v>4</v>
      </c>
      <c r="S436" s="8">
        <v>6</v>
      </c>
      <c r="T436" s="8">
        <v>4</v>
      </c>
      <c r="U436" s="8">
        <v>10</v>
      </c>
      <c r="V436" s="8">
        <v>6</v>
      </c>
      <c r="W436" s="8">
        <v>2</v>
      </c>
      <c r="X436" s="8">
        <v>1</v>
      </c>
      <c r="Y436" s="8">
        <v>1</v>
      </c>
      <c r="Z436" s="8">
        <v>1</v>
      </c>
      <c r="AA436" s="8">
        <v>0</v>
      </c>
      <c r="AB436" s="8">
        <v>0</v>
      </c>
      <c r="AC436" s="19">
        <f t="shared" si="36"/>
        <v>2</v>
      </c>
      <c r="AD436" s="19">
        <f t="shared" si="37"/>
        <v>2</v>
      </c>
      <c r="AE436" s="19">
        <f t="shared" si="38"/>
        <v>4</v>
      </c>
      <c r="AF436" s="19">
        <f t="shared" si="39"/>
        <v>1</v>
      </c>
      <c r="AG436" s="19">
        <f t="shared" si="40"/>
        <v>0</v>
      </c>
      <c r="AH436" s="19">
        <f t="shared" si="41"/>
        <v>0</v>
      </c>
    </row>
    <row r="437" spans="1:34">
      <c r="A437" s="8" t="s">
        <v>564</v>
      </c>
      <c r="B437" s="8" t="s">
        <v>2961</v>
      </c>
      <c r="C437" s="8" t="s">
        <v>70</v>
      </c>
      <c r="D437" s="8" t="s">
        <v>18</v>
      </c>
      <c r="E437" s="8" t="s">
        <v>43</v>
      </c>
      <c r="F437" s="8" t="s">
        <v>13</v>
      </c>
      <c r="G437" s="8" t="s">
        <v>18</v>
      </c>
      <c r="H437" s="8" t="s">
        <v>453</v>
      </c>
      <c r="I437" s="8" t="s">
        <v>41</v>
      </c>
      <c r="J437" s="8" t="s">
        <v>43</v>
      </c>
      <c r="K437" s="8" t="s">
        <v>41</v>
      </c>
      <c r="L437" s="8" t="s">
        <v>110</v>
      </c>
      <c r="M437" s="11" t="s">
        <v>2962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0</v>
      </c>
      <c r="U437" s="8">
        <v>0</v>
      </c>
      <c r="V437" s="8">
        <v>0</v>
      </c>
      <c r="W437" s="8">
        <v>0</v>
      </c>
      <c r="X437" s="8">
        <v>0</v>
      </c>
      <c r="Y437" s="8">
        <v>0</v>
      </c>
      <c r="Z437" s="8">
        <v>0</v>
      </c>
      <c r="AA437" s="8">
        <v>0</v>
      </c>
      <c r="AB437" s="8">
        <v>0</v>
      </c>
      <c r="AC437" s="19">
        <f t="shared" si="36"/>
        <v>0</v>
      </c>
      <c r="AD437" s="19">
        <f t="shared" si="37"/>
        <v>0</v>
      </c>
      <c r="AE437" s="19">
        <f t="shared" si="38"/>
        <v>0</v>
      </c>
      <c r="AF437" s="19">
        <f t="shared" si="39"/>
        <v>0</v>
      </c>
      <c r="AG437" s="19">
        <f t="shared" si="40"/>
        <v>0</v>
      </c>
      <c r="AH437" s="19">
        <f t="shared" si="41"/>
        <v>0</v>
      </c>
    </row>
    <row r="438" spans="1:34">
      <c r="A438" s="8" t="s">
        <v>565</v>
      </c>
      <c r="B438" s="8" t="s">
        <v>2964</v>
      </c>
      <c r="C438" s="8" t="s">
        <v>13</v>
      </c>
      <c r="D438" s="8" t="s">
        <v>8</v>
      </c>
      <c r="E438" s="8" t="s">
        <v>126</v>
      </c>
      <c r="F438" s="8" t="s">
        <v>7</v>
      </c>
      <c r="G438" s="8" t="s">
        <v>5</v>
      </c>
      <c r="H438" s="8" t="s">
        <v>1195</v>
      </c>
      <c r="I438" s="8" t="s">
        <v>41</v>
      </c>
      <c r="J438" s="8" t="s">
        <v>41</v>
      </c>
      <c r="K438" s="8" t="s">
        <v>41</v>
      </c>
      <c r="L438" s="8" t="s">
        <v>110</v>
      </c>
      <c r="M438" s="11" t="s">
        <v>2965</v>
      </c>
      <c r="N438" s="8">
        <v>124</v>
      </c>
      <c r="O438" s="8">
        <v>85</v>
      </c>
      <c r="P438" s="8">
        <v>39</v>
      </c>
      <c r="Q438" s="8">
        <v>12</v>
      </c>
      <c r="R438" s="8">
        <v>9</v>
      </c>
      <c r="S438" s="8">
        <v>27</v>
      </c>
      <c r="T438" s="8">
        <v>17</v>
      </c>
      <c r="U438" s="8">
        <v>34</v>
      </c>
      <c r="V438" s="8">
        <v>25</v>
      </c>
      <c r="W438" s="8">
        <v>35</v>
      </c>
      <c r="X438" s="8">
        <v>23</v>
      </c>
      <c r="Y438" s="8">
        <v>16</v>
      </c>
      <c r="Z438" s="8">
        <v>11</v>
      </c>
      <c r="AA438" s="8">
        <v>0</v>
      </c>
      <c r="AB438" s="8">
        <v>0</v>
      </c>
      <c r="AC438" s="19">
        <f t="shared" si="36"/>
        <v>3</v>
      </c>
      <c r="AD438" s="19">
        <f t="shared" si="37"/>
        <v>10</v>
      </c>
      <c r="AE438" s="19">
        <f t="shared" si="38"/>
        <v>9</v>
      </c>
      <c r="AF438" s="19">
        <f t="shared" si="39"/>
        <v>12</v>
      </c>
      <c r="AG438" s="19">
        <f t="shared" si="40"/>
        <v>5</v>
      </c>
      <c r="AH438" s="19">
        <f t="shared" si="41"/>
        <v>0</v>
      </c>
    </row>
    <row r="439" spans="1:34">
      <c r="A439" s="8" t="s">
        <v>566</v>
      </c>
      <c r="B439" s="8" t="s">
        <v>2967</v>
      </c>
      <c r="C439" s="8" t="s">
        <v>954</v>
      </c>
      <c r="D439" s="8" t="s">
        <v>4</v>
      </c>
      <c r="E439" s="8" t="s">
        <v>80</v>
      </c>
      <c r="F439" s="8" t="s">
        <v>5</v>
      </c>
      <c r="G439" s="8" t="s">
        <v>12</v>
      </c>
      <c r="H439" s="8" t="s">
        <v>76</v>
      </c>
      <c r="I439" s="8" t="s">
        <v>41</v>
      </c>
      <c r="J439" s="8" t="s">
        <v>43</v>
      </c>
      <c r="K439" s="8" t="s">
        <v>5696</v>
      </c>
      <c r="L439" s="8" t="s">
        <v>110</v>
      </c>
      <c r="M439" s="11" t="s">
        <v>2968</v>
      </c>
      <c r="N439" s="8">
        <v>84</v>
      </c>
      <c r="O439" s="8">
        <v>53</v>
      </c>
      <c r="P439" s="8">
        <v>31</v>
      </c>
      <c r="Q439" s="8">
        <v>21</v>
      </c>
      <c r="R439" s="8">
        <v>13</v>
      </c>
      <c r="S439" s="8">
        <v>9</v>
      </c>
      <c r="T439" s="8">
        <v>7</v>
      </c>
      <c r="U439" s="8">
        <v>17</v>
      </c>
      <c r="V439" s="8">
        <v>10</v>
      </c>
      <c r="W439" s="8">
        <v>30</v>
      </c>
      <c r="X439" s="8">
        <v>21</v>
      </c>
      <c r="Y439" s="8">
        <v>7</v>
      </c>
      <c r="Z439" s="8">
        <v>2</v>
      </c>
      <c r="AA439" s="8">
        <v>0</v>
      </c>
      <c r="AB439" s="8">
        <v>0</v>
      </c>
      <c r="AC439" s="19">
        <f t="shared" si="36"/>
        <v>8</v>
      </c>
      <c r="AD439" s="19">
        <f t="shared" si="37"/>
        <v>2</v>
      </c>
      <c r="AE439" s="19">
        <f t="shared" si="38"/>
        <v>7</v>
      </c>
      <c r="AF439" s="19">
        <f t="shared" si="39"/>
        <v>9</v>
      </c>
      <c r="AG439" s="19">
        <f t="shared" si="40"/>
        <v>5</v>
      </c>
      <c r="AH439" s="19">
        <f t="shared" si="41"/>
        <v>0</v>
      </c>
    </row>
    <row r="440" spans="1:34">
      <c r="A440" s="8" t="s">
        <v>568</v>
      </c>
      <c r="B440" s="8" t="s">
        <v>2970</v>
      </c>
      <c r="C440" s="8" t="s">
        <v>954</v>
      </c>
      <c r="D440" s="8" t="s">
        <v>17</v>
      </c>
      <c r="E440" s="8" t="s">
        <v>80</v>
      </c>
      <c r="F440" s="8" t="s">
        <v>5</v>
      </c>
      <c r="G440" s="8" t="s">
        <v>3</v>
      </c>
      <c r="H440" s="8" t="s">
        <v>1182</v>
      </c>
      <c r="I440" s="8" t="s">
        <v>41</v>
      </c>
      <c r="J440" s="8" t="s">
        <v>41</v>
      </c>
      <c r="K440" s="8" t="s">
        <v>41</v>
      </c>
      <c r="L440" s="8" t="s">
        <v>110</v>
      </c>
      <c r="M440" s="11" t="s">
        <v>2971</v>
      </c>
      <c r="N440" s="8">
        <v>31</v>
      </c>
      <c r="O440" s="8">
        <v>22</v>
      </c>
      <c r="P440" s="8">
        <v>9</v>
      </c>
      <c r="Q440" s="8">
        <v>5</v>
      </c>
      <c r="R440" s="8">
        <v>5</v>
      </c>
      <c r="S440" s="8">
        <v>5</v>
      </c>
      <c r="T440" s="8">
        <v>2</v>
      </c>
      <c r="U440" s="8">
        <v>6</v>
      </c>
      <c r="V440" s="8">
        <v>5</v>
      </c>
      <c r="W440" s="8">
        <v>12</v>
      </c>
      <c r="X440" s="8">
        <v>8</v>
      </c>
      <c r="Y440" s="8">
        <v>3</v>
      </c>
      <c r="Z440" s="8">
        <v>2</v>
      </c>
      <c r="AA440" s="8">
        <v>0</v>
      </c>
      <c r="AB440" s="8">
        <v>0</v>
      </c>
      <c r="AC440" s="19">
        <f t="shared" si="36"/>
        <v>0</v>
      </c>
      <c r="AD440" s="19">
        <f t="shared" si="37"/>
        <v>3</v>
      </c>
      <c r="AE440" s="19">
        <f t="shared" si="38"/>
        <v>1</v>
      </c>
      <c r="AF440" s="19">
        <f t="shared" si="39"/>
        <v>4</v>
      </c>
      <c r="AG440" s="19">
        <f t="shared" si="40"/>
        <v>1</v>
      </c>
      <c r="AH440" s="19">
        <f t="shared" si="41"/>
        <v>0</v>
      </c>
    </row>
    <row r="441" spans="1:34">
      <c r="A441" s="8" t="s">
        <v>912</v>
      </c>
      <c r="B441" s="8" t="s">
        <v>2973</v>
      </c>
      <c r="C441" s="8" t="s">
        <v>107</v>
      </c>
      <c r="D441" s="8" t="s">
        <v>18</v>
      </c>
      <c r="E441" s="8" t="s">
        <v>80</v>
      </c>
      <c r="F441" s="8" t="s">
        <v>13</v>
      </c>
      <c r="G441" s="8" t="s">
        <v>3</v>
      </c>
      <c r="H441" s="8" t="s">
        <v>2974</v>
      </c>
      <c r="I441" s="8" t="s">
        <v>41</v>
      </c>
      <c r="J441" s="8" t="s">
        <v>41</v>
      </c>
      <c r="K441" s="8" t="s">
        <v>41</v>
      </c>
      <c r="L441" s="8" t="s">
        <v>110</v>
      </c>
      <c r="M441" s="11" t="s">
        <v>2837</v>
      </c>
      <c r="N441" s="8">
        <v>7</v>
      </c>
      <c r="O441" s="8">
        <v>7</v>
      </c>
      <c r="P441" s="8">
        <v>0</v>
      </c>
      <c r="Q441" s="8">
        <v>1</v>
      </c>
      <c r="R441" s="8">
        <v>1</v>
      </c>
      <c r="S441" s="8">
        <v>4</v>
      </c>
      <c r="T441" s="8">
        <v>4</v>
      </c>
      <c r="U441" s="8">
        <v>0</v>
      </c>
      <c r="V441" s="8">
        <v>0</v>
      </c>
      <c r="W441" s="8">
        <v>2</v>
      </c>
      <c r="X441" s="8">
        <v>2</v>
      </c>
      <c r="Y441" s="8">
        <v>0</v>
      </c>
      <c r="Z441" s="8">
        <v>0</v>
      </c>
      <c r="AA441" s="8">
        <v>0</v>
      </c>
      <c r="AB441" s="8">
        <v>0</v>
      </c>
      <c r="AC441" s="19">
        <f t="shared" si="36"/>
        <v>0</v>
      </c>
      <c r="AD441" s="19">
        <f t="shared" si="37"/>
        <v>0</v>
      </c>
      <c r="AE441" s="19">
        <f t="shared" si="38"/>
        <v>0</v>
      </c>
      <c r="AF441" s="19">
        <f t="shared" si="39"/>
        <v>0</v>
      </c>
      <c r="AG441" s="19">
        <f t="shared" si="40"/>
        <v>0</v>
      </c>
      <c r="AH441" s="19">
        <f t="shared" si="41"/>
        <v>0</v>
      </c>
    </row>
    <row r="442" spans="1:34">
      <c r="A442" s="8" t="s">
        <v>569</v>
      </c>
      <c r="B442" s="8" t="s">
        <v>2975</v>
      </c>
      <c r="C442" s="8" t="s">
        <v>6</v>
      </c>
      <c r="D442" s="8" t="s">
        <v>11</v>
      </c>
      <c r="E442" s="8" t="s">
        <v>43</v>
      </c>
      <c r="F442" s="8" t="s">
        <v>8</v>
      </c>
      <c r="G442" s="8" t="s">
        <v>3</v>
      </c>
      <c r="H442" s="8" t="s">
        <v>687</v>
      </c>
      <c r="I442" s="8" t="s">
        <v>41</v>
      </c>
      <c r="J442" s="8" t="s">
        <v>41</v>
      </c>
      <c r="K442" s="8" t="s">
        <v>41</v>
      </c>
      <c r="L442" s="8" t="s">
        <v>110</v>
      </c>
      <c r="M442" s="11" t="s">
        <v>2976</v>
      </c>
      <c r="N442" s="8">
        <v>16</v>
      </c>
      <c r="O442" s="8">
        <v>12</v>
      </c>
      <c r="P442" s="8">
        <v>4</v>
      </c>
      <c r="Q442" s="8">
        <v>0</v>
      </c>
      <c r="R442" s="8">
        <v>0</v>
      </c>
      <c r="S442" s="8">
        <v>3</v>
      </c>
      <c r="T442" s="8">
        <v>3</v>
      </c>
      <c r="U442" s="8">
        <v>2</v>
      </c>
      <c r="V442" s="8">
        <v>1</v>
      </c>
      <c r="W442" s="8">
        <v>5</v>
      </c>
      <c r="X442" s="8">
        <v>5</v>
      </c>
      <c r="Y442" s="8">
        <v>6</v>
      </c>
      <c r="Z442" s="8">
        <v>3</v>
      </c>
      <c r="AA442" s="8">
        <v>0</v>
      </c>
      <c r="AB442" s="8">
        <v>0</v>
      </c>
      <c r="AC442" s="19">
        <f t="shared" si="36"/>
        <v>0</v>
      </c>
      <c r="AD442" s="19">
        <f t="shared" si="37"/>
        <v>0</v>
      </c>
      <c r="AE442" s="19">
        <f t="shared" si="38"/>
        <v>1</v>
      </c>
      <c r="AF442" s="19">
        <f t="shared" si="39"/>
        <v>0</v>
      </c>
      <c r="AG442" s="19">
        <f t="shared" si="40"/>
        <v>3</v>
      </c>
      <c r="AH442" s="19">
        <f t="shared" si="41"/>
        <v>0</v>
      </c>
    </row>
    <row r="443" spans="1:34">
      <c r="A443" s="8" t="s">
        <v>570</v>
      </c>
      <c r="B443" s="8" t="s">
        <v>1992</v>
      </c>
      <c r="C443" s="8" t="s">
        <v>956</v>
      </c>
      <c r="D443" s="8" t="s">
        <v>8</v>
      </c>
      <c r="E443" s="8" t="s">
        <v>41</v>
      </c>
      <c r="F443" s="8" t="s">
        <v>16</v>
      </c>
      <c r="G443" s="8" t="s">
        <v>6</v>
      </c>
      <c r="H443" s="8" t="s">
        <v>132</v>
      </c>
      <c r="I443" s="8" t="s">
        <v>43</v>
      </c>
      <c r="J443" s="8" t="s">
        <v>41</v>
      </c>
      <c r="K443" s="8" t="s">
        <v>5696</v>
      </c>
      <c r="L443" s="8" t="s">
        <v>110</v>
      </c>
      <c r="M443" s="11" t="s">
        <v>1883</v>
      </c>
      <c r="N443" s="8">
        <v>15</v>
      </c>
      <c r="O443" s="8">
        <v>11</v>
      </c>
      <c r="P443" s="8">
        <v>4</v>
      </c>
      <c r="Q443" s="8">
        <v>0</v>
      </c>
      <c r="R443" s="8">
        <v>0</v>
      </c>
      <c r="S443" s="8">
        <v>0</v>
      </c>
      <c r="T443" s="8">
        <v>0</v>
      </c>
      <c r="U443" s="8">
        <v>5</v>
      </c>
      <c r="V443" s="8">
        <v>5</v>
      </c>
      <c r="W443" s="8">
        <v>2</v>
      </c>
      <c r="X443" s="8">
        <v>1</v>
      </c>
      <c r="Y443" s="8">
        <v>8</v>
      </c>
      <c r="Z443" s="8">
        <v>5</v>
      </c>
      <c r="AA443" s="8">
        <v>0</v>
      </c>
      <c r="AB443" s="8">
        <v>0</v>
      </c>
      <c r="AC443" s="19">
        <f t="shared" si="36"/>
        <v>0</v>
      </c>
      <c r="AD443" s="19">
        <f t="shared" si="37"/>
        <v>0</v>
      </c>
      <c r="AE443" s="19">
        <f t="shared" si="38"/>
        <v>0</v>
      </c>
      <c r="AF443" s="19">
        <f t="shared" si="39"/>
        <v>1</v>
      </c>
      <c r="AG443" s="19">
        <f t="shared" si="40"/>
        <v>3</v>
      </c>
      <c r="AH443" s="19">
        <f t="shared" si="41"/>
        <v>0</v>
      </c>
    </row>
    <row r="444" spans="1:34">
      <c r="A444" s="8" t="s">
        <v>571</v>
      </c>
      <c r="B444" s="8" t="s">
        <v>2979</v>
      </c>
      <c r="C444" s="8" t="s">
        <v>955</v>
      </c>
      <c r="D444" s="8" t="s">
        <v>5</v>
      </c>
      <c r="E444" s="8" t="s">
        <v>41</v>
      </c>
      <c r="F444" s="8" t="s">
        <v>752</v>
      </c>
      <c r="G444" s="8" t="s">
        <v>7</v>
      </c>
      <c r="H444" s="8" t="s">
        <v>125</v>
      </c>
      <c r="I444" s="8" t="s">
        <v>41</v>
      </c>
      <c r="J444" s="8" t="s">
        <v>43</v>
      </c>
      <c r="K444" s="8" t="s">
        <v>41</v>
      </c>
      <c r="L444" s="8" t="s">
        <v>110</v>
      </c>
      <c r="M444" s="11" t="s">
        <v>2980</v>
      </c>
      <c r="N444" s="8">
        <v>8</v>
      </c>
      <c r="O444" s="8">
        <v>5</v>
      </c>
      <c r="P444" s="8">
        <v>3</v>
      </c>
      <c r="Q444" s="8">
        <v>1</v>
      </c>
      <c r="R444" s="8">
        <v>0</v>
      </c>
      <c r="S444" s="8">
        <v>5</v>
      </c>
      <c r="T444" s="8">
        <v>3</v>
      </c>
      <c r="U444" s="8">
        <v>1</v>
      </c>
      <c r="V444" s="8">
        <v>1</v>
      </c>
      <c r="W444" s="8">
        <v>1</v>
      </c>
      <c r="X444" s="8">
        <v>1</v>
      </c>
      <c r="Y444" s="8">
        <v>0</v>
      </c>
      <c r="Z444" s="8">
        <v>0</v>
      </c>
      <c r="AA444" s="8">
        <v>0</v>
      </c>
      <c r="AB444" s="8">
        <v>0</v>
      </c>
      <c r="AC444" s="19">
        <f t="shared" si="36"/>
        <v>1</v>
      </c>
      <c r="AD444" s="19">
        <f t="shared" si="37"/>
        <v>2</v>
      </c>
      <c r="AE444" s="19">
        <f t="shared" si="38"/>
        <v>0</v>
      </c>
      <c r="AF444" s="19">
        <f t="shared" si="39"/>
        <v>0</v>
      </c>
      <c r="AG444" s="19">
        <f t="shared" si="40"/>
        <v>0</v>
      </c>
      <c r="AH444" s="19">
        <f t="shared" si="41"/>
        <v>0</v>
      </c>
    </row>
    <row r="445" spans="1:34">
      <c r="A445" s="8" t="s">
        <v>572</v>
      </c>
      <c r="B445" s="8" t="s">
        <v>2982</v>
      </c>
      <c r="C445" s="8" t="s">
        <v>955</v>
      </c>
      <c r="D445" s="8" t="s">
        <v>5</v>
      </c>
      <c r="E445" s="8" t="s">
        <v>41</v>
      </c>
      <c r="F445" s="8" t="s">
        <v>752</v>
      </c>
      <c r="G445" s="8" t="s">
        <v>4</v>
      </c>
      <c r="H445" s="8" t="s">
        <v>735</v>
      </c>
      <c r="I445" s="8" t="s">
        <v>41</v>
      </c>
      <c r="J445" s="8" t="s">
        <v>43</v>
      </c>
      <c r="K445" s="8" t="s">
        <v>41</v>
      </c>
      <c r="L445" s="8" t="s">
        <v>110</v>
      </c>
      <c r="M445" s="11" t="s">
        <v>2983</v>
      </c>
      <c r="N445" s="8">
        <v>19</v>
      </c>
      <c r="O445" s="8">
        <v>16</v>
      </c>
      <c r="P445" s="8">
        <v>3</v>
      </c>
      <c r="Q445" s="8">
        <v>7</v>
      </c>
      <c r="R445" s="8">
        <v>5</v>
      </c>
      <c r="S445" s="8">
        <v>7</v>
      </c>
      <c r="T445" s="8">
        <v>6</v>
      </c>
      <c r="U445" s="8">
        <v>0</v>
      </c>
      <c r="V445" s="8">
        <v>0</v>
      </c>
      <c r="W445" s="8">
        <v>4</v>
      </c>
      <c r="X445" s="8">
        <v>4</v>
      </c>
      <c r="Y445" s="8">
        <v>1</v>
      </c>
      <c r="Z445" s="8">
        <v>1</v>
      </c>
      <c r="AA445" s="8">
        <v>0</v>
      </c>
      <c r="AB445" s="8">
        <v>0</v>
      </c>
      <c r="AC445" s="19">
        <f t="shared" si="36"/>
        <v>2</v>
      </c>
      <c r="AD445" s="19">
        <f t="shared" si="37"/>
        <v>1</v>
      </c>
      <c r="AE445" s="19">
        <f t="shared" si="38"/>
        <v>0</v>
      </c>
      <c r="AF445" s="19">
        <f t="shared" si="39"/>
        <v>0</v>
      </c>
      <c r="AG445" s="19">
        <f t="shared" si="40"/>
        <v>0</v>
      </c>
      <c r="AH445" s="19">
        <f t="shared" si="41"/>
        <v>0</v>
      </c>
    </row>
    <row r="446" spans="1:34">
      <c r="A446" s="8" t="s">
        <v>573</v>
      </c>
      <c r="B446" s="8" t="s">
        <v>2984</v>
      </c>
      <c r="C446" s="8" t="s">
        <v>953</v>
      </c>
      <c r="D446" s="8" t="s">
        <v>7</v>
      </c>
      <c r="E446" s="8" t="s">
        <v>110</v>
      </c>
      <c r="F446" s="8" t="s">
        <v>13</v>
      </c>
      <c r="G446" s="8" t="s">
        <v>3</v>
      </c>
      <c r="H446" s="8" t="s">
        <v>782</v>
      </c>
      <c r="I446" s="8" t="s">
        <v>41</v>
      </c>
      <c r="J446" s="8" t="s">
        <v>43</v>
      </c>
      <c r="K446" s="8" t="s">
        <v>41</v>
      </c>
      <c r="L446" s="8" t="s">
        <v>110</v>
      </c>
      <c r="M446" s="11" t="s">
        <v>2985</v>
      </c>
      <c r="N446" s="8">
        <v>8</v>
      </c>
      <c r="O446" s="8">
        <v>2</v>
      </c>
      <c r="P446" s="8">
        <v>6</v>
      </c>
      <c r="Q446" s="8">
        <v>0</v>
      </c>
      <c r="R446" s="8">
        <v>0</v>
      </c>
      <c r="S446" s="8">
        <v>2</v>
      </c>
      <c r="T446" s="8">
        <v>0</v>
      </c>
      <c r="U446" s="8">
        <v>0</v>
      </c>
      <c r="V446" s="8">
        <v>0</v>
      </c>
      <c r="W446" s="8">
        <v>6</v>
      </c>
      <c r="X446" s="8">
        <v>2</v>
      </c>
      <c r="Y446" s="8">
        <v>0</v>
      </c>
      <c r="Z446" s="8">
        <v>0</v>
      </c>
      <c r="AA446" s="8">
        <v>0</v>
      </c>
      <c r="AB446" s="8">
        <v>0</v>
      </c>
      <c r="AC446" s="19">
        <f t="shared" si="36"/>
        <v>0</v>
      </c>
      <c r="AD446" s="19">
        <f t="shared" si="37"/>
        <v>2</v>
      </c>
      <c r="AE446" s="19">
        <f t="shared" si="38"/>
        <v>0</v>
      </c>
      <c r="AF446" s="19">
        <f t="shared" si="39"/>
        <v>4</v>
      </c>
      <c r="AG446" s="19">
        <f t="shared" si="40"/>
        <v>0</v>
      </c>
      <c r="AH446" s="19">
        <f t="shared" si="41"/>
        <v>0</v>
      </c>
    </row>
    <row r="447" spans="1:34">
      <c r="A447" s="8" t="s">
        <v>574</v>
      </c>
      <c r="B447" s="8" t="s">
        <v>2987</v>
      </c>
      <c r="C447" s="8" t="s">
        <v>754</v>
      </c>
      <c r="D447" s="8" t="s">
        <v>9</v>
      </c>
      <c r="E447" s="8" t="s">
        <v>68</v>
      </c>
      <c r="F447" s="8" t="s">
        <v>8</v>
      </c>
      <c r="G447" s="8" t="s">
        <v>6</v>
      </c>
      <c r="H447" s="8" t="s">
        <v>5703</v>
      </c>
      <c r="I447" s="8" t="s">
        <v>41</v>
      </c>
      <c r="J447" s="8" t="s">
        <v>43</v>
      </c>
      <c r="K447" s="8" t="s">
        <v>41</v>
      </c>
      <c r="L447" s="8" t="s">
        <v>110</v>
      </c>
      <c r="M447" s="11" t="s">
        <v>5617</v>
      </c>
      <c r="N447" s="8">
        <v>63</v>
      </c>
      <c r="O447" s="8">
        <v>40</v>
      </c>
      <c r="P447" s="8">
        <v>23</v>
      </c>
      <c r="Q447" s="8">
        <v>17</v>
      </c>
      <c r="R447" s="8">
        <v>11</v>
      </c>
      <c r="S447" s="8">
        <v>29</v>
      </c>
      <c r="T447" s="8">
        <v>18</v>
      </c>
      <c r="U447" s="8">
        <v>12</v>
      </c>
      <c r="V447" s="8">
        <v>8</v>
      </c>
      <c r="W447" s="8">
        <v>3</v>
      </c>
      <c r="X447" s="8">
        <v>1</v>
      </c>
      <c r="Y447" s="8">
        <v>2</v>
      </c>
      <c r="Z447" s="8">
        <v>2</v>
      </c>
      <c r="AA447" s="8">
        <v>0</v>
      </c>
      <c r="AB447" s="8">
        <v>0</v>
      </c>
      <c r="AC447" s="19">
        <f t="shared" si="36"/>
        <v>6</v>
      </c>
      <c r="AD447" s="19">
        <f t="shared" si="37"/>
        <v>11</v>
      </c>
      <c r="AE447" s="19">
        <f t="shared" si="38"/>
        <v>4</v>
      </c>
      <c r="AF447" s="19">
        <f t="shared" si="39"/>
        <v>2</v>
      </c>
      <c r="AG447" s="19">
        <f t="shared" si="40"/>
        <v>0</v>
      </c>
      <c r="AH447" s="19">
        <f t="shared" si="41"/>
        <v>0</v>
      </c>
    </row>
    <row r="448" spans="1:34">
      <c r="A448" s="8" t="s">
        <v>575</v>
      </c>
      <c r="B448" s="8" t="s">
        <v>2988</v>
      </c>
      <c r="C448" s="8" t="s">
        <v>388</v>
      </c>
      <c r="D448" s="8" t="s">
        <v>11</v>
      </c>
      <c r="E448" s="8" t="s">
        <v>43</v>
      </c>
      <c r="F448" s="8" t="s">
        <v>18</v>
      </c>
      <c r="G448" s="8" t="s">
        <v>3</v>
      </c>
      <c r="H448" s="8" t="s">
        <v>2989</v>
      </c>
      <c r="I448" s="8" t="s">
        <v>41</v>
      </c>
      <c r="J448" s="8" t="s">
        <v>43</v>
      </c>
      <c r="K448" s="8" t="s">
        <v>41</v>
      </c>
      <c r="L448" s="8" t="s">
        <v>110</v>
      </c>
      <c r="M448" s="11" t="s">
        <v>4077</v>
      </c>
      <c r="N448" s="8">
        <v>12</v>
      </c>
      <c r="O448" s="8">
        <v>10</v>
      </c>
      <c r="P448" s="8">
        <v>2</v>
      </c>
      <c r="Q448" s="8">
        <v>3</v>
      </c>
      <c r="R448" s="8">
        <v>2</v>
      </c>
      <c r="S448" s="8">
        <v>3</v>
      </c>
      <c r="T448" s="8">
        <v>3</v>
      </c>
      <c r="U448" s="8">
        <v>4</v>
      </c>
      <c r="V448" s="8">
        <v>3</v>
      </c>
      <c r="W448" s="8">
        <v>2</v>
      </c>
      <c r="X448" s="8">
        <v>2</v>
      </c>
      <c r="Y448" s="8">
        <v>0</v>
      </c>
      <c r="Z448" s="8">
        <v>0</v>
      </c>
      <c r="AA448" s="8">
        <v>0</v>
      </c>
      <c r="AB448" s="8">
        <v>0</v>
      </c>
      <c r="AC448" s="19">
        <f t="shared" si="36"/>
        <v>1</v>
      </c>
      <c r="AD448" s="19">
        <f t="shared" si="37"/>
        <v>0</v>
      </c>
      <c r="AE448" s="19">
        <f t="shared" si="38"/>
        <v>1</v>
      </c>
      <c r="AF448" s="19">
        <f t="shared" si="39"/>
        <v>0</v>
      </c>
      <c r="AG448" s="19">
        <f t="shared" si="40"/>
        <v>0</v>
      </c>
      <c r="AH448" s="19">
        <f t="shared" si="41"/>
        <v>0</v>
      </c>
    </row>
    <row r="449" spans="1:34">
      <c r="A449" s="8" t="s">
        <v>1181</v>
      </c>
      <c r="B449" s="8" t="s">
        <v>2990</v>
      </c>
      <c r="C449" s="8" t="s">
        <v>388</v>
      </c>
      <c r="D449" s="8" t="s">
        <v>11</v>
      </c>
      <c r="E449" s="8" t="s">
        <v>43</v>
      </c>
      <c r="F449" s="8" t="s">
        <v>18</v>
      </c>
      <c r="G449" s="8" t="s">
        <v>3</v>
      </c>
      <c r="H449" s="8" t="s">
        <v>815</v>
      </c>
      <c r="I449" s="8" t="s">
        <v>41</v>
      </c>
      <c r="J449" s="8" t="s">
        <v>43</v>
      </c>
      <c r="K449" s="8" t="s">
        <v>41</v>
      </c>
      <c r="L449" s="8" t="s">
        <v>110</v>
      </c>
      <c r="M449" s="11" t="s">
        <v>2991</v>
      </c>
      <c r="N449" s="8">
        <v>97</v>
      </c>
      <c r="O449" s="8">
        <v>63</v>
      </c>
      <c r="P449" s="8">
        <v>34</v>
      </c>
      <c r="Q449" s="8">
        <v>16</v>
      </c>
      <c r="R449" s="8">
        <v>11</v>
      </c>
      <c r="S449" s="8">
        <v>23</v>
      </c>
      <c r="T449" s="8">
        <v>15</v>
      </c>
      <c r="U449" s="8">
        <v>17</v>
      </c>
      <c r="V449" s="8">
        <v>14</v>
      </c>
      <c r="W449" s="8">
        <v>12</v>
      </c>
      <c r="X449" s="8">
        <v>7</v>
      </c>
      <c r="Y449" s="8">
        <v>29</v>
      </c>
      <c r="Z449" s="8">
        <v>16</v>
      </c>
      <c r="AA449" s="8">
        <v>0</v>
      </c>
      <c r="AB449" s="8">
        <v>0</v>
      </c>
      <c r="AC449" s="19">
        <f t="shared" si="36"/>
        <v>5</v>
      </c>
      <c r="AD449" s="19">
        <f t="shared" si="37"/>
        <v>8</v>
      </c>
      <c r="AE449" s="19">
        <f t="shared" si="38"/>
        <v>3</v>
      </c>
      <c r="AF449" s="19">
        <f t="shared" si="39"/>
        <v>5</v>
      </c>
      <c r="AG449" s="19">
        <f t="shared" si="40"/>
        <v>13</v>
      </c>
      <c r="AH449" s="19">
        <f t="shared" si="41"/>
        <v>0</v>
      </c>
    </row>
    <row r="450" spans="1:34">
      <c r="A450" s="8" t="s">
        <v>576</v>
      </c>
      <c r="B450" s="8" t="s">
        <v>2994</v>
      </c>
      <c r="C450" s="8" t="s">
        <v>388</v>
      </c>
      <c r="D450" s="8" t="s">
        <v>9</v>
      </c>
      <c r="E450" s="8" t="s">
        <v>43</v>
      </c>
      <c r="F450" s="8" t="s">
        <v>18</v>
      </c>
      <c r="G450" s="8" t="s">
        <v>5</v>
      </c>
      <c r="H450" s="8" t="s">
        <v>2996</v>
      </c>
      <c r="I450" s="8" t="s">
        <v>41</v>
      </c>
      <c r="J450" s="8" t="s">
        <v>43</v>
      </c>
      <c r="K450" s="8" t="s">
        <v>41</v>
      </c>
      <c r="L450" s="8" t="s">
        <v>110</v>
      </c>
      <c r="M450" s="11" t="s">
        <v>2995</v>
      </c>
      <c r="N450" s="8">
        <v>73</v>
      </c>
      <c r="O450" s="8">
        <v>31</v>
      </c>
      <c r="P450" s="8">
        <v>42</v>
      </c>
      <c r="Q450" s="8">
        <v>25</v>
      </c>
      <c r="R450" s="8">
        <v>12</v>
      </c>
      <c r="S450" s="8">
        <v>16</v>
      </c>
      <c r="T450" s="8">
        <v>9</v>
      </c>
      <c r="U450" s="8">
        <v>15</v>
      </c>
      <c r="V450" s="8">
        <v>4</v>
      </c>
      <c r="W450" s="8">
        <v>13</v>
      </c>
      <c r="X450" s="8">
        <v>6</v>
      </c>
      <c r="Y450" s="8">
        <v>4</v>
      </c>
      <c r="Z450" s="8">
        <v>0</v>
      </c>
      <c r="AA450" s="8">
        <v>0</v>
      </c>
      <c r="AB450" s="8">
        <v>0</v>
      </c>
      <c r="AC450" s="19">
        <f t="shared" ref="AC450:AC509" si="42">+Q450-R450</f>
        <v>13</v>
      </c>
      <c r="AD450" s="19">
        <f t="shared" ref="AD450:AD509" si="43">+S450-T450</f>
        <v>7</v>
      </c>
      <c r="AE450" s="19">
        <f t="shared" ref="AE450:AE509" si="44">+U450-V450</f>
        <v>11</v>
      </c>
      <c r="AF450" s="19">
        <f t="shared" ref="AF450:AF509" si="45">+W450-X450</f>
        <v>7</v>
      </c>
      <c r="AG450" s="19">
        <f t="shared" ref="AG450:AG509" si="46">+Y450-Z450</f>
        <v>4</v>
      </c>
      <c r="AH450" s="19">
        <f t="shared" ref="AH450:AH509" si="47">+AA450-AB450</f>
        <v>0</v>
      </c>
    </row>
    <row r="451" spans="1:34">
      <c r="A451" s="8" t="s">
        <v>578</v>
      </c>
      <c r="B451" s="8" t="s">
        <v>2998</v>
      </c>
      <c r="C451" s="8" t="s">
        <v>388</v>
      </c>
      <c r="D451" s="8" t="s">
        <v>4</v>
      </c>
      <c r="E451" s="8" t="s">
        <v>43</v>
      </c>
      <c r="F451" s="8" t="s">
        <v>18</v>
      </c>
      <c r="G451" s="8" t="s">
        <v>4</v>
      </c>
      <c r="H451" s="8" t="s">
        <v>785</v>
      </c>
      <c r="I451" s="8" t="s">
        <v>41</v>
      </c>
      <c r="J451" s="8" t="s">
        <v>43</v>
      </c>
      <c r="K451" s="8" t="s">
        <v>41</v>
      </c>
      <c r="L451" s="8" t="s">
        <v>110</v>
      </c>
      <c r="M451" s="11" t="s">
        <v>2999</v>
      </c>
      <c r="N451" s="8">
        <v>19</v>
      </c>
      <c r="O451" s="8">
        <v>15</v>
      </c>
      <c r="P451" s="8">
        <v>4</v>
      </c>
      <c r="Q451" s="8">
        <v>0</v>
      </c>
      <c r="R451" s="8">
        <v>0</v>
      </c>
      <c r="S451" s="8">
        <v>4</v>
      </c>
      <c r="T451" s="8">
        <v>3</v>
      </c>
      <c r="U451" s="8">
        <v>2</v>
      </c>
      <c r="V451" s="8">
        <v>2</v>
      </c>
      <c r="W451" s="8">
        <v>6</v>
      </c>
      <c r="X451" s="8">
        <v>5</v>
      </c>
      <c r="Y451" s="8">
        <v>7</v>
      </c>
      <c r="Z451" s="8">
        <v>5</v>
      </c>
      <c r="AA451" s="8">
        <v>0</v>
      </c>
      <c r="AB451" s="8">
        <v>0</v>
      </c>
      <c r="AC451" s="19">
        <f t="shared" si="42"/>
        <v>0</v>
      </c>
      <c r="AD451" s="19">
        <f t="shared" si="43"/>
        <v>1</v>
      </c>
      <c r="AE451" s="19">
        <f t="shared" si="44"/>
        <v>0</v>
      </c>
      <c r="AF451" s="19">
        <f t="shared" si="45"/>
        <v>1</v>
      </c>
      <c r="AG451" s="19">
        <f t="shared" si="46"/>
        <v>2</v>
      </c>
      <c r="AH451" s="19">
        <f t="shared" si="47"/>
        <v>0</v>
      </c>
    </row>
    <row r="452" spans="1:34">
      <c r="A452" s="8" t="s">
        <v>579</v>
      </c>
      <c r="B452" s="8" t="s">
        <v>3000</v>
      </c>
      <c r="C452" s="8" t="s">
        <v>11</v>
      </c>
      <c r="D452" s="8" t="s">
        <v>7</v>
      </c>
      <c r="E452" s="8" t="s">
        <v>126</v>
      </c>
      <c r="F452" s="8" t="s">
        <v>13</v>
      </c>
      <c r="G452" s="8" t="s">
        <v>4</v>
      </c>
      <c r="H452" s="8" t="s">
        <v>793</v>
      </c>
      <c r="I452" s="8" t="s">
        <v>41</v>
      </c>
      <c r="J452" s="8" t="s">
        <v>43</v>
      </c>
      <c r="K452" s="8" t="s">
        <v>41</v>
      </c>
      <c r="L452" s="8" t="s">
        <v>110</v>
      </c>
      <c r="M452" s="11" t="s">
        <v>3001</v>
      </c>
      <c r="N452" s="8">
        <v>20</v>
      </c>
      <c r="O452" s="8">
        <v>13</v>
      </c>
      <c r="P452" s="8">
        <v>7</v>
      </c>
      <c r="Q452" s="8">
        <v>5</v>
      </c>
      <c r="R452" s="8">
        <v>4</v>
      </c>
      <c r="S452" s="8">
        <v>1</v>
      </c>
      <c r="T452" s="8">
        <v>1</v>
      </c>
      <c r="U452" s="8">
        <v>3</v>
      </c>
      <c r="V452" s="8">
        <v>0</v>
      </c>
      <c r="W452" s="8">
        <v>9</v>
      </c>
      <c r="X452" s="8">
        <v>7</v>
      </c>
      <c r="Y452" s="8">
        <v>2</v>
      </c>
      <c r="Z452" s="8">
        <v>1</v>
      </c>
      <c r="AA452" s="8">
        <v>0</v>
      </c>
      <c r="AB452" s="8">
        <v>0</v>
      </c>
      <c r="AC452" s="19">
        <f t="shared" si="42"/>
        <v>1</v>
      </c>
      <c r="AD452" s="19">
        <f t="shared" si="43"/>
        <v>0</v>
      </c>
      <c r="AE452" s="19">
        <f t="shared" si="44"/>
        <v>3</v>
      </c>
      <c r="AF452" s="19">
        <f t="shared" si="45"/>
        <v>2</v>
      </c>
      <c r="AG452" s="19">
        <f t="shared" si="46"/>
        <v>1</v>
      </c>
      <c r="AH452" s="19">
        <f t="shared" si="47"/>
        <v>0</v>
      </c>
    </row>
    <row r="453" spans="1:34">
      <c r="A453" s="8" t="s">
        <v>580</v>
      </c>
      <c r="B453" s="8" t="s">
        <v>3003</v>
      </c>
      <c r="C453" s="8" t="s">
        <v>388</v>
      </c>
      <c r="D453" s="8" t="s">
        <v>9</v>
      </c>
      <c r="E453" s="8" t="s">
        <v>43</v>
      </c>
      <c r="F453" s="8" t="s">
        <v>18</v>
      </c>
      <c r="G453" s="8" t="s">
        <v>8</v>
      </c>
      <c r="H453" s="8" t="s">
        <v>3005</v>
      </c>
      <c r="I453" s="8" t="s">
        <v>41</v>
      </c>
      <c r="J453" s="8" t="s">
        <v>43</v>
      </c>
      <c r="K453" s="8" t="s">
        <v>41</v>
      </c>
      <c r="L453" s="8" t="s">
        <v>110</v>
      </c>
      <c r="M453" s="11" t="s">
        <v>3004</v>
      </c>
      <c r="N453" s="8">
        <v>36</v>
      </c>
      <c r="O453" s="8">
        <v>22</v>
      </c>
      <c r="P453" s="8">
        <v>14</v>
      </c>
      <c r="Q453" s="8">
        <v>19</v>
      </c>
      <c r="R453" s="8">
        <v>12</v>
      </c>
      <c r="S453" s="8">
        <v>3</v>
      </c>
      <c r="T453" s="8">
        <v>3</v>
      </c>
      <c r="U453" s="8">
        <v>5</v>
      </c>
      <c r="V453" s="8">
        <v>2</v>
      </c>
      <c r="W453" s="8">
        <v>9</v>
      </c>
      <c r="X453" s="8">
        <v>5</v>
      </c>
      <c r="Y453" s="8">
        <v>0</v>
      </c>
      <c r="Z453" s="8">
        <v>0</v>
      </c>
      <c r="AA453" s="8">
        <v>0</v>
      </c>
      <c r="AB453" s="8">
        <v>0</v>
      </c>
      <c r="AC453" s="19">
        <f t="shared" si="42"/>
        <v>7</v>
      </c>
      <c r="AD453" s="19">
        <f t="shared" si="43"/>
        <v>0</v>
      </c>
      <c r="AE453" s="19">
        <f t="shared" si="44"/>
        <v>3</v>
      </c>
      <c r="AF453" s="19">
        <f t="shared" si="45"/>
        <v>4</v>
      </c>
      <c r="AG453" s="19">
        <f t="shared" si="46"/>
        <v>0</v>
      </c>
      <c r="AH453" s="19">
        <f t="shared" si="47"/>
        <v>0</v>
      </c>
    </row>
    <row r="454" spans="1:34">
      <c r="A454" s="8" t="s">
        <v>1075</v>
      </c>
      <c r="B454" s="8" t="s">
        <v>3006</v>
      </c>
      <c r="C454" s="8" t="s">
        <v>388</v>
      </c>
      <c r="D454" s="8" t="s">
        <v>11</v>
      </c>
      <c r="E454" s="8" t="s">
        <v>43</v>
      </c>
      <c r="F454" s="8" t="s">
        <v>18</v>
      </c>
      <c r="G454" s="8" t="s">
        <v>9</v>
      </c>
      <c r="H454" s="8" t="s">
        <v>67</v>
      </c>
      <c r="I454" s="8" t="s">
        <v>41</v>
      </c>
      <c r="J454" s="8" t="s">
        <v>43</v>
      </c>
      <c r="K454" s="8" t="s">
        <v>41</v>
      </c>
      <c r="L454" s="8" t="s">
        <v>110</v>
      </c>
      <c r="M454" s="11" t="s">
        <v>3007</v>
      </c>
      <c r="N454" s="8">
        <v>5</v>
      </c>
      <c r="O454" s="8">
        <v>3</v>
      </c>
      <c r="P454" s="8">
        <v>2</v>
      </c>
      <c r="Q454" s="8">
        <v>0</v>
      </c>
      <c r="R454" s="8">
        <v>0</v>
      </c>
      <c r="S454" s="8">
        <v>0</v>
      </c>
      <c r="T454" s="8">
        <v>0</v>
      </c>
      <c r="U454" s="8">
        <v>3</v>
      </c>
      <c r="V454" s="8">
        <v>2</v>
      </c>
      <c r="W454" s="8">
        <v>0</v>
      </c>
      <c r="X454" s="8">
        <v>0</v>
      </c>
      <c r="Y454" s="8">
        <v>2</v>
      </c>
      <c r="Z454" s="8">
        <v>1</v>
      </c>
      <c r="AA454" s="8">
        <v>0</v>
      </c>
      <c r="AB454" s="8">
        <v>0</v>
      </c>
      <c r="AC454" s="19">
        <f t="shared" si="42"/>
        <v>0</v>
      </c>
      <c r="AD454" s="19">
        <f t="shared" si="43"/>
        <v>0</v>
      </c>
      <c r="AE454" s="19">
        <f t="shared" si="44"/>
        <v>1</v>
      </c>
      <c r="AF454" s="19">
        <f t="shared" si="45"/>
        <v>0</v>
      </c>
      <c r="AG454" s="19">
        <f t="shared" si="46"/>
        <v>1</v>
      </c>
      <c r="AH454" s="19">
        <f t="shared" si="47"/>
        <v>0</v>
      </c>
    </row>
    <row r="455" spans="1:34">
      <c r="A455" s="8" t="s">
        <v>581</v>
      </c>
      <c r="B455" s="8" t="s">
        <v>3008</v>
      </c>
      <c r="C455" s="8" t="s">
        <v>18</v>
      </c>
      <c r="D455" s="8" t="s">
        <v>7</v>
      </c>
      <c r="E455" s="8" t="s">
        <v>80</v>
      </c>
      <c r="F455" s="8" t="s">
        <v>16</v>
      </c>
      <c r="G455" s="8" t="s">
        <v>4</v>
      </c>
      <c r="H455" s="8" t="s">
        <v>648</v>
      </c>
      <c r="I455" s="8" t="s">
        <v>41</v>
      </c>
      <c r="J455" s="8" t="s">
        <v>41</v>
      </c>
      <c r="K455" s="8" t="s">
        <v>41</v>
      </c>
      <c r="L455" s="8" t="s">
        <v>110</v>
      </c>
      <c r="M455" s="11" t="s">
        <v>3009</v>
      </c>
      <c r="N455" s="8">
        <v>51</v>
      </c>
      <c r="O455" s="8">
        <v>37</v>
      </c>
      <c r="P455" s="8">
        <v>14</v>
      </c>
      <c r="Q455" s="8">
        <v>13</v>
      </c>
      <c r="R455" s="8">
        <v>10</v>
      </c>
      <c r="S455" s="8">
        <v>8</v>
      </c>
      <c r="T455" s="8">
        <v>5</v>
      </c>
      <c r="U455" s="8">
        <v>11</v>
      </c>
      <c r="V455" s="8">
        <v>8</v>
      </c>
      <c r="W455" s="8">
        <v>13</v>
      </c>
      <c r="X455" s="8">
        <v>9</v>
      </c>
      <c r="Y455" s="8">
        <v>6</v>
      </c>
      <c r="Z455" s="8">
        <v>5</v>
      </c>
      <c r="AA455" s="8">
        <v>0</v>
      </c>
      <c r="AB455" s="8">
        <v>0</v>
      </c>
      <c r="AC455" s="19">
        <f t="shared" si="42"/>
        <v>3</v>
      </c>
      <c r="AD455" s="19">
        <f t="shared" si="43"/>
        <v>3</v>
      </c>
      <c r="AE455" s="19">
        <f t="shared" si="44"/>
        <v>3</v>
      </c>
      <c r="AF455" s="19">
        <f t="shared" si="45"/>
        <v>4</v>
      </c>
      <c r="AG455" s="19">
        <f t="shared" si="46"/>
        <v>1</v>
      </c>
      <c r="AH455" s="19">
        <f t="shared" si="47"/>
        <v>0</v>
      </c>
    </row>
    <row r="456" spans="1:34">
      <c r="A456" s="8" t="s">
        <v>423</v>
      </c>
      <c r="B456" s="8" t="s">
        <v>3010</v>
      </c>
      <c r="C456" s="8" t="s">
        <v>754</v>
      </c>
      <c r="D456" s="8" t="s">
        <v>9</v>
      </c>
      <c r="E456" s="8" t="s">
        <v>68</v>
      </c>
      <c r="F456" s="8" t="s">
        <v>4</v>
      </c>
      <c r="G456" s="8" t="s">
        <v>8</v>
      </c>
      <c r="H456" s="8" t="s">
        <v>5704</v>
      </c>
      <c r="I456" s="8" t="s">
        <v>41</v>
      </c>
      <c r="J456" s="8" t="s">
        <v>43</v>
      </c>
      <c r="K456" s="8" t="s">
        <v>41</v>
      </c>
      <c r="L456" s="8" t="s">
        <v>110</v>
      </c>
      <c r="M456" s="11" t="s">
        <v>5620</v>
      </c>
      <c r="N456" s="8">
        <v>35</v>
      </c>
      <c r="O456" s="8">
        <v>20</v>
      </c>
      <c r="P456" s="8">
        <v>15</v>
      </c>
      <c r="Q456" s="8">
        <v>10</v>
      </c>
      <c r="R456" s="8">
        <v>6</v>
      </c>
      <c r="S456" s="8">
        <v>7</v>
      </c>
      <c r="T456" s="8">
        <v>4</v>
      </c>
      <c r="U456" s="8">
        <v>6</v>
      </c>
      <c r="V456" s="8">
        <v>2</v>
      </c>
      <c r="W456" s="8">
        <v>7</v>
      </c>
      <c r="X456" s="8">
        <v>3</v>
      </c>
      <c r="Y456" s="8">
        <v>5</v>
      </c>
      <c r="Z456" s="8">
        <v>5</v>
      </c>
      <c r="AA456" s="8">
        <v>0</v>
      </c>
      <c r="AB456" s="8">
        <v>0</v>
      </c>
      <c r="AC456" s="19">
        <f t="shared" si="42"/>
        <v>4</v>
      </c>
      <c r="AD456" s="19">
        <f t="shared" si="43"/>
        <v>3</v>
      </c>
      <c r="AE456" s="19">
        <f t="shared" si="44"/>
        <v>4</v>
      </c>
      <c r="AF456" s="19">
        <f t="shared" si="45"/>
        <v>4</v>
      </c>
      <c r="AG456" s="19">
        <f t="shared" si="46"/>
        <v>0</v>
      </c>
      <c r="AH456" s="19">
        <f t="shared" si="47"/>
        <v>0</v>
      </c>
    </row>
    <row r="457" spans="1:34">
      <c r="A457" s="8" t="s">
        <v>420</v>
      </c>
      <c r="B457" s="8" t="s">
        <v>3011</v>
      </c>
      <c r="C457" s="8" t="s">
        <v>70</v>
      </c>
      <c r="D457" s="8" t="s">
        <v>11</v>
      </c>
      <c r="E457" s="8" t="s">
        <v>43</v>
      </c>
      <c r="F457" s="8" t="s">
        <v>13</v>
      </c>
      <c r="G457" s="8" t="s">
        <v>18</v>
      </c>
      <c r="H457" s="8" t="s">
        <v>825</v>
      </c>
      <c r="I457" s="8" t="s">
        <v>41</v>
      </c>
      <c r="J457" s="8" t="s">
        <v>43</v>
      </c>
      <c r="K457" s="8" t="s">
        <v>41</v>
      </c>
      <c r="L457" s="8" t="s">
        <v>110</v>
      </c>
      <c r="M457" s="11" t="s">
        <v>3012</v>
      </c>
      <c r="N457" s="8">
        <v>14</v>
      </c>
      <c r="O457" s="8">
        <v>9</v>
      </c>
      <c r="P457" s="8">
        <v>5</v>
      </c>
      <c r="Q457" s="8">
        <v>0</v>
      </c>
      <c r="R457" s="8">
        <v>0</v>
      </c>
      <c r="S457" s="8">
        <v>0</v>
      </c>
      <c r="T457" s="8">
        <v>0</v>
      </c>
      <c r="U457" s="8">
        <v>4</v>
      </c>
      <c r="V457" s="8">
        <v>2</v>
      </c>
      <c r="W457" s="8">
        <v>4</v>
      </c>
      <c r="X457" s="8">
        <v>2</v>
      </c>
      <c r="Y457" s="8">
        <v>6</v>
      </c>
      <c r="Z457" s="8">
        <v>5</v>
      </c>
      <c r="AA457" s="8">
        <v>0</v>
      </c>
      <c r="AB457" s="8">
        <v>0</v>
      </c>
      <c r="AC457" s="19">
        <f t="shared" si="42"/>
        <v>0</v>
      </c>
      <c r="AD457" s="19">
        <f t="shared" si="43"/>
        <v>0</v>
      </c>
      <c r="AE457" s="19">
        <f t="shared" si="44"/>
        <v>2</v>
      </c>
      <c r="AF457" s="19">
        <f t="shared" si="45"/>
        <v>2</v>
      </c>
      <c r="AG457" s="19">
        <f t="shared" si="46"/>
        <v>1</v>
      </c>
      <c r="AH457" s="19">
        <f t="shared" si="47"/>
        <v>0</v>
      </c>
    </row>
    <row r="458" spans="1:34">
      <c r="A458" s="8" t="s">
        <v>421</v>
      </c>
      <c r="B458" s="8" t="s">
        <v>3015</v>
      </c>
      <c r="C458" s="8" t="s">
        <v>70</v>
      </c>
      <c r="D458" s="8" t="s">
        <v>6</v>
      </c>
      <c r="E458" s="8" t="s">
        <v>43</v>
      </c>
      <c r="F458" s="8" t="s">
        <v>13</v>
      </c>
      <c r="G458" s="8" t="s">
        <v>6</v>
      </c>
      <c r="H458" s="8" t="s">
        <v>1187</v>
      </c>
      <c r="I458" s="8" t="s">
        <v>41</v>
      </c>
      <c r="J458" s="8" t="s">
        <v>43</v>
      </c>
      <c r="K458" s="8" t="s">
        <v>41</v>
      </c>
      <c r="L458" s="8" t="s">
        <v>110</v>
      </c>
      <c r="M458" s="11" t="s">
        <v>4078</v>
      </c>
      <c r="N458" s="8">
        <v>14</v>
      </c>
      <c r="O458" s="8">
        <v>8</v>
      </c>
      <c r="P458" s="8">
        <v>6</v>
      </c>
      <c r="Q458" s="8">
        <v>2</v>
      </c>
      <c r="R458" s="8">
        <v>1</v>
      </c>
      <c r="S458" s="8">
        <v>2</v>
      </c>
      <c r="T458" s="8">
        <v>0</v>
      </c>
      <c r="U458" s="8">
        <v>3</v>
      </c>
      <c r="V458" s="8">
        <v>2</v>
      </c>
      <c r="W458" s="8">
        <v>7</v>
      </c>
      <c r="X458" s="8">
        <v>5</v>
      </c>
      <c r="Y458" s="8">
        <v>0</v>
      </c>
      <c r="Z458" s="8">
        <v>0</v>
      </c>
      <c r="AA458" s="8">
        <v>0</v>
      </c>
      <c r="AB458" s="8">
        <v>0</v>
      </c>
      <c r="AC458" s="19">
        <f t="shared" si="42"/>
        <v>1</v>
      </c>
      <c r="AD458" s="19">
        <f t="shared" si="43"/>
        <v>2</v>
      </c>
      <c r="AE458" s="19">
        <f t="shared" si="44"/>
        <v>1</v>
      </c>
      <c r="AF458" s="19">
        <f t="shared" si="45"/>
        <v>2</v>
      </c>
      <c r="AG458" s="19">
        <f t="shared" si="46"/>
        <v>0</v>
      </c>
      <c r="AH458" s="19">
        <f t="shared" si="47"/>
        <v>0</v>
      </c>
    </row>
    <row r="459" spans="1:34">
      <c r="A459" s="8" t="s">
        <v>428</v>
      </c>
      <c r="B459" s="8" t="s">
        <v>3016</v>
      </c>
      <c r="C459" s="8" t="s">
        <v>70</v>
      </c>
      <c r="D459" s="8" t="s">
        <v>118</v>
      </c>
      <c r="E459" s="8" t="s">
        <v>43</v>
      </c>
      <c r="F459" s="8" t="s">
        <v>13</v>
      </c>
      <c r="G459" s="8" t="s">
        <v>3</v>
      </c>
      <c r="H459" s="8" t="s">
        <v>305</v>
      </c>
      <c r="I459" s="8" t="s">
        <v>41</v>
      </c>
      <c r="J459" s="8" t="s">
        <v>41</v>
      </c>
      <c r="K459" s="8" t="s">
        <v>41</v>
      </c>
      <c r="L459" s="8" t="s">
        <v>110</v>
      </c>
      <c r="M459" s="11" t="s">
        <v>3017</v>
      </c>
      <c r="N459" s="8">
        <v>123</v>
      </c>
      <c r="O459" s="8">
        <v>79</v>
      </c>
      <c r="P459" s="8">
        <v>44</v>
      </c>
      <c r="Q459" s="8">
        <v>32</v>
      </c>
      <c r="R459" s="8">
        <v>22</v>
      </c>
      <c r="S459" s="8">
        <v>28</v>
      </c>
      <c r="T459" s="8">
        <v>18</v>
      </c>
      <c r="U459" s="8">
        <v>14</v>
      </c>
      <c r="V459" s="8">
        <v>9</v>
      </c>
      <c r="W459" s="8">
        <v>26</v>
      </c>
      <c r="X459" s="8">
        <v>15</v>
      </c>
      <c r="Y459" s="8">
        <v>23</v>
      </c>
      <c r="Z459" s="8">
        <v>15</v>
      </c>
      <c r="AA459" s="8">
        <v>0</v>
      </c>
      <c r="AB459" s="8">
        <v>0</v>
      </c>
      <c r="AC459" s="19">
        <f t="shared" si="42"/>
        <v>10</v>
      </c>
      <c r="AD459" s="19">
        <f t="shared" si="43"/>
        <v>10</v>
      </c>
      <c r="AE459" s="19">
        <f t="shared" si="44"/>
        <v>5</v>
      </c>
      <c r="AF459" s="19">
        <f t="shared" si="45"/>
        <v>11</v>
      </c>
      <c r="AG459" s="19">
        <f t="shared" si="46"/>
        <v>8</v>
      </c>
      <c r="AH459" s="19">
        <f t="shared" si="47"/>
        <v>0</v>
      </c>
    </row>
    <row r="460" spans="1:34">
      <c r="A460" s="8" t="s">
        <v>429</v>
      </c>
      <c r="B460" s="8" t="s">
        <v>3020</v>
      </c>
      <c r="C460" s="8" t="s">
        <v>752</v>
      </c>
      <c r="D460" s="8" t="s">
        <v>9</v>
      </c>
      <c r="E460" s="8" t="s">
        <v>41</v>
      </c>
      <c r="F460" s="8" t="s">
        <v>5</v>
      </c>
      <c r="G460" s="8" t="s">
        <v>16</v>
      </c>
      <c r="H460" s="8" t="s">
        <v>862</v>
      </c>
      <c r="I460" s="8" t="s">
        <v>41</v>
      </c>
      <c r="J460" s="8" t="s">
        <v>41</v>
      </c>
      <c r="K460" s="8" t="s">
        <v>41</v>
      </c>
      <c r="L460" s="8" t="s">
        <v>110</v>
      </c>
      <c r="M460" s="11" t="s">
        <v>4079</v>
      </c>
      <c r="N460" s="8">
        <v>271</v>
      </c>
      <c r="O460" s="8">
        <v>160</v>
      </c>
      <c r="P460" s="8">
        <v>111</v>
      </c>
      <c r="Q460" s="8">
        <v>62</v>
      </c>
      <c r="R460" s="8">
        <v>31</v>
      </c>
      <c r="S460" s="8">
        <v>74</v>
      </c>
      <c r="T460" s="8">
        <v>46</v>
      </c>
      <c r="U460" s="8">
        <v>39</v>
      </c>
      <c r="V460" s="8">
        <v>24</v>
      </c>
      <c r="W460" s="8">
        <v>53</v>
      </c>
      <c r="X460" s="8">
        <v>26</v>
      </c>
      <c r="Y460" s="8">
        <v>43</v>
      </c>
      <c r="Z460" s="8">
        <v>33</v>
      </c>
      <c r="AA460" s="8">
        <v>0</v>
      </c>
      <c r="AB460" s="8">
        <v>0</v>
      </c>
      <c r="AC460" s="19">
        <f t="shared" si="42"/>
        <v>31</v>
      </c>
      <c r="AD460" s="19">
        <f t="shared" si="43"/>
        <v>28</v>
      </c>
      <c r="AE460" s="19">
        <f t="shared" si="44"/>
        <v>15</v>
      </c>
      <c r="AF460" s="19">
        <f t="shared" si="45"/>
        <v>27</v>
      </c>
      <c r="AG460" s="19">
        <f t="shared" si="46"/>
        <v>10</v>
      </c>
      <c r="AH460" s="19">
        <f t="shared" si="47"/>
        <v>0</v>
      </c>
    </row>
    <row r="461" spans="1:34">
      <c r="A461" s="8" t="s">
        <v>432</v>
      </c>
      <c r="B461" s="8" t="s">
        <v>3022</v>
      </c>
      <c r="C461" s="8" t="s">
        <v>4</v>
      </c>
      <c r="D461" s="8" t="s">
        <v>9</v>
      </c>
      <c r="E461" s="8" t="s">
        <v>41</v>
      </c>
      <c r="F461" s="8" t="s">
        <v>304</v>
      </c>
      <c r="G461" s="8" t="s">
        <v>7</v>
      </c>
      <c r="H461" s="8" t="s">
        <v>132</v>
      </c>
      <c r="I461" s="8" t="s">
        <v>41</v>
      </c>
      <c r="J461" s="8" t="s">
        <v>43</v>
      </c>
      <c r="K461" s="8" t="s">
        <v>41</v>
      </c>
      <c r="L461" s="8" t="s">
        <v>110</v>
      </c>
      <c r="M461" s="11" t="s">
        <v>3023</v>
      </c>
      <c r="N461" s="8">
        <v>19</v>
      </c>
      <c r="O461" s="8">
        <v>13</v>
      </c>
      <c r="P461" s="8">
        <v>6</v>
      </c>
      <c r="Q461" s="8">
        <v>5</v>
      </c>
      <c r="R461" s="8">
        <v>2</v>
      </c>
      <c r="S461" s="8">
        <v>3</v>
      </c>
      <c r="T461" s="8">
        <v>3</v>
      </c>
      <c r="U461" s="8">
        <v>0</v>
      </c>
      <c r="V461" s="8">
        <v>0</v>
      </c>
      <c r="W461" s="8">
        <v>7</v>
      </c>
      <c r="X461" s="8">
        <v>5</v>
      </c>
      <c r="Y461" s="8">
        <v>4</v>
      </c>
      <c r="Z461" s="8">
        <v>3</v>
      </c>
      <c r="AA461" s="8">
        <v>0</v>
      </c>
      <c r="AB461" s="8">
        <v>0</v>
      </c>
      <c r="AC461" s="19">
        <f t="shared" si="42"/>
        <v>3</v>
      </c>
      <c r="AD461" s="19">
        <f t="shared" si="43"/>
        <v>0</v>
      </c>
      <c r="AE461" s="19">
        <f t="shared" si="44"/>
        <v>0</v>
      </c>
      <c r="AF461" s="19">
        <f t="shared" si="45"/>
        <v>2</v>
      </c>
      <c r="AG461" s="19">
        <f t="shared" si="46"/>
        <v>1</v>
      </c>
      <c r="AH461" s="19">
        <f t="shared" si="47"/>
        <v>0</v>
      </c>
    </row>
    <row r="462" spans="1:34">
      <c r="A462" s="8" t="s">
        <v>1077</v>
      </c>
      <c r="B462" s="8" t="s">
        <v>3025</v>
      </c>
      <c r="C462" s="8" t="s">
        <v>4</v>
      </c>
      <c r="D462" s="8" t="s">
        <v>4</v>
      </c>
      <c r="E462" s="8" t="s">
        <v>41</v>
      </c>
      <c r="F462" s="8" t="s">
        <v>6</v>
      </c>
      <c r="G462" s="8" t="s">
        <v>4</v>
      </c>
      <c r="H462" s="8" t="s">
        <v>271</v>
      </c>
      <c r="I462" s="8" t="s">
        <v>41</v>
      </c>
      <c r="J462" s="8" t="s">
        <v>43</v>
      </c>
      <c r="K462" s="8" t="s">
        <v>41</v>
      </c>
      <c r="L462" s="8" t="s">
        <v>110</v>
      </c>
      <c r="M462" s="11" t="s">
        <v>3026</v>
      </c>
      <c r="N462" s="8">
        <v>6</v>
      </c>
      <c r="O462" s="8">
        <v>4</v>
      </c>
      <c r="P462" s="8">
        <v>2</v>
      </c>
      <c r="Q462" s="8">
        <v>2</v>
      </c>
      <c r="R462" s="8">
        <v>1</v>
      </c>
      <c r="S462" s="8">
        <v>0</v>
      </c>
      <c r="T462" s="8">
        <v>0</v>
      </c>
      <c r="U462" s="8">
        <v>1</v>
      </c>
      <c r="V462" s="8">
        <v>1</v>
      </c>
      <c r="W462" s="8">
        <v>3</v>
      </c>
      <c r="X462" s="8">
        <v>2</v>
      </c>
      <c r="Y462" s="8">
        <v>0</v>
      </c>
      <c r="Z462" s="8">
        <v>0</v>
      </c>
      <c r="AA462" s="8">
        <v>0</v>
      </c>
      <c r="AB462" s="8">
        <v>0</v>
      </c>
      <c r="AC462" s="19">
        <f t="shared" si="42"/>
        <v>1</v>
      </c>
      <c r="AD462" s="19">
        <f t="shared" si="43"/>
        <v>0</v>
      </c>
      <c r="AE462" s="19">
        <f t="shared" si="44"/>
        <v>0</v>
      </c>
      <c r="AF462" s="19">
        <f t="shared" si="45"/>
        <v>1</v>
      </c>
      <c r="AG462" s="19">
        <f t="shared" si="46"/>
        <v>0</v>
      </c>
      <c r="AH462" s="19">
        <f t="shared" si="47"/>
        <v>0</v>
      </c>
    </row>
    <row r="463" spans="1:34">
      <c r="A463" s="8" t="s">
        <v>424</v>
      </c>
      <c r="B463" s="8" t="s">
        <v>1992</v>
      </c>
      <c r="C463" s="8" t="s">
        <v>11</v>
      </c>
      <c r="D463" s="8" t="s">
        <v>4</v>
      </c>
      <c r="E463" s="8" t="s">
        <v>126</v>
      </c>
      <c r="F463" s="8" t="s">
        <v>3</v>
      </c>
      <c r="G463" s="8" t="s">
        <v>3</v>
      </c>
      <c r="H463" s="8" t="s">
        <v>49</v>
      </c>
      <c r="I463" s="8" t="s">
        <v>43</v>
      </c>
      <c r="J463" s="8" t="s">
        <v>41</v>
      </c>
      <c r="K463" s="8" t="s">
        <v>5696</v>
      </c>
      <c r="L463" s="8" t="s">
        <v>110</v>
      </c>
      <c r="M463" s="11" t="s">
        <v>5484</v>
      </c>
      <c r="N463" s="8">
        <v>14</v>
      </c>
      <c r="O463" s="8">
        <v>10</v>
      </c>
      <c r="P463" s="8">
        <v>4</v>
      </c>
      <c r="Q463" s="8">
        <v>0</v>
      </c>
      <c r="R463" s="8">
        <v>0</v>
      </c>
      <c r="S463" s="8">
        <v>4</v>
      </c>
      <c r="T463" s="8">
        <v>1</v>
      </c>
      <c r="U463" s="8">
        <v>4</v>
      </c>
      <c r="V463" s="8">
        <v>3</v>
      </c>
      <c r="W463" s="8">
        <v>3</v>
      </c>
      <c r="X463" s="8">
        <v>3</v>
      </c>
      <c r="Y463" s="8">
        <v>3</v>
      </c>
      <c r="Z463" s="8">
        <v>3</v>
      </c>
      <c r="AA463" s="8">
        <v>0</v>
      </c>
      <c r="AB463" s="8">
        <v>0</v>
      </c>
      <c r="AC463" s="19">
        <f t="shared" si="42"/>
        <v>0</v>
      </c>
      <c r="AD463" s="19">
        <f t="shared" si="43"/>
        <v>3</v>
      </c>
      <c r="AE463" s="19">
        <f t="shared" si="44"/>
        <v>1</v>
      </c>
      <c r="AF463" s="19">
        <f t="shared" si="45"/>
        <v>0</v>
      </c>
      <c r="AG463" s="19">
        <f t="shared" si="46"/>
        <v>0</v>
      </c>
      <c r="AH463" s="19">
        <f t="shared" si="47"/>
        <v>0</v>
      </c>
    </row>
    <row r="464" spans="1:34">
      <c r="A464" s="8" t="s">
        <v>355</v>
      </c>
      <c r="B464" s="8" t="s">
        <v>3028</v>
      </c>
      <c r="C464" s="8" t="s">
        <v>16</v>
      </c>
      <c r="D464" s="8" t="s">
        <v>3</v>
      </c>
      <c r="E464" s="8" t="s">
        <v>126</v>
      </c>
      <c r="F464" s="8" t="s">
        <v>8</v>
      </c>
      <c r="G464" s="8" t="s">
        <v>6</v>
      </c>
      <c r="H464" s="8" t="s">
        <v>5675</v>
      </c>
      <c r="I464" s="8" t="s">
        <v>41</v>
      </c>
      <c r="J464" s="8" t="s">
        <v>41</v>
      </c>
      <c r="K464" s="8" t="s">
        <v>41</v>
      </c>
      <c r="L464" s="8" t="s">
        <v>110</v>
      </c>
      <c r="M464" s="11" t="s">
        <v>3029</v>
      </c>
      <c r="N464" s="8">
        <v>92</v>
      </c>
      <c r="O464" s="8">
        <v>58</v>
      </c>
      <c r="P464" s="8">
        <v>34</v>
      </c>
      <c r="Q464" s="8">
        <v>28</v>
      </c>
      <c r="R464" s="8">
        <v>18</v>
      </c>
      <c r="S464" s="8">
        <v>27</v>
      </c>
      <c r="T464" s="8">
        <v>18</v>
      </c>
      <c r="U464" s="8">
        <v>17</v>
      </c>
      <c r="V464" s="8">
        <v>13</v>
      </c>
      <c r="W464" s="8">
        <v>19</v>
      </c>
      <c r="X464" s="8">
        <v>8</v>
      </c>
      <c r="Y464" s="8">
        <v>1</v>
      </c>
      <c r="Z464" s="8">
        <v>1</v>
      </c>
      <c r="AA464" s="8">
        <v>0</v>
      </c>
      <c r="AB464" s="8">
        <v>0</v>
      </c>
      <c r="AC464" s="19">
        <f t="shared" si="42"/>
        <v>10</v>
      </c>
      <c r="AD464" s="19">
        <f t="shared" si="43"/>
        <v>9</v>
      </c>
      <c r="AE464" s="19">
        <f t="shared" si="44"/>
        <v>4</v>
      </c>
      <c r="AF464" s="19">
        <f t="shared" si="45"/>
        <v>11</v>
      </c>
      <c r="AG464" s="19">
        <f t="shared" si="46"/>
        <v>0</v>
      </c>
      <c r="AH464" s="19">
        <f t="shared" si="47"/>
        <v>0</v>
      </c>
    </row>
    <row r="465" spans="1:34">
      <c r="A465" s="8" t="s">
        <v>448</v>
      </c>
      <c r="B465" s="8" t="s">
        <v>1992</v>
      </c>
      <c r="C465" s="8" t="s">
        <v>7</v>
      </c>
      <c r="D465" s="8" t="s">
        <v>8</v>
      </c>
      <c r="E465" s="8" t="s">
        <v>56</v>
      </c>
      <c r="F465" s="8" t="s">
        <v>5</v>
      </c>
      <c r="G465" s="8" t="s">
        <v>9</v>
      </c>
      <c r="H465" s="8" t="s">
        <v>1899</v>
      </c>
      <c r="I465" s="8" t="s">
        <v>43</v>
      </c>
      <c r="J465" s="8" t="s">
        <v>41</v>
      </c>
      <c r="K465" s="8" t="s">
        <v>5696</v>
      </c>
      <c r="L465" s="8" t="s">
        <v>110</v>
      </c>
      <c r="M465" s="11" t="s">
        <v>1909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>
        <v>0</v>
      </c>
      <c r="U465" s="8">
        <v>0</v>
      </c>
      <c r="V465" s="8">
        <v>0</v>
      </c>
      <c r="W465" s="8">
        <v>0</v>
      </c>
      <c r="X465" s="8">
        <v>0</v>
      </c>
      <c r="Y465" s="8">
        <v>0</v>
      </c>
      <c r="Z465" s="8">
        <v>0</v>
      </c>
      <c r="AA465" s="8">
        <v>0</v>
      </c>
      <c r="AB465" s="8">
        <v>0</v>
      </c>
      <c r="AC465" s="19">
        <f t="shared" si="42"/>
        <v>0</v>
      </c>
      <c r="AD465" s="19">
        <f t="shared" si="43"/>
        <v>0</v>
      </c>
      <c r="AE465" s="19">
        <f t="shared" si="44"/>
        <v>0</v>
      </c>
      <c r="AF465" s="19">
        <f t="shared" si="45"/>
        <v>0</v>
      </c>
      <c r="AG465" s="19">
        <f t="shared" si="46"/>
        <v>0</v>
      </c>
      <c r="AH465" s="19">
        <f t="shared" si="47"/>
        <v>0</v>
      </c>
    </row>
    <row r="466" spans="1:34">
      <c r="A466" s="8" t="s">
        <v>438</v>
      </c>
      <c r="B466" s="8" t="s">
        <v>3032</v>
      </c>
      <c r="C466" s="8" t="s">
        <v>70</v>
      </c>
      <c r="D466" s="8" t="s">
        <v>7</v>
      </c>
      <c r="E466" s="8" t="s">
        <v>43</v>
      </c>
      <c r="F466" s="8" t="s">
        <v>13</v>
      </c>
      <c r="G466" s="8" t="s">
        <v>8</v>
      </c>
      <c r="H466" s="8" t="s">
        <v>136</v>
      </c>
      <c r="I466" s="8" t="s">
        <v>41</v>
      </c>
      <c r="J466" s="8" t="s">
        <v>43</v>
      </c>
      <c r="K466" s="8" t="s">
        <v>41</v>
      </c>
      <c r="L466" s="8" t="s">
        <v>110</v>
      </c>
      <c r="M466" s="11" t="s">
        <v>3742</v>
      </c>
      <c r="N466" s="8">
        <v>31</v>
      </c>
      <c r="O466" s="8">
        <v>17</v>
      </c>
      <c r="P466" s="8">
        <v>14</v>
      </c>
      <c r="Q466" s="8">
        <v>5</v>
      </c>
      <c r="R466" s="8">
        <v>4</v>
      </c>
      <c r="S466" s="8">
        <v>0</v>
      </c>
      <c r="T466" s="8">
        <v>0</v>
      </c>
      <c r="U466" s="8">
        <v>10</v>
      </c>
      <c r="V466" s="8">
        <v>5</v>
      </c>
      <c r="W466" s="8">
        <v>8</v>
      </c>
      <c r="X466" s="8">
        <v>4</v>
      </c>
      <c r="Y466" s="8">
        <v>8</v>
      </c>
      <c r="Z466" s="8">
        <v>4</v>
      </c>
      <c r="AA466" s="8">
        <v>0</v>
      </c>
      <c r="AB466" s="8">
        <v>0</v>
      </c>
      <c r="AC466" s="19">
        <f t="shared" si="42"/>
        <v>1</v>
      </c>
      <c r="AD466" s="19">
        <f t="shared" si="43"/>
        <v>0</v>
      </c>
      <c r="AE466" s="19">
        <f t="shared" si="44"/>
        <v>5</v>
      </c>
      <c r="AF466" s="19">
        <f t="shared" si="45"/>
        <v>4</v>
      </c>
      <c r="AG466" s="19">
        <f t="shared" si="46"/>
        <v>4</v>
      </c>
      <c r="AH466" s="19">
        <f t="shared" si="47"/>
        <v>0</v>
      </c>
    </row>
    <row r="467" spans="1:34">
      <c r="A467" s="8" t="s">
        <v>440</v>
      </c>
      <c r="B467" s="8" t="s">
        <v>3034</v>
      </c>
      <c r="C467" s="8" t="s">
        <v>11</v>
      </c>
      <c r="D467" s="8" t="s">
        <v>3</v>
      </c>
      <c r="E467" s="8" t="s">
        <v>126</v>
      </c>
      <c r="F467" s="8" t="s">
        <v>13</v>
      </c>
      <c r="G467" s="8" t="s">
        <v>5</v>
      </c>
      <c r="H467" s="8" t="s">
        <v>627</v>
      </c>
      <c r="I467" s="8" t="s">
        <v>41</v>
      </c>
      <c r="J467" s="8" t="s">
        <v>43</v>
      </c>
      <c r="K467" s="8" t="s">
        <v>41</v>
      </c>
      <c r="L467" s="8" t="s">
        <v>110</v>
      </c>
      <c r="M467" s="11" t="s">
        <v>3035</v>
      </c>
      <c r="N467" s="8">
        <v>33</v>
      </c>
      <c r="O467" s="8">
        <v>18</v>
      </c>
      <c r="P467" s="8">
        <v>15</v>
      </c>
      <c r="Q467" s="8">
        <v>3</v>
      </c>
      <c r="R467" s="8">
        <v>2</v>
      </c>
      <c r="S467" s="8">
        <v>6</v>
      </c>
      <c r="T467" s="8">
        <v>3</v>
      </c>
      <c r="U467" s="8">
        <v>9</v>
      </c>
      <c r="V467" s="8">
        <v>5</v>
      </c>
      <c r="W467" s="8">
        <v>7</v>
      </c>
      <c r="X467" s="8">
        <v>3</v>
      </c>
      <c r="Y467" s="8">
        <v>8</v>
      </c>
      <c r="Z467" s="8">
        <v>5</v>
      </c>
      <c r="AA467" s="8">
        <v>0</v>
      </c>
      <c r="AB467" s="8">
        <v>0</v>
      </c>
      <c r="AC467" s="19">
        <f t="shared" si="42"/>
        <v>1</v>
      </c>
      <c r="AD467" s="19">
        <f t="shared" si="43"/>
        <v>3</v>
      </c>
      <c r="AE467" s="19">
        <f t="shared" si="44"/>
        <v>4</v>
      </c>
      <c r="AF467" s="19">
        <f t="shared" si="45"/>
        <v>4</v>
      </c>
      <c r="AG467" s="19">
        <f t="shared" si="46"/>
        <v>3</v>
      </c>
      <c r="AH467" s="19">
        <f t="shared" si="47"/>
        <v>0</v>
      </c>
    </row>
    <row r="468" spans="1:34">
      <c r="A468" s="8" t="s">
        <v>466</v>
      </c>
      <c r="B468" s="8" t="s">
        <v>1992</v>
      </c>
      <c r="C468" s="8" t="s">
        <v>17</v>
      </c>
      <c r="D468" s="8" t="s">
        <v>3</v>
      </c>
      <c r="E468" s="8" t="s">
        <v>80</v>
      </c>
      <c r="F468" s="8" t="s">
        <v>3</v>
      </c>
      <c r="G468" s="8" t="s">
        <v>3</v>
      </c>
      <c r="H468" s="8" t="s">
        <v>455</v>
      </c>
      <c r="I468" s="8" t="s">
        <v>43</v>
      </c>
      <c r="J468" s="8" t="s">
        <v>41</v>
      </c>
      <c r="K468" s="8" t="s">
        <v>5696</v>
      </c>
      <c r="L468" s="8" t="s">
        <v>110</v>
      </c>
      <c r="M468" s="11" t="s">
        <v>1892</v>
      </c>
      <c r="N468" s="8">
        <v>3</v>
      </c>
      <c r="O468" s="8">
        <v>2</v>
      </c>
      <c r="P468" s="8">
        <v>1</v>
      </c>
      <c r="Q468" s="8">
        <v>0</v>
      </c>
      <c r="R468" s="8">
        <v>0</v>
      </c>
      <c r="S468" s="8">
        <v>0</v>
      </c>
      <c r="T468" s="8">
        <v>0</v>
      </c>
      <c r="U468" s="8">
        <v>1</v>
      </c>
      <c r="V468" s="8">
        <v>1</v>
      </c>
      <c r="W468" s="8">
        <v>2</v>
      </c>
      <c r="X468" s="8">
        <v>1</v>
      </c>
      <c r="Y468" s="8">
        <v>0</v>
      </c>
      <c r="Z468" s="8">
        <v>0</v>
      </c>
      <c r="AA468" s="8">
        <v>0</v>
      </c>
      <c r="AB468" s="8">
        <v>0</v>
      </c>
      <c r="AC468" s="19">
        <f t="shared" si="42"/>
        <v>0</v>
      </c>
      <c r="AD468" s="19">
        <f t="shared" si="43"/>
        <v>0</v>
      </c>
      <c r="AE468" s="19">
        <f t="shared" si="44"/>
        <v>0</v>
      </c>
      <c r="AF468" s="19">
        <f t="shared" si="45"/>
        <v>1</v>
      </c>
      <c r="AG468" s="19">
        <f t="shared" si="46"/>
        <v>0</v>
      </c>
      <c r="AH468" s="19">
        <f t="shared" si="47"/>
        <v>0</v>
      </c>
    </row>
    <row r="469" spans="1:34">
      <c r="A469" s="8" t="s">
        <v>442</v>
      </c>
      <c r="B469" s="8" t="s">
        <v>3038</v>
      </c>
      <c r="C469" s="8" t="s">
        <v>754</v>
      </c>
      <c r="D469" s="8" t="s">
        <v>9</v>
      </c>
      <c r="E469" s="8" t="s">
        <v>68</v>
      </c>
      <c r="F469" s="8" t="s">
        <v>8</v>
      </c>
      <c r="G469" s="8" t="s">
        <v>6</v>
      </c>
      <c r="H469" s="8" t="s">
        <v>809</v>
      </c>
      <c r="I469" s="8" t="s">
        <v>41</v>
      </c>
      <c r="J469" s="8" t="s">
        <v>43</v>
      </c>
      <c r="K469" s="8" t="s">
        <v>41</v>
      </c>
      <c r="L469" s="8" t="s">
        <v>110</v>
      </c>
      <c r="M469" s="11" t="s">
        <v>3039</v>
      </c>
      <c r="N469" s="8">
        <v>5</v>
      </c>
      <c r="O469" s="8">
        <v>1</v>
      </c>
      <c r="P469" s="8">
        <v>4</v>
      </c>
      <c r="Q469" s="8">
        <v>1</v>
      </c>
      <c r="R469" s="8">
        <v>0</v>
      </c>
      <c r="S469" s="8">
        <v>2</v>
      </c>
      <c r="T469" s="8">
        <v>0</v>
      </c>
      <c r="U469" s="8">
        <v>0</v>
      </c>
      <c r="V469" s="8">
        <v>0</v>
      </c>
      <c r="W469" s="8">
        <v>1</v>
      </c>
      <c r="X469" s="8">
        <v>1</v>
      </c>
      <c r="Y469" s="8">
        <v>1</v>
      </c>
      <c r="Z469" s="8">
        <v>0</v>
      </c>
      <c r="AA469" s="8">
        <v>0</v>
      </c>
      <c r="AB469" s="8">
        <v>0</v>
      </c>
      <c r="AC469" s="19">
        <f t="shared" si="42"/>
        <v>1</v>
      </c>
      <c r="AD469" s="19">
        <f t="shared" si="43"/>
        <v>2</v>
      </c>
      <c r="AE469" s="19">
        <f t="shared" si="44"/>
        <v>0</v>
      </c>
      <c r="AF469" s="19">
        <f t="shared" si="45"/>
        <v>0</v>
      </c>
      <c r="AG469" s="19">
        <f t="shared" si="46"/>
        <v>1</v>
      </c>
      <c r="AH469" s="19">
        <f t="shared" si="47"/>
        <v>0</v>
      </c>
    </row>
    <row r="470" spans="1:34">
      <c r="A470" s="8" t="s">
        <v>475</v>
      </c>
      <c r="B470" s="8" t="s">
        <v>5705</v>
      </c>
      <c r="C470" s="8" t="s">
        <v>17</v>
      </c>
      <c r="D470" s="8" t="s">
        <v>7</v>
      </c>
      <c r="E470" s="8" t="s">
        <v>80</v>
      </c>
      <c r="F470" s="8" t="s">
        <v>3</v>
      </c>
      <c r="G470" s="8" t="s">
        <v>3</v>
      </c>
      <c r="H470" s="8" t="s">
        <v>842</v>
      </c>
      <c r="I470" s="8" t="s">
        <v>41</v>
      </c>
      <c r="J470" s="8" t="s">
        <v>41</v>
      </c>
      <c r="K470" s="8" t="s">
        <v>41</v>
      </c>
      <c r="L470" s="8" t="s">
        <v>110</v>
      </c>
      <c r="M470" s="11" t="s">
        <v>3041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>
        <v>0</v>
      </c>
      <c r="X470" s="8">
        <v>0</v>
      </c>
      <c r="Y470" s="8">
        <v>0</v>
      </c>
      <c r="Z470" s="8">
        <v>0</v>
      </c>
      <c r="AA470" s="8">
        <v>0</v>
      </c>
      <c r="AB470" s="8">
        <v>0</v>
      </c>
      <c r="AC470" s="19">
        <f t="shared" si="42"/>
        <v>0</v>
      </c>
      <c r="AD470" s="19">
        <f t="shared" si="43"/>
        <v>0</v>
      </c>
      <c r="AE470" s="19">
        <f t="shared" si="44"/>
        <v>0</v>
      </c>
      <c r="AF470" s="19">
        <f t="shared" si="45"/>
        <v>0</v>
      </c>
      <c r="AG470" s="19">
        <f t="shared" si="46"/>
        <v>0</v>
      </c>
      <c r="AH470" s="19">
        <f t="shared" si="47"/>
        <v>0</v>
      </c>
    </row>
    <row r="471" spans="1:34">
      <c r="A471" s="8" t="s">
        <v>493</v>
      </c>
      <c r="B471" s="8" t="s">
        <v>3042</v>
      </c>
      <c r="C471" s="8" t="s">
        <v>4</v>
      </c>
      <c r="D471" s="8" t="s">
        <v>6</v>
      </c>
      <c r="E471" s="8" t="s">
        <v>41</v>
      </c>
      <c r="F471" s="8" t="s">
        <v>9</v>
      </c>
      <c r="G471" s="8" t="s">
        <v>7</v>
      </c>
      <c r="H471" s="8" t="s">
        <v>328</v>
      </c>
      <c r="I471" s="8" t="s">
        <v>41</v>
      </c>
      <c r="J471" s="8" t="s">
        <v>43</v>
      </c>
      <c r="K471" s="8" t="s">
        <v>41</v>
      </c>
      <c r="L471" s="8" t="s">
        <v>110</v>
      </c>
      <c r="M471" s="11" t="s">
        <v>3043</v>
      </c>
      <c r="N471" s="8">
        <v>1</v>
      </c>
      <c r="O471" s="8">
        <v>1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8">
        <v>0</v>
      </c>
      <c r="W471" s="8">
        <v>1</v>
      </c>
      <c r="X471" s="8">
        <v>1</v>
      </c>
      <c r="Y471" s="8">
        <v>0</v>
      </c>
      <c r="Z471" s="8">
        <v>0</v>
      </c>
      <c r="AA471" s="8">
        <v>0</v>
      </c>
      <c r="AB471" s="8">
        <v>0</v>
      </c>
      <c r="AC471" s="19">
        <f t="shared" si="42"/>
        <v>0</v>
      </c>
      <c r="AD471" s="19">
        <f t="shared" si="43"/>
        <v>0</v>
      </c>
      <c r="AE471" s="19">
        <f t="shared" si="44"/>
        <v>0</v>
      </c>
      <c r="AF471" s="19">
        <f t="shared" si="45"/>
        <v>0</v>
      </c>
      <c r="AG471" s="19">
        <f t="shared" si="46"/>
        <v>0</v>
      </c>
      <c r="AH471" s="19">
        <f t="shared" si="47"/>
        <v>0</v>
      </c>
    </row>
    <row r="472" spans="1:34">
      <c r="A472" s="8" t="s">
        <v>494</v>
      </c>
      <c r="B472" s="8" t="s">
        <v>3044</v>
      </c>
      <c r="C472" s="8" t="s">
        <v>4</v>
      </c>
      <c r="D472" s="8" t="s">
        <v>6</v>
      </c>
      <c r="E472" s="8" t="s">
        <v>41</v>
      </c>
      <c r="F472" s="8" t="s">
        <v>6</v>
      </c>
      <c r="G472" s="8" t="s">
        <v>5</v>
      </c>
      <c r="H472" s="8" t="s">
        <v>321</v>
      </c>
      <c r="I472" s="8" t="s">
        <v>41</v>
      </c>
      <c r="J472" s="8" t="s">
        <v>43</v>
      </c>
      <c r="K472" s="8" t="s">
        <v>41</v>
      </c>
      <c r="L472" s="8" t="s">
        <v>110</v>
      </c>
      <c r="M472" s="11" t="s">
        <v>3045</v>
      </c>
      <c r="N472" s="8">
        <v>35</v>
      </c>
      <c r="O472" s="8">
        <v>25</v>
      </c>
      <c r="P472" s="8">
        <v>10</v>
      </c>
      <c r="Q472" s="8">
        <v>2</v>
      </c>
      <c r="R472" s="8">
        <v>0</v>
      </c>
      <c r="S472" s="8">
        <v>4</v>
      </c>
      <c r="T472" s="8">
        <v>2</v>
      </c>
      <c r="U472" s="8">
        <v>7</v>
      </c>
      <c r="V472" s="8">
        <v>6</v>
      </c>
      <c r="W472" s="8">
        <v>20</v>
      </c>
      <c r="X472" s="8">
        <v>15</v>
      </c>
      <c r="Y472" s="8">
        <v>2</v>
      </c>
      <c r="Z472" s="8">
        <v>2</v>
      </c>
      <c r="AA472" s="8">
        <v>0</v>
      </c>
      <c r="AB472" s="8">
        <v>0</v>
      </c>
      <c r="AC472" s="19">
        <f t="shared" si="42"/>
        <v>2</v>
      </c>
      <c r="AD472" s="19">
        <f t="shared" si="43"/>
        <v>2</v>
      </c>
      <c r="AE472" s="19">
        <f t="shared" si="44"/>
        <v>1</v>
      </c>
      <c r="AF472" s="19">
        <f t="shared" si="45"/>
        <v>5</v>
      </c>
      <c r="AG472" s="19">
        <f t="shared" si="46"/>
        <v>0</v>
      </c>
      <c r="AH472" s="19">
        <f t="shared" si="47"/>
        <v>0</v>
      </c>
    </row>
    <row r="473" spans="1:34">
      <c r="A473" s="8" t="s">
        <v>500</v>
      </c>
      <c r="B473" s="8" t="s">
        <v>3048</v>
      </c>
      <c r="C473" s="8" t="s">
        <v>953</v>
      </c>
      <c r="D473" s="8" t="s">
        <v>3</v>
      </c>
      <c r="E473" s="8" t="s">
        <v>110</v>
      </c>
      <c r="F473" s="8" t="s">
        <v>13</v>
      </c>
      <c r="G473" s="8" t="s">
        <v>4</v>
      </c>
      <c r="H473" s="8" t="s">
        <v>860</v>
      </c>
      <c r="I473" s="8" t="s">
        <v>41</v>
      </c>
      <c r="J473" s="8" t="s">
        <v>43</v>
      </c>
      <c r="K473" s="8" t="s">
        <v>41</v>
      </c>
      <c r="L473" s="8" t="s">
        <v>110</v>
      </c>
      <c r="M473" s="11" t="s">
        <v>3049</v>
      </c>
      <c r="N473" s="8">
        <v>54</v>
      </c>
      <c r="O473" s="8">
        <v>33</v>
      </c>
      <c r="P473" s="8">
        <v>21</v>
      </c>
      <c r="Q473" s="8">
        <v>15</v>
      </c>
      <c r="R473" s="8">
        <v>8</v>
      </c>
      <c r="S473" s="8">
        <v>8</v>
      </c>
      <c r="T473" s="8">
        <v>4</v>
      </c>
      <c r="U473" s="8">
        <v>5</v>
      </c>
      <c r="V473" s="8">
        <v>4</v>
      </c>
      <c r="W473" s="8">
        <v>17</v>
      </c>
      <c r="X473" s="8">
        <v>11</v>
      </c>
      <c r="Y473" s="8">
        <v>9</v>
      </c>
      <c r="Z473" s="8">
        <v>6</v>
      </c>
      <c r="AA473" s="8">
        <v>0</v>
      </c>
      <c r="AB473" s="8">
        <v>0</v>
      </c>
      <c r="AC473" s="19">
        <f t="shared" si="42"/>
        <v>7</v>
      </c>
      <c r="AD473" s="19">
        <f t="shared" si="43"/>
        <v>4</v>
      </c>
      <c r="AE473" s="19">
        <f t="shared" si="44"/>
        <v>1</v>
      </c>
      <c r="AF473" s="19">
        <f t="shared" si="45"/>
        <v>6</v>
      </c>
      <c r="AG473" s="19">
        <f t="shared" si="46"/>
        <v>3</v>
      </c>
      <c r="AH473" s="19">
        <f t="shared" si="47"/>
        <v>0</v>
      </c>
    </row>
    <row r="474" spans="1:34">
      <c r="A474" s="8" t="s">
        <v>585</v>
      </c>
      <c r="B474" s="8" t="s">
        <v>1992</v>
      </c>
      <c r="C474" s="8" t="s">
        <v>3</v>
      </c>
      <c r="D474" s="8" t="s">
        <v>3</v>
      </c>
      <c r="E474" s="8" t="s">
        <v>41</v>
      </c>
      <c r="F474" s="8" t="s">
        <v>3</v>
      </c>
      <c r="G474" s="8" t="s">
        <v>16</v>
      </c>
      <c r="H474" s="8" t="s">
        <v>484</v>
      </c>
      <c r="I474" s="8" t="s">
        <v>43</v>
      </c>
      <c r="J474" s="8" t="s">
        <v>41</v>
      </c>
      <c r="K474" s="8" t="s">
        <v>41</v>
      </c>
      <c r="L474" s="8" t="s">
        <v>110</v>
      </c>
      <c r="M474" s="11" t="s">
        <v>3447</v>
      </c>
      <c r="N474" s="8">
        <v>15</v>
      </c>
      <c r="O474" s="8">
        <v>12</v>
      </c>
      <c r="P474" s="8">
        <v>3</v>
      </c>
      <c r="Q474" s="8">
        <v>3</v>
      </c>
      <c r="R474" s="8">
        <v>3</v>
      </c>
      <c r="S474" s="8">
        <v>3</v>
      </c>
      <c r="T474" s="8">
        <v>3</v>
      </c>
      <c r="U474" s="8">
        <v>3</v>
      </c>
      <c r="V474" s="8">
        <v>3</v>
      </c>
      <c r="W474" s="8">
        <v>3</v>
      </c>
      <c r="X474" s="8">
        <v>2</v>
      </c>
      <c r="Y474" s="8">
        <v>3</v>
      </c>
      <c r="Z474" s="8">
        <v>1</v>
      </c>
      <c r="AA474" s="8">
        <v>0</v>
      </c>
      <c r="AB474" s="8">
        <v>0</v>
      </c>
      <c r="AC474" s="19">
        <f t="shared" si="42"/>
        <v>0</v>
      </c>
      <c r="AD474" s="19">
        <f t="shared" si="43"/>
        <v>0</v>
      </c>
      <c r="AE474" s="19">
        <f t="shared" si="44"/>
        <v>0</v>
      </c>
      <c r="AF474" s="19">
        <f t="shared" si="45"/>
        <v>1</v>
      </c>
      <c r="AG474" s="19">
        <f t="shared" si="46"/>
        <v>2</v>
      </c>
      <c r="AH474" s="19">
        <f t="shared" si="47"/>
        <v>0</v>
      </c>
    </row>
    <row r="475" spans="1:34">
      <c r="A475" s="8" t="s">
        <v>583</v>
      </c>
      <c r="B475" s="8" t="s">
        <v>1992</v>
      </c>
      <c r="C475" s="8" t="s">
        <v>3</v>
      </c>
      <c r="D475" s="8" t="s">
        <v>8</v>
      </c>
      <c r="E475" s="8" t="s">
        <v>41</v>
      </c>
      <c r="F475" s="8" t="s">
        <v>13</v>
      </c>
      <c r="G475" s="8" t="s">
        <v>3</v>
      </c>
      <c r="H475" s="8" t="s">
        <v>76</v>
      </c>
      <c r="I475" s="8" t="s">
        <v>43</v>
      </c>
      <c r="J475" s="8" t="s">
        <v>41</v>
      </c>
      <c r="K475" s="8" t="s">
        <v>5696</v>
      </c>
      <c r="L475" s="8" t="s">
        <v>110</v>
      </c>
      <c r="M475" s="11" t="s">
        <v>626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  <c r="T475" s="8">
        <v>0</v>
      </c>
      <c r="U475" s="8">
        <v>0</v>
      </c>
      <c r="V475" s="8">
        <v>0</v>
      </c>
      <c r="W475" s="8">
        <v>0</v>
      </c>
      <c r="X475" s="8">
        <v>0</v>
      </c>
      <c r="Y475" s="8">
        <v>0</v>
      </c>
      <c r="Z475" s="8">
        <v>0</v>
      </c>
      <c r="AA475" s="8">
        <v>0</v>
      </c>
      <c r="AB475" s="8">
        <v>0</v>
      </c>
      <c r="AC475" s="19">
        <f t="shared" si="42"/>
        <v>0</v>
      </c>
      <c r="AD475" s="19">
        <f t="shared" si="43"/>
        <v>0</v>
      </c>
      <c r="AE475" s="19">
        <f t="shared" si="44"/>
        <v>0</v>
      </c>
      <c r="AF475" s="19">
        <f t="shared" si="45"/>
        <v>0</v>
      </c>
      <c r="AG475" s="19">
        <f t="shared" si="46"/>
        <v>0</v>
      </c>
      <c r="AH475" s="19">
        <f t="shared" si="47"/>
        <v>0</v>
      </c>
    </row>
    <row r="476" spans="1:34">
      <c r="A476" s="8" t="s">
        <v>514</v>
      </c>
      <c r="B476" s="8" t="s">
        <v>3053</v>
      </c>
      <c r="C476" s="8" t="s">
        <v>107</v>
      </c>
      <c r="D476" s="8" t="s">
        <v>7</v>
      </c>
      <c r="E476" s="8" t="s">
        <v>80</v>
      </c>
      <c r="F476" s="8" t="s">
        <v>11</v>
      </c>
      <c r="G476" s="8" t="s">
        <v>3</v>
      </c>
      <c r="H476" s="8" t="s">
        <v>740</v>
      </c>
      <c r="I476" s="8" t="s">
        <v>41</v>
      </c>
      <c r="J476" s="8" t="s">
        <v>43</v>
      </c>
      <c r="K476" s="8" t="s">
        <v>41</v>
      </c>
      <c r="L476" s="8" t="s">
        <v>110</v>
      </c>
      <c r="M476" s="11" t="s">
        <v>4080</v>
      </c>
      <c r="N476" s="8">
        <v>83</v>
      </c>
      <c r="O476" s="8">
        <v>50</v>
      </c>
      <c r="P476" s="8">
        <v>33</v>
      </c>
      <c r="Q476" s="8">
        <v>19</v>
      </c>
      <c r="R476" s="8">
        <v>12</v>
      </c>
      <c r="S476" s="8">
        <v>17</v>
      </c>
      <c r="T476" s="8">
        <v>9</v>
      </c>
      <c r="U476" s="8">
        <v>16</v>
      </c>
      <c r="V476" s="8">
        <v>6</v>
      </c>
      <c r="W476" s="8">
        <v>9</v>
      </c>
      <c r="X476" s="8">
        <v>7</v>
      </c>
      <c r="Y476" s="8">
        <v>22</v>
      </c>
      <c r="Z476" s="8">
        <v>16</v>
      </c>
      <c r="AA476" s="8">
        <v>0</v>
      </c>
      <c r="AB476" s="8">
        <v>0</v>
      </c>
      <c r="AC476" s="19">
        <f t="shared" si="42"/>
        <v>7</v>
      </c>
      <c r="AD476" s="19">
        <f t="shared" si="43"/>
        <v>8</v>
      </c>
      <c r="AE476" s="19">
        <f t="shared" si="44"/>
        <v>10</v>
      </c>
      <c r="AF476" s="19">
        <f t="shared" si="45"/>
        <v>2</v>
      </c>
      <c r="AG476" s="19">
        <f t="shared" si="46"/>
        <v>6</v>
      </c>
      <c r="AH476" s="19">
        <f t="shared" si="47"/>
        <v>0</v>
      </c>
    </row>
    <row r="477" spans="1:34">
      <c r="A477" s="8" t="s">
        <v>513</v>
      </c>
      <c r="B477" s="8" t="s">
        <v>3055</v>
      </c>
      <c r="C477" s="8" t="s">
        <v>752</v>
      </c>
      <c r="D477" s="8" t="s">
        <v>4</v>
      </c>
      <c r="E477" s="8" t="s">
        <v>41</v>
      </c>
      <c r="F477" s="8" t="s">
        <v>5</v>
      </c>
      <c r="G477" s="8" t="s">
        <v>5</v>
      </c>
      <c r="H477" s="8" t="s">
        <v>161</v>
      </c>
      <c r="I477" s="8" t="s">
        <v>41</v>
      </c>
      <c r="J477" s="8" t="s">
        <v>41</v>
      </c>
      <c r="K477" s="8" t="s">
        <v>41</v>
      </c>
      <c r="L477" s="8" t="s">
        <v>110</v>
      </c>
      <c r="M477" s="11" t="s">
        <v>4081</v>
      </c>
      <c r="N477" s="8">
        <v>202</v>
      </c>
      <c r="O477" s="8">
        <v>110</v>
      </c>
      <c r="P477" s="8">
        <v>92</v>
      </c>
      <c r="Q477" s="8">
        <v>56</v>
      </c>
      <c r="R477" s="8">
        <v>30</v>
      </c>
      <c r="S477" s="8">
        <v>79</v>
      </c>
      <c r="T477" s="8">
        <v>41</v>
      </c>
      <c r="U477" s="8">
        <v>67</v>
      </c>
      <c r="V477" s="8">
        <v>39</v>
      </c>
      <c r="W477" s="8">
        <v>0</v>
      </c>
      <c r="X477" s="8">
        <v>0</v>
      </c>
      <c r="Y477" s="8">
        <v>0</v>
      </c>
      <c r="Z477" s="8">
        <v>0</v>
      </c>
      <c r="AA477" s="8">
        <v>0</v>
      </c>
      <c r="AB477" s="8">
        <v>0</v>
      </c>
      <c r="AC477" s="19">
        <f t="shared" si="42"/>
        <v>26</v>
      </c>
      <c r="AD477" s="19">
        <f t="shared" si="43"/>
        <v>38</v>
      </c>
      <c r="AE477" s="19">
        <f t="shared" si="44"/>
        <v>28</v>
      </c>
      <c r="AF477" s="19">
        <f t="shared" si="45"/>
        <v>0</v>
      </c>
      <c r="AG477" s="19">
        <f t="shared" si="46"/>
        <v>0</v>
      </c>
      <c r="AH477" s="19">
        <f t="shared" si="47"/>
        <v>0</v>
      </c>
    </row>
    <row r="478" spans="1:34">
      <c r="A478" s="8" t="s">
        <v>520</v>
      </c>
      <c r="B478" s="8" t="s">
        <v>3057</v>
      </c>
      <c r="C478" s="8" t="s">
        <v>752</v>
      </c>
      <c r="D478" s="8" t="s">
        <v>5</v>
      </c>
      <c r="E478" s="8" t="s">
        <v>41</v>
      </c>
      <c r="F478" s="8" t="s">
        <v>8</v>
      </c>
      <c r="G478" s="8" t="s">
        <v>5</v>
      </c>
      <c r="H478" s="8" t="s">
        <v>212</v>
      </c>
      <c r="I478" s="8" t="s">
        <v>41</v>
      </c>
      <c r="J478" s="8" t="s">
        <v>43</v>
      </c>
      <c r="K478" s="8" t="s">
        <v>41</v>
      </c>
      <c r="L478" s="8" t="s">
        <v>110</v>
      </c>
      <c r="M478" s="11" t="s">
        <v>3058</v>
      </c>
      <c r="N478" s="8">
        <v>60</v>
      </c>
      <c r="O478" s="8">
        <v>35</v>
      </c>
      <c r="P478" s="8">
        <v>25</v>
      </c>
      <c r="Q478" s="8">
        <v>11</v>
      </c>
      <c r="R478" s="8">
        <v>8</v>
      </c>
      <c r="S478" s="8">
        <v>21</v>
      </c>
      <c r="T478" s="8">
        <v>12</v>
      </c>
      <c r="U478" s="8">
        <v>7</v>
      </c>
      <c r="V478" s="8">
        <v>2</v>
      </c>
      <c r="W478" s="8">
        <v>21</v>
      </c>
      <c r="X478" s="8">
        <v>13</v>
      </c>
      <c r="Y478" s="8">
        <v>0</v>
      </c>
      <c r="Z478" s="8">
        <v>0</v>
      </c>
      <c r="AA478" s="8">
        <v>0</v>
      </c>
      <c r="AB478" s="8">
        <v>0</v>
      </c>
      <c r="AC478" s="19">
        <f t="shared" si="42"/>
        <v>3</v>
      </c>
      <c r="AD478" s="19">
        <f t="shared" si="43"/>
        <v>9</v>
      </c>
      <c r="AE478" s="19">
        <f t="shared" si="44"/>
        <v>5</v>
      </c>
      <c r="AF478" s="19">
        <f t="shared" si="45"/>
        <v>8</v>
      </c>
      <c r="AG478" s="19">
        <f t="shared" si="46"/>
        <v>0</v>
      </c>
      <c r="AH478" s="19">
        <f t="shared" si="47"/>
        <v>0</v>
      </c>
    </row>
    <row r="479" spans="1:34">
      <c r="A479" s="8" t="s">
        <v>587</v>
      </c>
      <c r="B479" s="8" t="s">
        <v>3059</v>
      </c>
      <c r="C479" s="8" t="s">
        <v>7</v>
      </c>
      <c r="D479" s="8" t="s">
        <v>8</v>
      </c>
      <c r="E479" s="8" t="s">
        <v>56</v>
      </c>
      <c r="F479" s="8" t="s">
        <v>5</v>
      </c>
      <c r="G479" s="8" t="s">
        <v>4</v>
      </c>
      <c r="H479" s="8" t="s">
        <v>732</v>
      </c>
      <c r="I479" s="8" t="s">
        <v>41</v>
      </c>
      <c r="J479" s="8" t="s">
        <v>41</v>
      </c>
      <c r="K479" s="8" t="s">
        <v>41</v>
      </c>
      <c r="L479" s="8" t="s">
        <v>110</v>
      </c>
      <c r="M479" s="11" t="s">
        <v>3060</v>
      </c>
      <c r="N479" s="8">
        <v>433</v>
      </c>
      <c r="O479" s="8">
        <v>211</v>
      </c>
      <c r="P479" s="8">
        <v>222</v>
      </c>
      <c r="Q479" s="8">
        <v>108</v>
      </c>
      <c r="R479" s="8">
        <v>56</v>
      </c>
      <c r="S479" s="8">
        <v>157</v>
      </c>
      <c r="T479" s="8">
        <v>76</v>
      </c>
      <c r="U479" s="8">
        <v>77</v>
      </c>
      <c r="V479" s="8">
        <v>39</v>
      </c>
      <c r="W479" s="8">
        <v>85</v>
      </c>
      <c r="X479" s="8">
        <v>37</v>
      </c>
      <c r="Y479" s="8">
        <v>6</v>
      </c>
      <c r="Z479" s="8">
        <v>3</v>
      </c>
      <c r="AA479" s="8">
        <v>0</v>
      </c>
      <c r="AB479" s="8">
        <v>0</v>
      </c>
      <c r="AC479" s="19">
        <f t="shared" si="42"/>
        <v>52</v>
      </c>
      <c r="AD479" s="19">
        <f t="shared" si="43"/>
        <v>81</v>
      </c>
      <c r="AE479" s="19">
        <f t="shared" si="44"/>
        <v>38</v>
      </c>
      <c r="AF479" s="19">
        <f t="shared" si="45"/>
        <v>48</v>
      </c>
      <c r="AG479" s="19">
        <f t="shared" si="46"/>
        <v>3</v>
      </c>
      <c r="AH479" s="19">
        <f t="shared" si="47"/>
        <v>0</v>
      </c>
    </row>
    <row r="480" spans="1:34">
      <c r="A480" s="8" t="s">
        <v>588</v>
      </c>
      <c r="B480" s="8" t="s">
        <v>3061</v>
      </c>
      <c r="C480" s="8" t="s">
        <v>7</v>
      </c>
      <c r="D480" s="8" t="s">
        <v>5</v>
      </c>
      <c r="E480" s="8" t="s">
        <v>56</v>
      </c>
      <c r="F480" s="8" t="s">
        <v>11</v>
      </c>
      <c r="G480" s="8" t="s">
        <v>4</v>
      </c>
      <c r="H480" s="8" t="s">
        <v>758</v>
      </c>
      <c r="I480" s="8" t="s">
        <v>41</v>
      </c>
      <c r="J480" s="8" t="s">
        <v>41</v>
      </c>
      <c r="K480" s="8" t="s">
        <v>41</v>
      </c>
      <c r="L480" s="8" t="s">
        <v>110</v>
      </c>
      <c r="M480" s="11" t="s">
        <v>3062</v>
      </c>
      <c r="N480" s="8">
        <v>26</v>
      </c>
      <c r="O480" s="8">
        <v>15</v>
      </c>
      <c r="P480" s="8">
        <v>11</v>
      </c>
      <c r="Q480" s="8">
        <v>0</v>
      </c>
      <c r="R480" s="8">
        <v>0</v>
      </c>
      <c r="S480" s="8">
        <v>11</v>
      </c>
      <c r="T480" s="8">
        <v>7</v>
      </c>
      <c r="U480" s="8">
        <v>2</v>
      </c>
      <c r="V480" s="8">
        <v>1</v>
      </c>
      <c r="W480" s="8">
        <v>7</v>
      </c>
      <c r="X480" s="8">
        <v>5</v>
      </c>
      <c r="Y480" s="8">
        <v>6</v>
      </c>
      <c r="Z480" s="8">
        <v>2</v>
      </c>
      <c r="AA480" s="8">
        <v>0</v>
      </c>
      <c r="AB480" s="8">
        <v>0</v>
      </c>
      <c r="AC480" s="19">
        <f t="shared" si="42"/>
        <v>0</v>
      </c>
      <c r="AD480" s="19">
        <f t="shared" si="43"/>
        <v>4</v>
      </c>
      <c r="AE480" s="19">
        <f t="shared" si="44"/>
        <v>1</v>
      </c>
      <c r="AF480" s="19">
        <f t="shared" si="45"/>
        <v>2</v>
      </c>
      <c r="AG480" s="19">
        <f t="shared" si="46"/>
        <v>4</v>
      </c>
      <c r="AH480" s="19">
        <f t="shared" si="47"/>
        <v>0</v>
      </c>
    </row>
    <row r="481" spans="1:34">
      <c r="A481" s="8" t="s">
        <v>913</v>
      </c>
      <c r="B481" s="8" t="s">
        <v>3063</v>
      </c>
      <c r="C481" s="8" t="s">
        <v>955</v>
      </c>
      <c r="D481" s="8" t="s">
        <v>3</v>
      </c>
      <c r="E481" s="8" t="s">
        <v>41</v>
      </c>
      <c r="F481" s="8" t="s">
        <v>7</v>
      </c>
      <c r="G481" s="8" t="s">
        <v>5</v>
      </c>
      <c r="H481" s="8" t="s">
        <v>117</v>
      </c>
      <c r="I481" s="8" t="s">
        <v>41</v>
      </c>
      <c r="J481" s="8" t="s">
        <v>43</v>
      </c>
      <c r="K481" s="8" t="s">
        <v>41</v>
      </c>
      <c r="L481" s="8" t="s">
        <v>110</v>
      </c>
      <c r="M481" s="11" t="s">
        <v>3064</v>
      </c>
      <c r="N481" s="8">
        <v>27</v>
      </c>
      <c r="O481" s="8">
        <v>19</v>
      </c>
      <c r="P481" s="8">
        <v>8</v>
      </c>
      <c r="Q481" s="8">
        <v>9</v>
      </c>
      <c r="R481" s="8">
        <v>6</v>
      </c>
      <c r="S481" s="8">
        <v>5</v>
      </c>
      <c r="T481" s="8">
        <v>3</v>
      </c>
      <c r="U481" s="8">
        <v>3</v>
      </c>
      <c r="V481" s="8">
        <v>2</v>
      </c>
      <c r="W481" s="8">
        <v>6</v>
      </c>
      <c r="X481" s="8">
        <v>5</v>
      </c>
      <c r="Y481" s="8">
        <v>4</v>
      </c>
      <c r="Z481" s="8">
        <v>3</v>
      </c>
      <c r="AA481" s="8">
        <v>0</v>
      </c>
      <c r="AB481" s="8">
        <v>0</v>
      </c>
      <c r="AC481" s="19">
        <f t="shared" si="42"/>
        <v>3</v>
      </c>
      <c r="AD481" s="19">
        <f t="shared" si="43"/>
        <v>2</v>
      </c>
      <c r="AE481" s="19">
        <f t="shared" si="44"/>
        <v>1</v>
      </c>
      <c r="AF481" s="19">
        <f t="shared" si="45"/>
        <v>1</v>
      </c>
      <c r="AG481" s="19">
        <f t="shared" si="46"/>
        <v>1</v>
      </c>
      <c r="AH481" s="19">
        <f t="shared" si="47"/>
        <v>0</v>
      </c>
    </row>
    <row r="482" spans="1:34">
      <c r="A482" s="8" t="s">
        <v>589</v>
      </c>
      <c r="B482" s="8" t="s">
        <v>3066</v>
      </c>
      <c r="C482" s="8" t="s">
        <v>11</v>
      </c>
      <c r="D482" s="8" t="s">
        <v>6</v>
      </c>
      <c r="E482" s="8" t="s">
        <v>126</v>
      </c>
      <c r="F482" s="8" t="s">
        <v>3</v>
      </c>
      <c r="G482" s="8" t="s">
        <v>5</v>
      </c>
      <c r="H482" s="8" t="s">
        <v>868</v>
      </c>
      <c r="I482" s="8" t="s">
        <v>41</v>
      </c>
      <c r="J482" s="8" t="s">
        <v>43</v>
      </c>
      <c r="K482" s="8" t="s">
        <v>41</v>
      </c>
      <c r="L482" s="8" t="s">
        <v>110</v>
      </c>
      <c r="M482" s="11" t="s">
        <v>3067</v>
      </c>
      <c r="N482" s="8">
        <v>7</v>
      </c>
      <c r="O482" s="8">
        <v>4</v>
      </c>
      <c r="P482" s="8">
        <v>3</v>
      </c>
      <c r="Q482" s="8">
        <v>0</v>
      </c>
      <c r="R482" s="8">
        <v>0</v>
      </c>
      <c r="S482" s="8">
        <v>0</v>
      </c>
      <c r="T482" s="8">
        <v>0</v>
      </c>
      <c r="U482" s="8">
        <v>0</v>
      </c>
      <c r="V482" s="8">
        <v>0</v>
      </c>
      <c r="W482" s="8">
        <v>4</v>
      </c>
      <c r="X482" s="8">
        <v>2</v>
      </c>
      <c r="Y482" s="8">
        <v>3</v>
      </c>
      <c r="Z482" s="8">
        <v>2</v>
      </c>
      <c r="AA482" s="8">
        <v>0</v>
      </c>
      <c r="AB482" s="8">
        <v>0</v>
      </c>
      <c r="AC482" s="19">
        <f t="shared" si="42"/>
        <v>0</v>
      </c>
      <c r="AD482" s="19">
        <f t="shared" si="43"/>
        <v>0</v>
      </c>
      <c r="AE482" s="19">
        <f t="shared" si="44"/>
        <v>0</v>
      </c>
      <c r="AF482" s="19">
        <f t="shared" si="45"/>
        <v>2</v>
      </c>
      <c r="AG482" s="19">
        <f t="shared" si="46"/>
        <v>1</v>
      </c>
      <c r="AH482" s="19">
        <f t="shared" si="47"/>
        <v>0</v>
      </c>
    </row>
    <row r="483" spans="1:34">
      <c r="A483" s="8" t="s">
        <v>590</v>
      </c>
      <c r="B483" s="8" t="s">
        <v>3069</v>
      </c>
      <c r="C483" s="8" t="s">
        <v>11</v>
      </c>
      <c r="D483" s="8" t="s">
        <v>3</v>
      </c>
      <c r="E483" s="8" t="s">
        <v>126</v>
      </c>
      <c r="F483" s="8" t="s">
        <v>13</v>
      </c>
      <c r="G483" s="8" t="s">
        <v>6</v>
      </c>
      <c r="H483" s="8" t="s">
        <v>791</v>
      </c>
      <c r="I483" s="8" t="s">
        <v>41</v>
      </c>
      <c r="J483" s="8" t="s">
        <v>43</v>
      </c>
      <c r="K483" s="8" t="s">
        <v>41</v>
      </c>
      <c r="L483" s="8" t="s">
        <v>110</v>
      </c>
      <c r="M483" s="11" t="s">
        <v>3070</v>
      </c>
      <c r="N483" s="8">
        <v>93</v>
      </c>
      <c r="O483" s="8">
        <v>53</v>
      </c>
      <c r="P483" s="8">
        <v>40</v>
      </c>
      <c r="Q483" s="8">
        <v>19</v>
      </c>
      <c r="R483" s="8">
        <v>13</v>
      </c>
      <c r="S483" s="8">
        <v>27</v>
      </c>
      <c r="T483" s="8">
        <v>17</v>
      </c>
      <c r="U483" s="8">
        <v>14</v>
      </c>
      <c r="V483" s="8">
        <v>5</v>
      </c>
      <c r="W483" s="8">
        <v>24</v>
      </c>
      <c r="X483" s="8">
        <v>13</v>
      </c>
      <c r="Y483" s="8">
        <v>9</v>
      </c>
      <c r="Z483" s="8">
        <v>5</v>
      </c>
      <c r="AA483" s="8">
        <v>0</v>
      </c>
      <c r="AB483" s="8">
        <v>0</v>
      </c>
      <c r="AC483" s="19">
        <f t="shared" si="42"/>
        <v>6</v>
      </c>
      <c r="AD483" s="19">
        <f t="shared" si="43"/>
        <v>10</v>
      </c>
      <c r="AE483" s="19">
        <f t="shared" si="44"/>
        <v>9</v>
      </c>
      <c r="AF483" s="19">
        <f t="shared" si="45"/>
        <v>11</v>
      </c>
      <c r="AG483" s="19">
        <f t="shared" si="46"/>
        <v>4</v>
      </c>
      <c r="AH483" s="19">
        <f t="shared" si="47"/>
        <v>0</v>
      </c>
    </row>
    <row r="484" spans="1:34">
      <c r="A484" s="8" t="s">
        <v>592</v>
      </c>
      <c r="B484" s="8" t="s">
        <v>3071</v>
      </c>
      <c r="C484" s="8" t="s">
        <v>18</v>
      </c>
      <c r="D484" s="8" t="s">
        <v>4</v>
      </c>
      <c r="E484" s="8" t="s">
        <v>80</v>
      </c>
      <c r="F484" s="8" t="s">
        <v>8</v>
      </c>
      <c r="G484" s="8" t="s">
        <v>4</v>
      </c>
      <c r="H484" s="8" t="s">
        <v>748</v>
      </c>
      <c r="I484" s="8" t="s">
        <v>41</v>
      </c>
      <c r="J484" s="8" t="s">
        <v>43</v>
      </c>
      <c r="K484" s="8" t="s">
        <v>41</v>
      </c>
      <c r="L484" s="8" t="s">
        <v>110</v>
      </c>
      <c r="M484" s="11" t="s">
        <v>3072</v>
      </c>
      <c r="N484" s="8">
        <v>13</v>
      </c>
      <c r="O484" s="8">
        <v>8</v>
      </c>
      <c r="P484" s="8">
        <v>5</v>
      </c>
      <c r="Q484" s="8">
        <v>2</v>
      </c>
      <c r="R484" s="8">
        <v>1</v>
      </c>
      <c r="S484" s="8">
        <v>4</v>
      </c>
      <c r="T484" s="8">
        <v>3</v>
      </c>
      <c r="U484" s="8">
        <v>3</v>
      </c>
      <c r="V484" s="8">
        <v>2</v>
      </c>
      <c r="W484" s="8">
        <v>1</v>
      </c>
      <c r="X484" s="8">
        <v>0</v>
      </c>
      <c r="Y484" s="8">
        <v>3</v>
      </c>
      <c r="Z484" s="8">
        <v>2</v>
      </c>
      <c r="AA484" s="8">
        <v>0</v>
      </c>
      <c r="AB484" s="8">
        <v>0</v>
      </c>
      <c r="AC484" s="19">
        <f t="shared" si="42"/>
        <v>1</v>
      </c>
      <c r="AD484" s="19">
        <f t="shared" si="43"/>
        <v>1</v>
      </c>
      <c r="AE484" s="19">
        <f t="shared" si="44"/>
        <v>1</v>
      </c>
      <c r="AF484" s="19">
        <f t="shared" si="45"/>
        <v>1</v>
      </c>
      <c r="AG484" s="19">
        <f t="shared" si="46"/>
        <v>1</v>
      </c>
      <c r="AH484" s="19">
        <f t="shared" si="47"/>
        <v>0</v>
      </c>
    </row>
    <row r="485" spans="1:34">
      <c r="A485" s="8" t="s">
        <v>593</v>
      </c>
      <c r="B485" s="8" t="s">
        <v>3074</v>
      </c>
      <c r="C485" s="8" t="s">
        <v>18</v>
      </c>
      <c r="D485" s="8" t="s">
        <v>4</v>
      </c>
      <c r="E485" s="8" t="s">
        <v>80</v>
      </c>
      <c r="F485" s="8" t="s">
        <v>8</v>
      </c>
      <c r="G485" s="8" t="s">
        <v>4</v>
      </c>
      <c r="H485" s="8" t="s">
        <v>510</v>
      </c>
      <c r="I485" s="8" t="s">
        <v>41</v>
      </c>
      <c r="J485" s="8" t="s">
        <v>43</v>
      </c>
      <c r="K485" s="8" t="s">
        <v>41</v>
      </c>
      <c r="L485" s="8" t="s">
        <v>110</v>
      </c>
      <c r="M485" s="11" t="s">
        <v>3075</v>
      </c>
      <c r="N485" s="8">
        <v>2</v>
      </c>
      <c r="O485" s="8">
        <v>2</v>
      </c>
      <c r="P485" s="8">
        <v>0</v>
      </c>
      <c r="Q485" s="8">
        <v>0</v>
      </c>
      <c r="R485" s="8">
        <v>0</v>
      </c>
      <c r="S485" s="8">
        <v>0</v>
      </c>
      <c r="T485" s="8">
        <v>0</v>
      </c>
      <c r="U485" s="8">
        <v>0</v>
      </c>
      <c r="V485" s="8">
        <v>0</v>
      </c>
      <c r="W485" s="8">
        <v>2</v>
      </c>
      <c r="X485" s="8">
        <v>2</v>
      </c>
      <c r="Y485" s="8">
        <v>0</v>
      </c>
      <c r="Z485" s="8">
        <v>0</v>
      </c>
      <c r="AA485" s="8">
        <v>0</v>
      </c>
      <c r="AB485" s="8">
        <v>0</v>
      </c>
      <c r="AC485" s="19">
        <f t="shared" si="42"/>
        <v>0</v>
      </c>
      <c r="AD485" s="19">
        <f t="shared" si="43"/>
        <v>0</v>
      </c>
      <c r="AE485" s="19">
        <f t="shared" si="44"/>
        <v>0</v>
      </c>
      <c r="AF485" s="19">
        <f t="shared" si="45"/>
        <v>0</v>
      </c>
      <c r="AG485" s="19">
        <f t="shared" si="46"/>
        <v>0</v>
      </c>
      <c r="AH485" s="19">
        <f t="shared" si="47"/>
        <v>0</v>
      </c>
    </row>
    <row r="486" spans="1:34">
      <c r="A486" s="8" t="s">
        <v>594</v>
      </c>
      <c r="B486" s="8" t="s">
        <v>3076</v>
      </c>
      <c r="C486" s="8" t="s">
        <v>18</v>
      </c>
      <c r="D486" s="8" t="s">
        <v>8</v>
      </c>
      <c r="E486" s="8" t="s">
        <v>80</v>
      </c>
      <c r="F486" s="8" t="s">
        <v>8</v>
      </c>
      <c r="G486" s="8" t="s">
        <v>3</v>
      </c>
      <c r="H486" s="8" t="s">
        <v>829</v>
      </c>
      <c r="I486" s="8" t="s">
        <v>41</v>
      </c>
      <c r="J486" s="8" t="s">
        <v>41</v>
      </c>
      <c r="K486" s="8" t="s">
        <v>5696</v>
      </c>
      <c r="L486" s="8" t="s">
        <v>110</v>
      </c>
      <c r="M486" s="11" t="s">
        <v>3077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  <c r="V486" s="8">
        <v>0</v>
      </c>
      <c r="W486" s="8">
        <v>0</v>
      </c>
      <c r="X486" s="8">
        <v>0</v>
      </c>
      <c r="Y486" s="8">
        <v>0</v>
      </c>
      <c r="Z486" s="8">
        <v>0</v>
      </c>
      <c r="AA486" s="8">
        <v>0</v>
      </c>
      <c r="AB486" s="8">
        <v>0</v>
      </c>
      <c r="AC486" s="19">
        <f t="shared" si="42"/>
        <v>0</v>
      </c>
      <c r="AD486" s="19">
        <f t="shared" si="43"/>
        <v>0</v>
      </c>
      <c r="AE486" s="19">
        <f t="shared" si="44"/>
        <v>0</v>
      </c>
      <c r="AF486" s="19">
        <f t="shared" si="45"/>
        <v>0</v>
      </c>
      <c r="AG486" s="19">
        <f t="shared" si="46"/>
        <v>0</v>
      </c>
      <c r="AH486" s="19">
        <f t="shared" si="47"/>
        <v>0</v>
      </c>
    </row>
    <row r="487" spans="1:34">
      <c r="A487" s="8" t="s">
        <v>596</v>
      </c>
      <c r="B487" s="8" t="s">
        <v>3079</v>
      </c>
      <c r="C487" s="8" t="s">
        <v>18</v>
      </c>
      <c r="D487" s="8" t="s">
        <v>3</v>
      </c>
      <c r="E487" s="8" t="s">
        <v>80</v>
      </c>
      <c r="F487" s="8" t="s">
        <v>8</v>
      </c>
      <c r="G487" s="8" t="s">
        <v>5</v>
      </c>
      <c r="H487" s="8" t="s">
        <v>3080</v>
      </c>
      <c r="I487" s="8" t="s">
        <v>41</v>
      </c>
      <c r="J487" s="8" t="s">
        <v>43</v>
      </c>
      <c r="K487" s="8" t="s">
        <v>41</v>
      </c>
      <c r="L487" s="8" t="s">
        <v>110</v>
      </c>
      <c r="M487" s="11" t="s">
        <v>5721</v>
      </c>
      <c r="N487" s="8">
        <v>52</v>
      </c>
      <c r="O487" s="8">
        <v>31</v>
      </c>
      <c r="P487" s="8">
        <v>21</v>
      </c>
      <c r="Q487" s="8">
        <v>15</v>
      </c>
      <c r="R487" s="8">
        <v>8</v>
      </c>
      <c r="S487" s="8">
        <v>13</v>
      </c>
      <c r="T487" s="8">
        <v>7</v>
      </c>
      <c r="U487" s="8">
        <v>10</v>
      </c>
      <c r="V487" s="8">
        <v>8</v>
      </c>
      <c r="W487" s="8">
        <v>11</v>
      </c>
      <c r="X487" s="8">
        <v>7</v>
      </c>
      <c r="Y487" s="8">
        <v>3</v>
      </c>
      <c r="Z487" s="8">
        <v>1</v>
      </c>
      <c r="AA487" s="8">
        <v>0</v>
      </c>
      <c r="AB487" s="8">
        <v>0</v>
      </c>
      <c r="AC487" s="19">
        <f t="shared" si="42"/>
        <v>7</v>
      </c>
      <c r="AD487" s="19">
        <f t="shared" si="43"/>
        <v>6</v>
      </c>
      <c r="AE487" s="19">
        <f t="shared" si="44"/>
        <v>2</v>
      </c>
      <c r="AF487" s="19">
        <f t="shared" si="45"/>
        <v>4</v>
      </c>
      <c r="AG487" s="19">
        <f t="shared" si="46"/>
        <v>2</v>
      </c>
      <c r="AH487" s="19">
        <f t="shared" si="47"/>
        <v>0</v>
      </c>
    </row>
    <row r="488" spans="1:34">
      <c r="A488" s="8" t="s">
        <v>597</v>
      </c>
      <c r="B488" s="8" t="s">
        <v>3081</v>
      </c>
      <c r="C488" s="8" t="s">
        <v>70</v>
      </c>
      <c r="D488" s="8" t="s">
        <v>8</v>
      </c>
      <c r="E488" s="8" t="s">
        <v>43</v>
      </c>
      <c r="F488" s="8" t="s">
        <v>4</v>
      </c>
      <c r="G488" s="8" t="s">
        <v>18</v>
      </c>
      <c r="H488" s="8" t="s">
        <v>730</v>
      </c>
      <c r="I488" s="8" t="s">
        <v>41</v>
      </c>
      <c r="J488" s="8" t="s">
        <v>43</v>
      </c>
      <c r="K488" s="8" t="s">
        <v>41</v>
      </c>
      <c r="L488" s="8" t="s">
        <v>110</v>
      </c>
      <c r="M488" s="11" t="s">
        <v>4082</v>
      </c>
      <c r="N488" s="8">
        <v>23</v>
      </c>
      <c r="O488" s="8">
        <v>14</v>
      </c>
      <c r="P488" s="8">
        <v>9</v>
      </c>
      <c r="Q488" s="8">
        <v>7</v>
      </c>
      <c r="R488" s="8">
        <v>3</v>
      </c>
      <c r="S488" s="8">
        <v>5</v>
      </c>
      <c r="T488" s="8">
        <v>5</v>
      </c>
      <c r="U488" s="8">
        <v>4</v>
      </c>
      <c r="V488" s="8">
        <v>3</v>
      </c>
      <c r="W488" s="8">
        <v>3</v>
      </c>
      <c r="X488" s="8">
        <v>1</v>
      </c>
      <c r="Y488" s="8">
        <v>4</v>
      </c>
      <c r="Z488" s="8">
        <v>2</v>
      </c>
      <c r="AA488" s="8">
        <v>0</v>
      </c>
      <c r="AB488" s="8">
        <v>0</v>
      </c>
      <c r="AC488" s="19">
        <f t="shared" si="42"/>
        <v>4</v>
      </c>
      <c r="AD488" s="19">
        <f t="shared" si="43"/>
        <v>0</v>
      </c>
      <c r="AE488" s="19">
        <f t="shared" si="44"/>
        <v>1</v>
      </c>
      <c r="AF488" s="19">
        <f t="shared" si="45"/>
        <v>2</v>
      </c>
      <c r="AG488" s="19">
        <f t="shared" si="46"/>
        <v>2</v>
      </c>
      <c r="AH488" s="19">
        <f t="shared" si="47"/>
        <v>0</v>
      </c>
    </row>
    <row r="489" spans="1:34">
      <c r="A489" s="8" t="s">
        <v>598</v>
      </c>
      <c r="B489" s="8" t="s">
        <v>3082</v>
      </c>
      <c r="C489" s="8" t="s">
        <v>118</v>
      </c>
      <c r="D489" s="8" t="s">
        <v>13</v>
      </c>
      <c r="E489" s="8" t="s">
        <v>41</v>
      </c>
      <c r="F489" s="8" t="s">
        <v>388</v>
      </c>
      <c r="G489" s="8" t="s">
        <v>3</v>
      </c>
      <c r="H489" s="8" t="s">
        <v>1183</v>
      </c>
      <c r="I489" s="8" t="s">
        <v>41</v>
      </c>
      <c r="J489" s="8" t="s">
        <v>41</v>
      </c>
      <c r="K489" s="8" t="s">
        <v>41</v>
      </c>
      <c r="L489" s="8" t="s">
        <v>110</v>
      </c>
      <c r="M489" s="11" t="s">
        <v>3083</v>
      </c>
      <c r="N489" s="8">
        <v>83</v>
      </c>
      <c r="O489" s="8">
        <v>53</v>
      </c>
      <c r="P489" s="8">
        <v>30</v>
      </c>
      <c r="Q489" s="8">
        <v>10</v>
      </c>
      <c r="R489" s="8">
        <v>5</v>
      </c>
      <c r="S489" s="8">
        <v>21</v>
      </c>
      <c r="T489" s="8">
        <v>15</v>
      </c>
      <c r="U489" s="8">
        <v>20</v>
      </c>
      <c r="V489" s="8">
        <v>12</v>
      </c>
      <c r="W489" s="8">
        <v>31</v>
      </c>
      <c r="X489" s="8">
        <v>20</v>
      </c>
      <c r="Y489" s="8">
        <v>1</v>
      </c>
      <c r="Z489" s="8">
        <v>1</v>
      </c>
      <c r="AA489" s="8">
        <v>0</v>
      </c>
      <c r="AB489" s="8">
        <v>0</v>
      </c>
      <c r="AC489" s="19">
        <f t="shared" si="42"/>
        <v>5</v>
      </c>
      <c r="AD489" s="19">
        <f t="shared" si="43"/>
        <v>6</v>
      </c>
      <c r="AE489" s="19">
        <f t="shared" si="44"/>
        <v>8</v>
      </c>
      <c r="AF489" s="19">
        <f t="shared" si="45"/>
        <v>11</v>
      </c>
      <c r="AG489" s="19">
        <f t="shared" si="46"/>
        <v>0</v>
      </c>
      <c r="AH489" s="19">
        <f t="shared" si="47"/>
        <v>0</v>
      </c>
    </row>
    <row r="490" spans="1:34">
      <c r="A490" s="8" t="s">
        <v>600</v>
      </c>
      <c r="B490" s="8" t="s">
        <v>3084</v>
      </c>
      <c r="C490" s="8" t="s">
        <v>70</v>
      </c>
      <c r="D490" s="8" t="s">
        <v>6</v>
      </c>
      <c r="E490" s="8" t="s">
        <v>43</v>
      </c>
      <c r="F490" s="8" t="s">
        <v>13</v>
      </c>
      <c r="G490" s="8" t="s">
        <v>12</v>
      </c>
      <c r="H490" s="8" t="s">
        <v>717</v>
      </c>
      <c r="I490" s="8" t="s">
        <v>41</v>
      </c>
      <c r="J490" s="8" t="s">
        <v>43</v>
      </c>
      <c r="K490" s="8" t="s">
        <v>41</v>
      </c>
      <c r="L490" s="8" t="s">
        <v>110</v>
      </c>
      <c r="M490" s="11" t="s">
        <v>3085</v>
      </c>
      <c r="N490" s="8">
        <v>55</v>
      </c>
      <c r="O490" s="8">
        <v>33</v>
      </c>
      <c r="P490" s="8">
        <v>22</v>
      </c>
      <c r="Q490" s="8">
        <v>14</v>
      </c>
      <c r="R490" s="8">
        <v>6</v>
      </c>
      <c r="S490" s="8">
        <v>13</v>
      </c>
      <c r="T490" s="8">
        <v>9</v>
      </c>
      <c r="U490" s="8">
        <v>9</v>
      </c>
      <c r="V490" s="8">
        <v>8</v>
      </c>
      <c r="W490" s="8">
        <v>15</v>
      </c>
      <c r="X490" s="8">
        <v>7</v>
      </c>
      <c r="Y490" s="8">
        <v>4</v>
      </c>
      <c r="Z490" s="8">
        <v>3</v>
      </c>
      <c r="AA490" s="8">
        <v>0</v>
      </c>
      <c r="AB490" s="8">
        <v>0</v>
      </c>
      <c r="AC490" s="19">
        <f t="shared" si="42"/>
        <v>8</v>
      </c>
      <c r="AD490" s="19">
        <f t="shared" si="43"/>
        <v>4</v>
      </c>
      <c r="AE490" s="19">
        <f t="shared" si="44"/>
        <v>1</v>
      </c>
      <c r="AF490" s="19">
        <f t="shared" si="45"/>
        <v>8</v>
      </c>
      <c r="AG490" s="19">
        <f t="shared" si="46"/>
        <v>1</v>
      </c>
      <c r="AH490" s="19">
        <f t="shared" si="47"/>
        <v>0</v>
      </c>
    </row>
    <row r="491" spans="1:34">
      <c r="A491" s="8" t="s">
        <v>1073</v>
      </c>
      <c r="B491" s="8" t="s">
        <v>3088</v>
      </c>
      <c r="C491" s="8" t="s">
        <v>70</v>
      </c>
      <c r="D491" s="8" t="s">
        <v>16</v>
      </c>
      <c r="E491" s="8" t="s">
        <v>43</v>
      </c>
      <c r="F491" s="8" t="s">
        <v>13</v>
      </c>
      <c r="G491" s="8" t="s">
        <v>13</v>
      </c>
      <c r="H491" s="8" t="s">
        <v>3090</v>
      </c>
      <c r="I491" s="8" t="s">
        <v>41</v>
      </c>
      <c r="J491" s="8" t="s">
        <v>43</v>
      </c>
      <c r="K491" s="8" t="s">
        <v>41</v>
      </c>
      <c r="L491" s="8" t="s">
        <v>110</v>
      </c>
      <c r="M491" s="11" t="s">
        <v>3089</v>
      </c>
      <c r="N491" s="8">
        <v>20</v>
      </c>
      <c r="O491" s="8">
        <v>17</v>
      </c>
      <c r="P491" s="8">
        <v>3</v>
      </c>
      <c r="Q491" s="8">
        <v>3</v>
      </c>
      <c r="R491" s="8">
        <v>2</v>
      </c>
      <c r="S491" s="8">
        <v>8</v>
      </c>
      <c r="T491" s="8">
        <v>8</v>
      </c>
      <c r="U491" s="8">
        <v>4</v>
      </c>
      <c r="V491" s="8">
        <v>3</v>
      </c>
      <c r="W491" s="8">
        <v>3</v>
      </c>
      <c r="X491" s="8">
        <v>3</v>
      </c>
      <c r="Y491" s="8">
        <v>2</v>
      </c>
      <c r="Z491" s="8">
        <v>1</v>
      </c>
      <c r="AA491" s="8">
        <v>0</v>
      </c>
      <c r="AB491" s="8">
        <v>0</v>
      </c>
      <c r="AC491" s="19">
        <f t="shared" si="42"/>
        <v>1</v>
      </c>
      <c r="AD491" s="19">
        <f t="shared" si="43"/>
        <v>0</v>
      </c>
      <c r="AE491" s="19">
        <f t="shared" si="44"/>
        <v>1</v>
      </c>
      <c r="AF491" s="19">
        <f t="shared" si="45"/>
        <v>0</v>
      </c>
      <c r="AG491" s="19">
        <f t="shared" si="46"/>
        <v>1</v>
      </c>
      <c r="AH491" s="19">
        <f t="shared" si="47"/>
        <v>0</v>
      </c>
    </row>
    <row r="492" spans="1:34">
      <c r="A492" s="8" t="s">
        <v>367</v>
      </c>
      <c r="B492" s="8" t="s">
        <v>1992</v>
      </c>
      <c r="C492" s="8" t="s">
        <v>9</v>
      </c>
      <c r="D492" s="8" t="s">
        <v>7</v>
      </c>
      <c r="E492" s="8" t="s">
        <v>110</v>
      </c>
      <c r="F492" s="8" t="s">
        <v>5</v>
      </c>
      <c r="G492" s="8" t="s">
        <v>3</v>
      </c>
      <c r="H492" s="8" t="s">
        <v>3093</v>
      </c>
      <c r="I492" s="8" t="s">
        <v>43</v>
      </c>
      <c r="J492" s="8" t="s">
        <v>41</v>
      </c>
      <c r="K492" s="8" t="s">
        <v>5696</v>
      </c>
      <c r="L492" s="8" t="s">
        <v>110</v>
      </c>
      <c r="M492" s="11" t="s">
        <v>3092</v>
      </c>
      <c r="N492" s="8">
        <v>10</v>
      </c>
      <c r="O492" s="8">
        <v>8</v>
      </c>
      <c r="P492" s="8">
        <v>2</v>
      </c>
      <c r="Q492" s="8">
        <v>0</v>
      </c>
      <c r="R492" s="8">
        <v>0</v>
      </c>
      <c r="S492" s="8">
        <v>1</v>
      </c>
      <c r="T492" s="8">
        <v>0</v>
      </c>
      <c r="U492" s="8">
        <v>0</v>
      </c>
      <c r="V492" s="8">
        <v>0</v>
      </c>
      <c r="W492" s="8">
        <v>7</v>
      </c>
      <c r="X492" s="8">
        <v>7</v>
      </c>
      <c r="Y492" s="8">
        <v>2</v>
      </c>
      <c r="Z492" s="8">
        <v>1</v>
      </c>
      <c r="AA492" s="8">
        <v>0</v>
      </c>
      <c r="AB492" s="8">
        <v>0</v>
      </c>
      <c r="AC492" s="19">
        <f t="shared" si="42"/>
        <v>0</v>
      </c>
      <c r="AD492" s="19">
        <f t="shared" si="43"/>
        <v>1</v>
      </c>
      <c r="AE492" s="19">
        <f t="shared" si="44"/>
        <v>0</v>
      </c>
      <c r="AF492" s="19">
        <f t="shared" si="45"/>
        <v>0</v>
      </c>
      <c r="AG492" s="19">
        <f t="shared" si="46"/>
        <v>1</v>
      </c>
      <c r="AH492" s="19">
        <f t="shared" si="47"/>
        <v>0</v>
      </c>
    </row>
    <row r="493" spans="1:34">
      <c r="A493" s="8" t="s">
        <v>310</v>
      </c>
      <c r="B493" s="8" t="s">
        <v>3096</v>
      </c>
      <c r="C493" s="8" t="s">
        <v>953</v>
      </c>
      <c r="D493" s="8" t="s">
        <v>7</v>
      </c>
      <c r="E493" s="8" t="s">
        <v>110</v>
      </c>
      <c r="F493" s="8" t="s">
        <v>13</v>
      </c>
      <c r="G493" s="8" t="s">
        <v>3</v>
      </c>
      <c r="H493" s="8" t="s">
        <v>781</v>
      </c>
      <c r="I493" s="8" t="s">
        <v>41</v>
      </c>
      <c r="J493" s="8" t="s">
        <v>43</v>
      </c>
      <c r="K493" s="8" t="s">
        <v>41</v>
      </c>
      <c r="L493" s="8" t="s">
        <v>110</v>
      </c>
      <c r="M493" s="11" t="s">
        <v>3097</v>
      </c>
      <c r="N493" s="8">
        <v>17</v>
      </c>
      <c r="O493" s="8">
        <v>14</v>
      </c>
      <c r="P493" s="8">
        <v>3</v>
      </c>
      <c r="Q493" s="8">
        <v>0</v>
      </c>
      <c r="R493" s="8">
        <v>0</v>
      </c>
      <c r="S493" s="8">
        <v>2</v>
      </c>
      <c r="T493" s="8">
        <v>2</v>
      </c>
      <c r="U493" s="8">
        <v>4</v>
      </c>
      <c r="V493" s="8">
        <v>1</v>
      </c>
      <c r="W493" s="8">
        <v>5</v>
      </c>
      <c r="X493" s="8">
        <v>5</v>
      </c>
      <c r="Y493" s="8">
        <v>6</v>
      </c>
      <c r="Z493" s="8">
        <v>6</v>
      </c>
      <c r="AA493" s="8">
        <v>0</v>
      </c>
      <c r="AB493" s="8">
        <v>0</v>
      </c>
      <c r="AC493" s="19">
        <f t="shared" si="42"/>
        <v>0</v>
      </c>
      <c r="AD493" s="19">
        <f t="shared" si="43"/>
        <v>0</v>
      </c>
      <c r="AE493" s="19">
        <f t="shared" si="44"/>
        <v>3</v>
      </c>
      <c r="AF493" s="19">
        <f t="shared" si="45"/>
        <v>0</v>
      </c>
      <c r="AG493" s="19">
        <f t="shared" si="46"/>
        <v>0</v>
      </c>
      <c r="AH493" s="19">
        <f t="shared" si="47"/>
        <v>0</v>
      </c>
    </row>
    <row r="494" spans="1:34">
      <c r="A494" s="8" t="s">
        <v>931</v>
      </c>
      <c r="B494" s="8" t="s">
        <v>3100</v>
      </c>
      <c r="C494" s="8" t="s">
        <v>12</v>
      </c>
      <c r="D494" s="8" t="s">
        <v>4</v>
      </c>
      <c r="E494" s="8" t="s">
        <v>126</v>
      </c>
      <c r="F494" s="8" t="s">
        <v>4</v>
      </c>
      <c r="G494" s="8" t="s">
        <v>9</v>
      </c>
      <c r="H494" s="8" t="s">
        <v>777</v>
      </c>
      <c r="I494" s="8" t="s">
        <v>41</v>
      </c>
      <c r="J494" s="8" t="s">
        <v>43</v>
      </c>
      <c r="K494" s="8" t="s">
        <v>41</v>
      </c>
      <c r="L494" s="8" t="s">
        <v>110</v>
      </c>
      <c r="M494" s="11" t="s">
        <v>3101</v>
      </c>
      <c r="N494" s="8">
        <v>37</v>
      </c>
      <c r="O494" s="8">
        <v>19</v>
      </c>
      <c r="P494" s="8">
        <v>18</v>
      </c>
      <c r="Q494" s="8">
        <v>9</v>
      </c>
      <c r="R494" s="8">
        <v>2</v>
      </c>
      <c r="S494" s="8">
        <v>1</v>
      </c>
      <c r="T494" s="8">
        <v>1</v>
      </c>
      <c r="U494" s="8">
        <v>9</v>
      </c>
      <c r="V494" s="8">
        <v>7</v>
      </c>
      <c r="W494" s="8">
        <v>17</v>
      </c>
      <c r="X494" s="8">
        <v>8</v>
      </c>
      <c r="Y494" s="8">
        <v>1</v>
      </c>
      <c r="Z494" s="8">
        <v>1</v>
      </c>
      <c r="AA494" s="8">
        <v>0</v>
      </c>
      <c r="AB494" s="8">
        <v>0</v>
      </c>
      <c r="AC494" s="19">
        <f t="shared" si="42"/>
        <v>7</v>
      </c>
      <c r="AD494" s="19">
        <f t="shared" si="43"/>
        <v>0</v>
      </c>
      <c r="AE494" s="19">
        <f t="shared" si="44"/>
        <v>2</v>
      </c>
      <c r="AF494" s="19">
        <f t="shared" si="45"/>
        <v>9</v>
      </c>
      <c r="AG494" s="19">
        <f t="shared" si="46"/>
        <v>0</v>
      </c>
      <c r="AH494" s="19">
        <f t="shared" si="47"/>
        <v>0</v>
      </c>
    </row>
    <row r="495" spans="1:34">
      <c r="A495" s="8" t="s">
        <v>347</v>
      </c>
      <c r="B495" s="8" t="s">
        <v>3103</v>
      </c>
      <c r="C495" s="8" t="s">
        <v>6</v>
      </c>
      <c r="D495" s="8" t="s">
        <v>6</v>
      </c>
      <c r="E495" s="8" t="s">
        <v>43</v>
      </c>
      <c r="F495" s="8" t="s">
        <v>17</v>
      </c>
      <c r="G495" s="8" t="s">
        <v>7</v>
      </c>
      <c r="H495" s="8" t="s">
        <v>94</v>
      </c>
      <c r="I495" s="8" t="s">
        <v>41</v>
      </c>
      <c r="J495" s="8" t="s">
        <v>43</v>
      </c>
      <c r="K495" s="8" t="s">
        <v>41</v>
      </c>
      <c r="L495" s="8" t="s">
        <v>110</v>
      </c>
      <c r="M495" s="11" t="s">
        <v>3104</v>
      </c>
      <c r="N495" s="8">
        <v>17</v>
      </c>
      <c r="O495" s="8">
        <v>9</v>
      </c>
      <c r="P495" s="8">
        <v>8</v>
      </c>
      <c r="Q495" s="8">
        <v>0</v>
      </c>
      <c r="R495" s="8">
        <v>0</v>
      </c>
      <c r="S495" s="8">
        <v>6</v>
      </c>
      <c r="T495" s="8">
        <v>4</v>
      </c>
      <c r="U495" s="8">
        <v>6</v>
      </c>
      <c r="V495" s="8">
        <v>2</v>
      </c>
      <c r="W495" s="8">
        <v>5</v>
      </c>
      <c r="X495" s="8">
        <v>3</v>
      </c>
      <c r="Y495" s="8">
        <v>0</v>
      </c>
      <c r="Z495" s="8">
        <v>0</v>
      </c>
      <c r="AA495" s="8">
        <v>0</v>
      </c>
      <c r="AB495" s="8">
        <v>0</v>
      </c>
      <c r="AC495" s="19">
        <f t="shared" si="42"/>
        <v>0</v>
      </c>
      <c r="AD495" s="19">
        <f t="shared" si="43"/>
        <v>2</v>
      </c>
      <c r="AE495" s="19">
        <f t="shared" si="44"/>
        <v>4</v>
      </c>
      <c r="AF495" s="19">
        <f t="shared" si="45"/>
        <v>2</v>
      </c>
      <c r="AG495" s="19">
        <f t="shared" si="46"/>
        <v>0</v>
      </c>
      <c r="AH495" s="19">
        <f t="shared" si="47"/>
        <v>0</v>
      </c>
    </row>
    <row r="496" spans="1:34">
      <c r="A496" s="8" t="s">
        <v>4757</v>
      </c>
      <c r="B496" s="8" t="s">
        <v>4758</v>
      </c>
      <c r="C496" s="8" t="s">
        <v>6</v>
      </c>
      <c r="D496" s="8" t="s">
        <v>6</v>
      </c>
      <c r="E496" s="8" t="s">
        <v>43</v>
      </c>
      <c r="F496" s="8" t="s">
        <v>17</v>
      </c>
      <c r="G496" s="8" t="s">
        <v>5</v>
      </c>
      <c r="H496" s="8" t="s">
        <v>4767</v>
      </c>
      <c r="I496" s="8" t="s">
        <v>41</v>
      </c>
      <c r="J496" s="8" t="s">
        <v>43</v>
      </c>
      <c r="K496" s="8" t="s">
        <v>41</v>
      </c>
      <c r="L496" s="8" t="s">
        <v>110</v>
      </c>
      <c r="M496" s="11" t="s">
        <v>5680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8">
        <v>0</v>
      </c>
      <c r="W496" s="8">
        <v>0</v>
      </c>
      <c r="X496" s="8">
        <v>0</v>
      </c>
      <c r="Y496" s="8">
        <v>0</v>
      </c>
      <c r="Z496" s="8">
        <v>0</v>
      </c>
      <c r="AA496" s="8">
        <v>0</v>
      </c>
      <c r="AB496" s="8">
        <v>0</v>
      </c>
      <c r="AC496" s="19">
        <f t="shared" si="42"/>
        <v>0</v>
      </c>
      <c r="AD496" s="19">
        <f t="shared" si="43"/>
        <v>0</v>
      </c>
      <c r="AE496" s="19">
        <f t="shared" si="44"/>
        <v>0</v>
      </c>
      <c r="AF496" s="19">
        <f t="shared" si="45"/>
        <v>0</v>
      </c>
      <c r="AG496" s="19">
        <f t="shared" si="46"/>
        <v>0</v>
      </c>
      <c r="AH496" s="19">
        <f t="shared" si="47"/>
        <v>0</v>
      </c>
    </row>
    <row r="497" spans="1:34">
      <c r="A497" s="8" t="s">
        <v>345</v>
      </c>
      <c r="B497" s="8" t="s">
        <v>3105</v>
      </c>
      <c r="C497" s="8" t="s">
        <v>18</v>
      </c>
      <c r="D497" s="8" t="s">
        <v>5</v>
      </c>
      <c r="E497" s="8" t="s">
        <v>80</v>
      </c>
      <c r="F497" s="8" t="s">
        <v>12</v>
      </c>
      <c r="G497" s="8" t="s">
        <v>3</v>
      </c>
      <c r="H497" s="8" t="s">
        <v>175</v>
      </c>
      <c r="I497" s="8" t="s">
        <v>41</v>
      </c>
      <c r="J497" s="8" t="s">
        <v>41</v>
      </c>
      <c r="K497" s="8" t="s">
        <v>41</v>
      </c>
      <c r="L497" s="8" t="s">
        <v>110</v>
      </c>
      <c r="M497" s="11" t="s">
        <v>3106</v>
      </c>
      <c r="N497" s="8">
        <v>4</v>
      </c>
      <c r="O497" s="8">
        <v>3</v>
      </c>
      <c r="P497" s="8">
        <v>1</v>
      </c>
      <c r="Q497" s="8">
        <v>1</v>
      </c>
      <c r="R497" s="8">
        <v>1</v>
      </c>
      <c r="S497" s="8">
        <v>1</v>
      </c>
      <c r="T497" s="8">
        <v>1</v>
      </c>
      <c r="U497" s="8">
        <v>1</v>
      </c>
      <c r="V497" s="8">
        <v>1</v>
      </c>
      <c r="W497" s="8">
        <v>1</v>
      </c>
      <c r="X497" s="8">
        <v>0</v>
      </c>
      <c r="Y497" s="8">
        <v>0</v>
      </c>
      <c r="Z497" s="8">
        <v>0</v>
      </c>
      <c r="AA497" s="8">
        <v>0</v>
      </c>
      <c r="AB497" s="8">
        <v>0</v>
      </c>
      <c r="AC497" s="19">
        <f t="shared" si="42"/>
        <v>0</v>
      </c>
      <c r="AD497" s="19">
        <f t="shared" si="43"/>
        <v>0</v>
      </c>
      <c r="AE497" s="19">
        <f t="shared" si="44"/>
        <v>0</v>
      </c>
      <c r="AF497" s="19">
        <f t="shared" si="45"/>
        <v>1</v>
      </c>
      <c r="AG497" s="19">
        <f t="shared" si="46"/>
        <v>0</v>
      </c>
      <c r="AH497" s="19">
        <f t="shared" si="47"/>
        <v>0</v>
      </c>
    </row>
    <row r="498" spans="1:34">
      <c r="A498" s="8" t="s">
        <v>351</v>
      </c>
      <c r="B498" s="8" t="s">
        <v>3108</v>
      </c>
      <c r="C498" s="8" t="s">
        <v>954</v>
      </c>
      <c r="D498" s="8" t="s">
        <v>18</v>
      </c>
      <c r="E498" s="8" t="s">
        <v>80</v>
      </c>
      <c r="F498" s="8" t="s">
        <v>5</v>
      </c>
      <c r="G498" s="8" t="s">
        <v>5</v>
      </c>
      <c r="H498" s="8" t="s">
        <v>5706</v>
      </c>
      <c r="I498" s="8" t="s">
        <v>41</v>
      </c>
      <c r="J498" s="8" t="s">
        <v>43</v>
      </c>
      <c r="K498" s="8" t="s">
        <v>41</v>
      </c>
      <c r="L498" s="8" t="s">
        <v>110</v>
      </c>
      <c r="M498" s="11" t="s">
        <v>3109</v>
      </c>
      <c r="N498" s="8">
        <v>18</v>
      </c>
      <c r="O498" s="8">
        <v>16</v>
      </c>
      <c r="P498" s="8">
        <v>2</v>
      </c>
      <c r="Q498" s="8">
        <v>3</v>
      </c>
      <c r="R498" s="8">
        <v>3</v>
      </c>
      <c r="S498" s="8">
        <v>1</v>
      </c>
      <c r="T498" s="8">
        <v>1</v>
      </c>
      <c r="U498" s="8">
        <v>6</v>
      </c>
      <c r="V498" s="8">
        <v>5</v>
      </c>
      <c r="W498" s="8">
        <v>5</v>
      </c>
      <c r="X498" s="8">
        <v>4</v>
      </c>
      <c r="Y498" s="8">
        <v>3</v>
      </c>
      <c r="Z498" s="8">
        <v>3</v>
      </c>
      <c r="AA498" s="8">
        <v>0</v>
      </c>
      <c r="AB498" s="8">
        <v>0</v>
      </c>
      <c r="AC498" s="19">
        <f t="shared" si="42"/>
        <v>0</v>
      </c>
      <c r="AD498" s="19">
        <f t="shared" si="43"/>
        <v>0</v>
      </c>
      <c r="AE498" s="19">
        <f t="shared" si="44"/>
        <v>1</v>
      </c>
      <c r="AF498" s="19">
        <f t="shared" si="45"/>
        <v>1</v>
      </c>
      <c r="AG498" s="19">
        <f t="shared" si="46"/>
        <v>0</v>
      </c>
      <c r="AH498" s="19">
        <f t="shared" si="47"/>
        <v>0</v>
      </c>
    </row>
    <row r="499" spans="1:34">
      <c r="A499" s="8" t="s">
        <v>1068</v>
      </c>
      <c r="B499" s="8" t="s">
        <v>1992</v>
      </c>
      <c r="C499" s="8" t="s">
        <v>957</v>
      </c>
      <c r="D499" s="8" t="s">
        <v>6</v>
      </c>
      <c r="E499" s="8" t="s">
        <v>41</v>
      </c>
      <c r="F499" s="8" t="s">
        <v>12</v>
      </c>
      <c r="G499" s="8" t="s">
        <v>3</v>
      </c>
      <c r="H499" s="8" t="s">
        <v>3112</v>
      </c>
      <c r="I499" s="8" t="s">
        <v>43</v>
      </c>
      <c r="J499" s="8" t="s">
        <v>41</v>
      </c>
      <c r="K499" s="8" t="s">
        <v>5696</v>
      </c>
      <c r="L499" s="8" t="s">
        <v>110</v>
      </c>
      <c r="M499" s="11" t="s">
        <v>1901</v>
      </c>
      <c r="N499" s="8">
        <v>5</v>
      </c>
      <c r="O499" s="8">
        <v>2</v>
      </c>
      <c r="P499" s="8">
        <v>3</v>
      </c>
      <c r="Q499" s="8">
        <v>2</v>
      </c>
      <c r="R499" s="8">
        <v>1</v>
      </c>
      <c r="S499" s="8">
        <v>1</v>
      </c>
      <c r="T499" s="8">
        <v>0</v>
      </c>
      <c r="U499" s="8">
        <v>1</v>
      </c>
      <c r="V499" s="8">
        <v>0</v>
      </c>
      <c r="W499" s="8">
        <v>0</v>
      </c>
      <c r="X499" s="8">
        <v>0</v>
      </c>
      <c r="Y499" s="8">
        <v>1</v>
      </c>
      <c r="Z499" s="8">
        <v>1</v>
      </c>
      <c r="AA499" s="8">
        <v>0</v>
      </c>
      <c r="AB499" s="8">
        <v>0</v>
      </c>
      <c r="AC499" s="19">
        <f t="shared" si="42"/>
        <v>1</v>
      </c>
      <c r="AD499" s="19">
        <f t="shared" si="43"/>
        <v>1</v>
      </c>
      <c r="AE499" s="19">
        <f t="shared" si="44"/>
        <v>1</v>
      </c>
      <c r="AF499" s="19">
        <f t="shared" si="45"/>
        <v>0</v>
      </c>
      <c r="AG499" s="19">
        <f t="shared" si="46"/>
        <v>0</v>
      </c>
      <c r="AH499" s="19">
        <f t="shared" si="47"/>
        <v>0</v>
      </c>
    </row>
    <row r="500" spans="1:34">
      <c r="A500" s="8" t="s">
        <v>1767</v>
      </c>
      <c r="B500" s="8" t="s">
        <v>1992</v>
      </c>
      <c r="C500" s="8" t="s">
        <v>304</v>
      </c>
      <c r="D500" s="8" t="s">
        <v>3</v>
      </c>
      <c r="E500" s="8" t="s">
        <v>68</v>
      </c>
      <c r="F500" s="8" t="s">
        <v>3</v>
      </c>
      <c r="G500" s="8" t="s">
        <v>3</v>
      </c>
      <c r="H500" s="8" t="s">
        <v>5707</v>
      </c>
      <c r="I500" s="8" t="s">
        <v>43</v>
      </c>
      <c r="J500" s="8" t="s">
        <v>41</v>
      </c>
      <c r="K500" s="8" t="s">
        <v>5696</v>
      </c>
      <c r="L500" s="8" t="s">
        <v>110</v>
      </c>
      <c r="M500" s="11" t="s">
        <v>5485</v>
      </c>
      <c r="N500" s="8">
        <v>0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8">
        <v>0</v>
      </c>
      <c r="W500" s="8">
        <v>0</v>
      </c>
      <c r="X500" s="8">
        <v>0</v>
      </c>
      <c r="Y500" s="8">
        <v>0</v>
      </c>
      <c r="Z500" s="8">
        <v>0</v>
      </c>
      <c r="AA500" s="8">
        <v>0</v>
      </c>
      <c r="AB500" s="8">
        <v>0</v>
      </c>
      <c r="AC500" s="19">
        <f t="shared" si="42"/>
        <v>0</v>
      </c>
      <c r="AD500" s="19">
        <f t="shared" si="43"/>
        <v>0</v>
      </c>
      <c r="AE500" s="19">
        <f t="shared" si="44"/>
        <v>0</v>
      </c>
      <c r="AF500" s="19">
        <f t="shared" si="45"/>
        <v>0</v>
      </c>
      <c r="AG500" s="19">
        <f t="shared" si="46"/>
        <v>0</v>
      </c>
      <c r="AH500" s="19">
        <f t="shared" si="47"/>
        <v>0</v>
      </c>
    </row>
    <row r="501" spans="1:34">
      <c r="A501" s="8" t="s">
        <v>312</v>
      </c>
      <c r="B501" s="8" t="s">
        <v>3113</v>
      </c>
      <c r="C501" s="8" t="s">
        <v>304</v>
      </c>
      <c r="D501" s="8" t="s">
        <v>7</v>
      </c>
      <c r="E501" s="8" t="s">
        <v>68</v>
      </c>
      <c r="F501" s="8" t="s">
        <v>5</v>
      </c>
      <c r="G501" s="8" t="s">
        <v>9</v>
      </c>
      <c r="H501" s="8" t="s">
        <v>3115</v>
      </c>
      <c r="I501" s="8" t="s">
        <v>41</v>
      </c>
      <c r="J501" s="8" t="s">
        <v>41</v>
      </c>
      <c r="K501" s="8" t="s">
        <v>41</v>
      </c>
      <c r="L501" s="8" t="s">
        <v>110</v>
      </c>
      <c r="M501" s="11" t="s">
        <v>3114</v>
      </c>
      <c r="N501" s="8">
        <v>7</v>
      </c>
      <c r="O501" s="8">
        <v>3</v>
      </c>
      <c r="P501" s="8">
        <v>4</v>
      </c>
      <c r="Q501" s="8">
        <v>1</v>
      </c>
      <c r="R501" s="8">
        <v>0</v>
      </c>
      <c r="S501" s="8">
        <v>0</v>
      </c>
      <c r="T501" s="8">
        <v>0</v>
      </c>
      <c r="U501" s="8">
        <v>0</v>
      </c>
      <c r="V501" s="8">
        <v>0</v>
      </c>
      <c r="W501" s="8">
        <v>3</v>
      </c>
      <c r="X501" s="8">
        <v>2</v>
      </c>
      <c r="Y501" s="8">
        <v>3</v>
      </c>
      <c r="Z501" s="8">
        <v>1</v>
      </c>
      <c r="AA501" s="8">
        <v>0</v>
      </c>
      <c r="AB501" s="8">
        <v>0</v>
      </c>
      <c r="AC501" s="19">
        <f t="shared" si="42"/>
        <v>1</v>
      </c>
      <c r="AD501" s="19">
        <f t="shared" si="43"/>
        <v>0</v>
      </c>
      <c r="AE501" s="19">
        <f t="shared" si="44"/>
        <v>0</v>
      </c>
      <c r="AF501" s="19">
        <f t="shared" si="45"/>
        <v>1</v>
      </c>
      <c r="AG501" s="19">
        <f t="shared" si="46"/>
        <v>2</v>
      </c>
      <c r="AH501" s="19">
        <f t="shared" si="47"/>
        <v>0</v>
      </c>
    </row>
    <row r="502" spans="1:34">
      <c r="A502" s="8" t="s">
        <v>602</v>
      </c>
      <c r="B502" s="8" t="s">
        <v>3116</v>
      </c>
      <c r="C502" s="8" t="s">
        <v>304</v>
      </c>
      <c r="D502" s="8" t="s">
        <v>6</v>
      </c>
      <c r="E502" s="8" t="s">
        <v>68</v>
      </c>
      <c r="F502" s="8" t="s">
        <v>5</v>
      </c>
      <c r="G502" s="8" t="s">
        <v>3</v>
      </c>
      <c r="H502" s="8" t="s">
        <v>3118</v>
      </c>
      <c r="I502" s="8" t="s">
        <v>41</v>
      </c>
      <c r="J502" s="8" t="s">
        <v>41</v>
      </c>
      <c r="K502" s="8" t="s">
        <v>41</v>
      </c>
      <c r="L502" s="8" t="s">
        <v>110</v>
      </c>
      <c r="M502" s="11" t="s">
        <v>3117</v>
      </c>
      <c r="N502" s="8">
        <v>69</v>
      </c>
      <c r="O502" s="8">
        <v>41</v>
      </c>
      <c r="P502" s="8">
        <v>28</v>
      </c>
      <c r="Q502" s="8">
        <v>9</v>
      </c>
      <c r="R502" s="8">
        <v>7</v>
      </c>
      <c r="S502" s="8">
        <v>22</v>
      </c>
      <c r="T502" s="8">
        <v>13</v>
      </c>
      <c r="U502" s="8">
        <v>16</v>
      </c>
      <c r="V502" s="8">
        <v>8</v>
      </c>
      <c r="W502" s="8">
        <v>16</v>
      </c>
      <c r="X502" s="8">
        <v>8</v>
      </c>
      <c r="Y502" s="8">
        <v>6</v>
      </c>
      <c r="Z502" s="8">
        <v>5</v>
      </c>
      <c r="AA502" s="8">
        <v>0</v>
      </c>
      <c r="AB502" s="8">
        <v>0</v>
      </c>
      <c r="AC502" s="19">
        <f t="shared" si="42"/>
        <v>2</v>
      </c>
      <c r="AD502" s="19">
        <f t="shared" si="43"/>
        <v>9</v>
      </c>
      <c r="AE502" s="19">
        <f t="shared" si="44"/>
        <v>8</v>
      </c>
      <c r="AF502" s="19">
        <f t="shared" si="45"/>
        <v>8</v>
      </c>
      <c r="AG502" s="19">
        <f t="shared" si="46"/>
        <v>1</v>
      </c>
      <c r="AH502" s="19">
        <f t="shared" si="47"/>
        <v>0</v>
      </c>
    </row>
    <row r="503" spans="1:34">
      <c r="A503" s="8" t="s">
        <v>603</v>
      </c>
      <c r="B503" s="8" t="s">
        <v>3120</v>
      </c>
      <c r="C503" s="8" t="s">
        <v>959</v>
      </c>
      <c r="D503" s="8" t="s">
        <v>7</v>
      </c>
      <c r="E503" s="8" t="s">
        <v>68</v>
      </c>
      <c r="F503" s="8" t="s">
        <v>3</v>
      </c>
      <c r="G503" s="8" t="s">
        <v>4</v>
      </c>
      <c r="H503" s="8" t="s">
        <v>5708</v>
      </c>
      <c r="I503" s="8" t="s">
        <v>41</v>
      </c>
      <c r="J503" s="8" t="s">
        <v>43</v>
      </c>
      <c r="K503" s="8" t="s">
        <v>41</v>
      </c>
      <c r="L503" s="8" t="s">
        <v>110</v>
      </c>
      <c r="M503" s="11" t="s">
        <v>5632</v>
      </c>
      <c r="N503" s="8">
        <v>107</v>
      </c>
      <c r="O503" s="8">
        <v>54</v>
      </c>
      <c r="P503" s="8">
        <v>53</v>
      </c>
      <c r="Q503" s="8">
        <v>34</v>
      </c>
      <c r="R503" s="8">
        <v>13</v>
      </c>
      <c r="S503" s="8">
        <v>25</v>
      </c>
      <c r="T503" s="8">
        <v>8</v>
      </c>
      <c r="U503" s="8">
        <v>21</v>
      </c>
      <c r="V503" s="8">
        <v>17</v>
      </c>
      <c r="W503" s="8">
        <v>15</v>
      </c>
      <c r="X503" s="8">
        <v>5</v>
      </c>
      <c r="Y503" s="8">
        <v>12</v>
      </c>
      <c r="Z503" s="8">
        <v>11</v>
      </c>
      <c r="AA503" s="8">
        <v>0</v>
      </c>
      <c r="AB503" s="8">
        <v>0</v>
      </c>
      <c r="AC503" s="19">
        <f t="shared" si="42"/>
        <v>21</v>
      </c>
      <c r="AD503" s="19">
        <f t="shared" si="43"/>
        <v>17</v>
      </c>
      <c r="AE503" s="19">
        <f t="shared" si="44"/>
        <v>4</v>
      </c>
      <c r="AF503" s="19">
        <f t="shared" si="45"/>
        <v>10</v>
      </c>
      <c r="AG503" s="19">
        <f t="shared" si="46"/>
        <v>1</v>
      </c>
      <c r="AH503" s="19">
        <f t="shared" si="47"/>
        <v>0</v>
      </c>
    </row>
    <row r="504" spans="1:34">
      <c r="A504" s="8" t="s">
        <v>604</v>
      </c>
      <c r="B504" s="8" t="s">
        <v>3122</v>
      </c>
      <c r="C504" s="8" t="s">
        <v>107</v>
      </c>
      <c r="D504" s="8" t="s">
        <v>118</v>
      </c>
      <c r="E504" s="8" t="s">
        <v>80</v>
      </c>
      <c r="F504" s="8" t="s">
        <v>9</v>
      </c>
      <c r="G504" s="8" t="s">
        <v>6</v>
      </c>
      <c r="H504" s="8" t="s">
        <v>4226</v>
      </c>
      <c r="I504" s="8" t="s">
        <v>41</v>
      </c>
      <c r="J504" s="8" t="s">
        <v>43</v>
      </c>
      <c r="K504" s="8" t="s">
        <v>41</v>
      </c>
      <c r="L504" s="8" t="s">
        <v>110</v>
      </c>
      <c r="M504" s="11" t="s">
        <v>4083</v>
      </c>
      <c r="N504" s="8">
        <v>30</v>
      </c>
      <c r="O504" s="8">
        <v>21</v>
      </c>
      <c r="P504" s="8">
        <v>9</v>
      </c>
      <c r="Q504" s="8">
        <v>2</v>
      </c>
      <c r="R504" s="8">
        <v>2</v>
      </c>
      <c r="S504" s="8">
        <v>8</v>
      </c>
      <c r="T504" s="8">
        <v>6</v>
      </c>
      <c r="U504" s="8">
        <v>7</v>
      </c>
      <c r="V504" s="8">
        <v>4</v>
      </c>
      <c r="W504" s="8">
        <v>10</v>
      </c>
      <c r="X504" s="8">
        <v>8</v>
      </c>
      <c r="Y504" s="8">
        <v>3</v>
      </c>
      <c r="Z504" s="8">
        <v>1</v>
      </c>
      <c r="AA504" s="8">
        <v>0</v>
      </c>
      <c r="AB504" s="8">
        <v>0</v>
      </c>
      <c r="AC504" s="19">
        <f t="shared" si="42"/>
        <v>0</v>
      </c>
      <c r="AD504" s="19">
        <f t="shared" si="43"/>
        <v>2</v>
      </c>
      <c r="AE504" s="19">
        <f t="shared" si="44"/>
        <v>3</v>
      </c>
      <c r="AF504" s="19">
        <f t="shared" si="45"/>
        <v>2</v>
      </c>
      <c r="AG504" s="19">
        <f t="shared" si="46"/>
        <v>2</v>
      </c>
      <c r="AH504" s="19">
        <f t="shared" si="47"/>
        <v>0</v>
      </c>
    </row>
    <row r="505" spans="1:34">
      <c r="A505" s="8" t="s">
        <v>605</v>
      </c>
      <c r="B505" s="8" t="s">
        <v>3123</v>
      </c>
      <c r="C505" s="8" t="s">
        <v>8</v>
      </c>
      <c r="D505" s="8" t="s">
        <v>8</v>
      </c>
      <c r="E505" s="8" t="s">
        <v>56</v>
      </c>
      <c r="F505" s="8" t="s">
        <v>7</v>
      </c>
      <c r="G505" s="8" t="s">
        <v>17</v>
      </c>
      <c r="H505" s="8" t="s">
        <v>3125</v>
      </c>
      <c r="I505" s="8" t="s">
        <v>41</v>
      </c>
      <c r="J505" s="8" t="s">
        <v>43</v>
      </c>
      <c r="K505" s="8" t="s">
        <v>41</v>
      </c>
      <c r="L505" s="8" t="s">
        <v>110</v>
      </c>
      <c r="M505" s="11" t="s">
        <v>3124</v>
      </c>
      <c r="N505" s="8">
        <v>110</v>
      </c>
      <c r="O505" s="8">
        <v>57</v>
      </c>
      <c r="P505" s="8">
        <v>53</v>
      </c>
      <c r="Q505" s="8">
        <v>31</v>
      </c>
      <c r="R505" s="8">
        <v>16</v>
      </c>
      <c r="S505" s="8">
        <v>30</v>
      </c>
      <c r="T505" s="8">
        <v>12</v>
      </c>
      <c r="U505" s="8">
        <v>14</v>
      </c>
      <c r="V505" s="8">
        <v>7</v>
      </c>
      <c r="W505" s="8">
        <v>23</v>
      </c>
      <c r="X505" s="8">
        <v>15</v>
      </c>
      <c r="Y505" s="8">
        <v>12</v>
      </c>
      <c r="Z505" s="8">
        <v>7</v>
      </c>
      <c r="AA505" s="8">
        <v>0</v>
      </c>
      <c r="AB505" s="8">
        <v>0</v>
      </c>
      <c r="AC505" s="19">
        <f t="shared" si="42"/>
        <v>15</v>
      </c>
      <c r="AD505" s="19">
        <f t="shared" si="43"/>
        <v>18</v>
      </c>
      <c r="AE505" s="19">
        <f t="shared" si="44"/>
        <v>7</v>
      </c>
      <c r="AF505" s="19">
        <f t="shared" si="45"/>
        <v>8</v>
      </c>
      <c r="AG505" s="19">
        <f t="shared" si="46"/>
        <v>5</v>
      </c>
      <c r="AH505" s="19">
        <f t="shared" si="47"/>
        <v>0</v>
      </c>
    </row>
    <row r="506" spans="1:34">
      <c r="A506" s="8" t="s">
        <v>936</v>
      </c>
      <c r="B506" s="8" t="s">
        <v>3127</v>
      </c>
      <c r="C506" s="8" t="s">
        <v>958</v>
      </c>
      <c r="D506" s="8" t="s">
        <v>4</v>
      </c>
      <c r="E506" s="8" t="s">
        <v>80</v>
      </c>
      <c r="F506" s="8" t="s">
        <v>3</v>
      </c>
      <c r="G506" s="8" t="s">
        <v>16</v>
      </c>
      <c r="H506" s="8" t="s">
        <v>497</v>
      </c>
      <c r="I506" s="8" t="s">
        <v>41</v>
      </c>
      <c r="J506" s="8" t="s">
        <v>43</v>
      </c>
      <c r="K506" s="8" t="s">
        <v>5696</v>
      </c>
      <c r="L506" s="8" t="s">
        <v>110</v>
      </c>
      <c r="M506" s="11" t="s">
        <v>4874</v>
      </c>
      <c r="N506" s="8">
        <v>47</v>
      </c>
      <c r="O506" s="8">
        <v>29</v>
      </c>
      <c r="P506" s="8">
        <v>18</v>
      </c>
      <c r="Q506" s="8">
        <v>0</v>
      </c>
      <c r="R506" s="8">
        <v>0</v>
      </c>
      <c r="S506" s="8">
        <v>43</v>
      </c>
      <c r="T506" s="8">
        <v>27</v>
      </c>
      <c r="U506" s="8">
        <v>0</v>
      </c>
      <c r="V506" s="8">
        <v>0</v>
      </c>
      <c r="W506" s="8">
        <v>3</v>
      </c>
      <c r="X506" s="8">
        <v>1</v>
      </c>
      <c r="Y506" s="8">
        <v>1</v>
      </c>
      <c r="Z506" s="8">
        <v>1</v>
      </c>
      <c r="AA506" s="8">
        <v>0</v>
      </c>
      <c r="AB506" s="8">
        <v>0</v>
      </c>
      <c r="AC506" s="19">
        <f t="shared" si="42"/>
        <v>0</v>
      </c>
      <c r="AD506" s="19">
        <f t="shared" si="43"/>
        <v>16</v>
      </c>
      <c r="AE506" s="19">
        <f t="shared" si="44"/>
        <v>0</v>
      </c>
      <c r="AF506" s="19">
        <f t="shared" si="45"/>
        <v>2</v>
      </c>
      <c r="AG506" s="19">
        <f t="shared" si="46"/>
        <v>0</v>
      </c>
      <c r="AH506" s="19">
        <f t="shared" si="47"/>
        <v>0</v>
      </c>
    </row>
    <row r="507" spans="1:34">
      <c r="A507" s="8" t="s">
        <v>914</v>
      </c>
      <c r="B507" s="8" t="s">
        <v>3129</v>
      </c>
      <c r="C507" s="8" t="s">
        <v>953</v>
      </c>
      <c r="D507" s="8" t="s">
        <v>4</v>
      </c>
      <c r="E507" s="8" t="s">
        <v>110</v>
      </c>
      <c r="F507" s="8" t="s">
        <v>13</v>
      </c>
      <c r="G507" s="8" t="s">
        <v>5</v>
      </c>
      <c r="H507" s="8" t="s">
        <v>783</v>
      </c>
      <c r="I507" s="8" t="s">
        <v>41</v>
      </c>
      <c r="J507" s="8" t="s">
        <v>43</v>
      </c>
      <c r="K507" s="8" t="s">
        <v>41</v>
      </c>
      <c r="L507" s="8" t="s">
        <v>110</v>
      </c>
      <c r="M507" s="11" t="s">
        <v>3130</v>
      </c>
      <c r="N507" s="8">
        <v>68</v>
      </c>
      <c r="O507" s="8">
        <v>40</v>
      </c>
      <c r="P507" s="8">
        <v>28</v>
      </c>
      <c r="Q507" s="8">
        <v>16</v>
      </c>
      <c r="R507" s="8">
        <v>13</v>
      </c>
      <c r="S507" s="8">
        <v>9</v>
      </c>
      <c r="T507" s="8">
        <v>6</v>
      </c>
      <c r="U507" s="8">
        <v>20</v>
      </c>
      <c r="V507" s="8">
        <v>6</v>
      </c>
      <c r="W507" s="8">
        <v>14</v>
      </c>
      <c r="X507" s="8">
        <v>8</v>
      </c>
      <c r="Y507" s="8">
        <v>9</v>
      </c>
      <c r="Z507" s="8">
        <v>7</v>
      </c>
      <c r="AA507" s="8">
        <v>0</v>
      </c>
      <c r="AB507" s="8">
        <v>0</v>
      </c>
      <c r="AC507" s="19">
        <f t="shared" si="42"/>
        <v>3</v>
      </c>
      <c r="AD507" s="19">
        <f t="shared" si="43"/>
        <v>3</v>
      </c>
      <c r="AE507" s="19">
        <f t="shared" si="44"/>
        <v>14</v>
      </c>
      <c r="AF507" s="19">
        <f t="shared" si="45"/>
        <v>6</v>
      </c>
      <c r="AG507" s="19">
        <f t="shared" si="46"/>
        <v>2</v>
      </c>
      <c r="AH507" s="19">
        <f t="shared" si="47"/>
        <v>0</v>
      </c>
    </row>
    <row r="508" spans="1:34">
      <c r="A508" s="8" t="s">
        <v>606</v>
      </c>
      <c r="B508" s="8" t="s">
        <v>3132</v>
      </c>
      <c r="C508" s="8" t="s">
        <v>953</v>
      </c>
      <c r="D508" s="8" t="s">
        <v>6</v>
      </c>
      <c r="E508" s="8" t="s">
        <v>110</v>
      </c>
      <c r="F508" s="8" t="s">
        <v>13</v>
      </c>
      <c r="G508" s="8" t="s">
        <v>5</v>
      </c>
      <c r="H508" s="8" t="s">
        <v>3133</v>
      </c>
      <c r="I508" s="8" t="s">
        <v>41</v>
      </c>
      <c r="J508" s="8" t="s">
        <v>43</v>
      </c>
      <c r="K508" s="8" t="s">
        <v>41</v>
      </c>
      <c r="L508" s="8" t="s">
        <v>110</v>
      </c>
      <c r="M508" s="11" t="s">
        <v>4084</v>
      </c>
      <c r="N508" s="8">
        <v>7</v>
      </c>
      <c r="O508" s="8">
        <v>5</v>
      </c>
      <c r="P508" s="8">
        <v>2</v>
      </c>
      <c r="Q508" s="8">
        <v>0</v>
      </c>
      <c r="R508" s="8">
        <v>0</v>
      </c>
      <c r="S508" s="8">
        <v>0</v>
      </c>
      <c r="T508" s="8">
        <v>0</v>
      </c>
      <c r="U508" s="8">
        <v>4</v>
      </c>
      <c r="V508" s="8">
        <v>3</v>
      </c>
      <c r="W508" s="8">
        <v>3</v>
      </c>
      <c r="X508" s="8">
        <v>2</v>
      </c>
      <c r="Y508" s="8">
        <v>0</v>
      </c>
      <c r="Z508" s="8">
        <v>0</v>
      </c>
      <c r="AA508" s="8">
        <v>0</v>
      </c>
      <c r="AB508" s="8">
        <v>0</v>
      </c>
      <c r="AC508" s="19">
        <f t="shared" si="42"/>
        <v>0</v>
      </c>
      <c r="AD508" s="19">
        <f t="shared" si="43"/>
        <v>0</v>
      </c>
      <c r="AE508" s="19">
        <f t="shared" si="44"/>
        <v>1</v>
      </c>
      <c r="AF508" s="19">
        <f t="shared" si="45"/>
        <v>1</v>
      </c>
      <c r="AG508" s="19">
        <f t="shared" si="46"/>
        <v>0</v>
      </c>
      <c r="AH508" s="19">
        <f t="shared" si="47"/>
        <v>0</v>
      </c>
    </row>
    <row r="509" spans="1:34">
      <c r="A509" s="8" t="s">
        <v>607</v>
      </c>
      <c r="B509" s="8" t="s">
        <v>3134</v>
      </c>
      <c r="C509" s="8" t="s">
        <v>304</v>
      </c>
      <c r="D509" s="8" t="s">
        <v>11</v>
      </c>
      <c r="E509" s="8" t="s">
        <v>68</v>
      </c>
      <c r="F509" s="8" t="s">
        <v>6</v>
      </c>
      <c r="G509" s="8" t="s">
        <v>4</v>
      </c>
      <c r="H509" s="8" t="s">
        <v>851</v>
      </c>
      <c r="I509" s="8" t="s">
        <v>41</v>
      </c>
      <c r="J509" s="8" t="s">
        <v>43</v>
      </c>
      <c r="K509" s="8" t="s">
        <v>41</v>
      </c>
      <c r="L509" s="8" t="s">
        <v>110</v>
      </c>
      <c r="M509" s="11" t="s">
        <v>5633</v>
      </c>
      <c r="N509" s="8">
        <v>5</v>
      </c>
      <c r="O509" s="8">
        <v>1</v>
      </c>
      <c r="P509" s="8">
        <v>4</v>
      </c>
      <c r="Q509" s="8">
        <v>0</v>
      </c>
      <c r="R509" s="8">
        <v>0</v>
      </c>
      <c r="S509" s="8">
        <v>0</v>
      </c>
      <c r="T509" s="8">
        <v>0</v>
      </c>
      <c r="U509" s="8">
        <v>1</v>
      </c>
      <c r="V509" s="8">
        <v>0</v>
      </c>
      <c r="W509" s="8">
        <v>1</v>
      </c>
      <c r="X509" s="8">
        <v>0</v>
      </c>
      <c r="Y509" s="8">
        <v>3</v>
      </c>
      <c r="Z509" s="8">
        <v>1</v>
      </c>
      <c r="AA509" s="8">
        <v>0</v>
      </c>
      <c r="AB509" s="8">
        <v>0</v>
      </c>
      <c r="AC509" s="19">
        <f t="shared" si="42"/>
        <v>0</v>
      </c>
      <c r="AD509" s="19">
        <f t="shared" si="43"/>
        <v>0</v>
      </c>
      <c r="AE509" s="19">
        <f t="shared" si="44"/>
        <v>1</v>
      </c>
      <c r="AF509" s="19">
        <f t="shared" si="45"/>
        <v>1</v>
      </c>
      <c r="AG509" s="19">
        <f t="shared" si="46"/>
        <v>2</v>
      </c>
      <c r="AH509" s="19">
        <f t="shared" si="47"/>
        <v>0</v>
      </c>
    </row>
    <row r="510" spans="1:34">
      <c r="A510" s="8" t="s">
        <v>608</v>
      </c>
      <c r="B510" s="8" t="s">
        <v>3135</v>
      </c>
      <c r="C510" s="8" t="s">
        <v>70</v>
      </c>
      <c r="D510" s="8" t="s">
        <v>12</v>
      </c>
      <c r="E510" s="8" t="s">
        <v>43</v>
      </c>
      <c r="F510" s="8" t="s">
        <v>118</v>
      </c>
      <c r="G510" s="8" t="s">
        <v>3</v>
      </c>
      <c r="H510" s="8" t="s">
        <v>116</v>
      </c>
      <c r="I510" s="8" t="s">
        <v>41</v>
      </c>
      <c r="J510" s="8" t="s">
        <v>43</v>
      </c>
      <c r="K510" s="8" t="s">
        <v>41</v>
      </c>
      <c r="L510" s="8" t="s">
        <v>110</v>
      </c>
      <c r="M510" s="11" t="s">
        <v>3136</v>
      </c>
      <c r="N510" s="8">
        <v>15</v>
      </c>
      <c r="O510" s="8">
        <v>10</v>
      </c>
      <c r="P510" s="8">
        <v>5</v>
      </c>
      <c r="Q510" s="8">
        <v>3</v>
      </c>
      <c r="R510" s="8">
        <v>2</v>
      </c>
      <c r="S510" s="8">
        <v>2</v>
      </c>
      <c r="T510" s="8">
        <v>2</v>
      </c>
      <c r="U510" s="8">
        <v>7</v>
      </c>
      <c r="V510" s="8">
        <v>5</v>
      </c>
      <c r="W510" s="8">
        <v>3</v>
      </c>
      <c r="X510" s="8">
        <v>1</v>
      </c>
      <c r="Y510" s="8">
        <v>0</v>
      </c>
      <c r="Z510" s="8">
        <v>0</v>
      </c>
      <c r="AA510" s="8">
        <v>0</v>
      </c>
      <c r="AB510" s="8">
        <v>0</v>
      </c>
      <c r="AC510" s="19">
        <f t="shared" ref="AC510:AC573" si="48">+Q510-R510</f>
        <v>1</v>
      </c>
      <c r="AD510" s="19">
        <f t="shared" ref="AD510:AD573" si="49">+S510-T510</f>
        <v>0</v>
      </c>
      <c r="AE510" s="19">
        <f t="shared" ref="AE510:AE573" si="50">+U510-V510</f>
        <v>2</v>
      </c>
      <c r="AF510" s="19">
        <f t="shared" ref="AF510:AF573" si="51">+W510-X510</f>
        <v>2</v>
      </c>
      <c r="AG510" s="19">
        <f t="shared" ref="AG510:AG573" si="52">+Y510-Z510</f>
        <v>0</v>
      </c>
      <c r="AH510" s="19">
        <f t="shared" ref="AH510:AH573" si="53">+AA510-AB510</f>
        <v>0</v>
      </c>
    </row>
    <row r="511" spans="1:34">
      <c r="A511" s="8" t="s">
        <v>127</v>
      </c>
      <c r="B511" s="8" t="s">
        <v>3137</v>
      </c>
      <c r="C511" s="8" t="s">
        <v>107</v>
      </c>
      <c r="D511" s="8" t="s">
        <v>118</v>
      </c>
      <c r="E511" s="8" t="s">
        <v>80</v>
      </c>
      <c r="F511" s="8" t="s">
        <v>9</v>
      </c>
      <c r="G511" s="8" t="s">
        <v>6</v>
      </c>
      <c r="H511" s="8" t="s">
        <v>833</v>
      </c>
      <c r="I511" s="8" t="s">
        <v>41</v>
      </c>
      <c r="J511" s="8" t="s">
        <v>43</v>
      </c>
      <c r="K511" s="8" t="s">
        <v>41</v>
      </c>
      <c r="L511" s="8" t="s">
        <v>110</v>
      </c>
      <c r="M511" s="11" t="s">
        <v>3508</v>
      </c>
      <c r="N511" s="8">
        <v>6</v>
      </c>
      <c r="O511" s="8">
        <v>5</v>
      </c>
      <c r="P511" s="8">
        <v>1</v>
      </c>
      <c r="Q511" s="8">
        <v>0</v>
      </c>
      <c r="R511" s="8">
        <v>0</v>
      </c>
      <c r="S511" s="8">
        <v>0</v>
      </c>
      <c r="T511" s="8">
        <v>0</v>
      </c>
      <c r="U511" s="8">
        <v>2</v>
      </c>
      <c r="V511" s="8">
        <v>2</v>
      </c>
      <c r="W511" s="8">
        <v>2</v>
      </c>
      <c r="X511" s="8">
        <v>1</v>
      </c>
      <c r="Y511" s="8">
        <v>2</v>
      </c>
      <c r="Z511" s="8">
        <v>2</v>
      </c>
      <c r="AA511" s="8">
        <v>0</v>
      </c>
      <c r="AB511" s="8">
        <v>0</v>
      </c>
      <c r="AC511" s="19">
        <f t="shared" si="48"/>
        <v>0</v>
      </c>
      <c r="AD511" s="19">
        <f t="shared" si="49"/>
        <v>0</v>
      </c>
      <c r="AE511" s="19">
        <f t="shared" si="50"/>
        <v>0</v>
      </c>
      <c r="AF511" s="19">
        <f t="shared" si="51"/>
        <v>1</v>
      </c>
      <c r="AG511" s="19">
        <f t="shared" si="52"/>
        <v>0</v>
      </c>
      <c r="AH511" s="19">
        <f t="shared" si="53"/>
        <v>0</v>
      </c>
    </row>
    <row r="512" spans="1:34">
      <c r="A512" s="8" t="s">
        <v>358</v>
      </c>
      <c r="B512" s="8" t="s">
        <v>3138</v>
      </c>
      <c r="C512" s="8" t="s">
        <v>6</v>
      </c>
      <c r="D512" s="8" t="s">
        <v>5</v>
      </c>
      <c r="E512" s="8" t="s">
        <v>43</v>
      </c>
      <c r="F512" s="8" t="s">
        <v>4</v>
      </c>
      <c r="G512" s="8" t="s">
        <v>17</v>
      </c>
      <c r="H512" s="8" t="s">
        <v>132</v>
      </c>
      <c r="I512" s="8" t="s">
        <v>41</v>
      </c>
      <c r="J512" s="8" t="s">
        <v>43</v>
      </c>
      <c r="K512" s="8" t="s">
        <v>41</v>
      </c>
      <c r="L512" s="8" t="s">
        <v>110</v>
      </c>
      <c r="M512" s="11" t="s">
        <v>4085</v>
      </c>
      <c r="N512" s="8">
        <v>1</v>
      </c>
      <c r="O512" s="8">
        <v>1</v>
      </c>
      <c r="P512" s="8">
        <v>0</v>
      </c>
      <c r="Q512" s="8">
        <v>0</v>
      </c>
      <c r="R512" s="8">
        <v>0</v>
      </c>
      <c r="S512" s="8">
        <v>1</v>
      </c>
      <c r="T512" s="8">
        <v>1</v>
      </c>
      <c r="U512" s="8">
        <v>0</v>
      </c>
      <c r="V512" s="8">
        <v>0</v>
      </c>
      <c r="W512" s="8">
        <v>0</v>
      </c>
      <c r="X512" s="8">
        <v>0</v>
      </c>
      <c r="Y512" s="8">
        <v>0</v>
      </c>
      <c r="Z512" s="8">
        <v>0</v>
      </c>
      <c r="AA512" s="8">
        <v>0</v>
      </c>
      <c r="AB512" s="8">
        <v>0</v>
      </c>
      <c r="AC512" s="19">
        <f t="shared" si="48"/>
        <v>0</v>
      </c>
      <c r="AD512" s="19">
        <f t="shared" si="49"/>
        <v>0</v>
      </c>
      <c r="AE512" s="19">
        <f t="shared" si="50"/>
        <v>0</v>
      </c>
      <c r="AF512" s="19">
        <f t="shared" si="51"/>
        <v>0</v>
      </c>
      <c r="AG512" s="19">
        <f t="shared" si="52"/>
        <v>0</v>
      </c>
      <c r="AH512" s="19">
        <f t="shared" si="53"/>
        <v>0</v>
      </c>
    </row>
    <row r="513" spans="1:34">
      <c r="A513" s="8" t="s">
        <v>930</v>
      </c>
      <c r="B513" s="8" t="s">
        <v>3139</v>
      </c>
      <c r="C513" s="8" t="s">
        <v>304</v>
      </c>
      <c r="D513" s="8" t="s">
        <v>4</v>
      </c>
      <c r="E513" s="8" t="s">
        <v>68</v>
      </c>
      <c r="F513" s="8" t="s">
        <v>3</v>
      </c>
      <c r="G513" s="8" t="s">
        <v>6</v>
      </c>
      <c r="H513" s="8" t="s">
        <v>716</v>
      </c>
      <c r="I513" s="8" t="s">
        <v>41</v>
      </c>
      <c r="J513" s="8" t="s">
        <v>43</v>
      </c>
      <c r="K513" s="8" t="s">
        <v>41</v>
      </c>
      <c r="L513" s="8" t="s">
        <v>110</v>
      </c>
      <c r="M513" s="11" t="s">
        <v>3140</v>
      </c>
      <c r="N513" s="8">
        <v>2</v>
      </c>
      <c r="O513" s="8">
        <v>1</v>
      </c>
      <c r="P513" s="8">
        <v>1</v>
      </c>
      <c r="Q513" s="8">
        <v>0</v>
      </c>
      <c r="R513" s="8">
        <v>0</v>
      </c>
      <c r="S513" s="8">
        <v>2</v>
      </c>
      <c r="T513" s="8">
        <v>1</v>
      </c>
      <c r="U513" s="8">
        <v>0</v>
      </c>
      <c r="V513" s="8">
        <v>0</v>
      </c>
      <c r="W513" s="8">
        <v>0</v>
      </c>
      <c r="X513" s="8">
        <v>0</v>
      </c>
      <c r="Y513" s="8">
        <v>0</v>
      </c>
      <c r="Z513" s="8">
        <v>0</v>
      </c>
      <c r="AA513" s="8">
        <v>0</v>
      </c>
      <c r="AB513" s="8">
        <v>0</v>
      </c>
      <c r="AC513" s="19">
        <f t="shared" si="48"/>
        <v>0</v>
      </c>
      <c r="AD513" s="19">
        <f t="shared" si="49"/>
        <v>1</v>
      </c>
      <c r="AE513" s="19">
        <f t="shared" si="50"/>
        <v>0</v>
      </c>
      <c r="AF513" s="19">
        <f t="shared" si="51"/>
        <v>0</v>
      </c>
      <c r="AG513" s="19">
        <f t="shared" si="52"/>
        <v>0</v>
      </c>
      <c r="AH513" s="19">
        <f t="shared" si="53"/>
        <v>0</v>
      </c>
    </row>
    <row r="514" spans="1:34">
      <c r="A514" s="8" t="s">
        <v>245</v>
      </c>
      <c r="B514" s="8" t="s">
        <v>1992</v>
      </c>
      <c r="C514" s="8" t="s">
        <v>8</v>
      </c>
      <c r="D514" s="8" t="s">
        <v>4</v>
      </c>
      <c r="E514" s="8" t="s">
        <v>56</v>
      </c>
      <c r="F514" s="8" t="s">
        <v>7</v>
      </c>
      <c r="G514" s="8" t="s">
        <v>3</v>
      </c>
      <c r="H514" s="8" t="s">
        <v>767</v>
      </c>
      <c r="I514" s="8" t="s">
        <v>43</v>
      </c>
      <c r="J514" s="8" t="s">
        <v>41</v>
      </c>
      <c r="K514" s="8" t="s">
        <v>5696</v>
      </c>
      <c r="L514" s="8" t="s">
        <v>110</v>
      </c>
      <c r="M514" s="11" t="s">
        <v>4699</v>
      </c>
      <c r="N514" s="8">
        <v>1</v>
      </c>
      <c r="O514" s="8">
        <v>0</v>
      </c>
      <c r="P514" s="8">
        <v>1</v>
      </c>
      <c r="Q514" s="8">
        <v>0</v>
      </c>
      <c r="R514" s="8">
        <v>0</v>
      </c>
      <c r="S514" s="8">
        <v>0</v>
      </c>
      <c r="T514" s="8">
        <v>0</v>
      </c>
      <c r="U514" s="8">
        <v>0</v>
      </c>
      <c r="V514" s="8">
        <v>0</v>
      </c>
      <c r="W514" s="8">
        <v>1</v>
      </c>
      <c r="X514" s="8">
        <v>0</v>
      </c>
      <c r="Y514" s="8">
        <v>0</v>
      </c>
      <c r="Z514" s="8">
        <v>0</v>
      </c>
      <c r="AA514" s="8">
        <v>0</v>
      </c>
      <c r="AB514" s="8">
        <v>0</v>
      </c>
      <c r="AC514" s="19">
        <f t="shared" si="48"/>
        <v>0</v>
      </c>
      <c r="AD514" s="19">
        <f t="shared" si="49"/>
        <v>0</v>
      </c>
      <c r="AE514" s="19">
        <f t="shared" si="50"/>
        <v>0</v>
      </c>
      <c r="AF514" s="19">
        <f t="shared" si="51"/>
        <v>1</v>
      </c>
      <c r="AG514" s="19">
        <f t="shared" si="52"/>
        <v>0</v>
      </c>
      <c r="AH514" s="19">
        <f t="shared" si="53"/>
        <v>0</v>
      </c>
    </row>
    <row r="515" spans="1:34">
      <c r="A515" s="8" t="s">
        <v>1768</v>
      </c>
      <c r="B515" s="8" t="s">
        <v>1992</v>
      </c>
      <c r="C515" s="8" t="s">
        <v>107</v>
      </c>
      <c r="D515" s="8" t="s">
        <v>13</v>
      </c>
      <c r="E515" s="8" t="s">
        <v>80</v>
      </c>
      <c r="F515" s="8" t="s">
        <v>13</v>
      </c>
      <c r="G515" s="8" t="s">
        <v>5</v>
      </c>
      <c r="H515" s="8" t="s">
        <v>538</v>
      </c>
      <c r="I515" s="8" t="s">
        <v>41</v>
      </c>
      <c r="J515" s="8" t="s">
        <v>41</v>
      </c>
      <c r="K515" s="8" t="s">
        <v>41</v>
      </c>
      <c r="L515" s="8" t="s">
        <v>110</v>
      </c>
      <c r="M515" s="11" t="s">
        <v>4299</v>
      </c>
      <c r="N515" s="8">
        <v>8</v>
      </c>
      <c r="O515" s="8">
        <v>4</v>
      </c>
      <c r="P515" s="8">
        <v>4</v>
      </c>
      <c r="Q515" s="8">
        <v>0</v>
      </c>
      <c r="R515" s="8">
        <v>0</v>
      </c>
      <c r="S515" s="8">
        <v>0</v>
      </c>
      <c r="T515" s="8">
        <v>0</v>
      </c>
      <c r="U515" s="8">
        <v>0</v>
      </c>
      <c r="V515" s="8">
        <v>0</v>
      </c>
      <c r="W515" s="8">
        <v>8</v>
      </c>
      <c r="X515" s="8">
        <v>4</v>
      </c>
      <c r="Y515" s="8">
        <v>0</v>
      </c>
      <c r="Z515" s="8">
        <v>0</v>
      </c>
      <c r="AA515" s="8">
        <v>0</v>
      </c>
      <c r="AB515" s="8">
        <v>0</v>
      </c>
      <c r="AC515" s="19">
        <f t="shared" si="48"/>
        <v>0</v>
      </c>
      <c r="AD515" s="19">
        <f t="shared" si="49"/>
        <v>0</v>
      </c>
      <c r="AE515" s="19">
        <f t="shared" si="50"/>
        <v>0</v>
      </c>
      <c r="AF515" s="19">
        <f t="shared" si="51"/>
        <v>4</v>
      </c>
      <c r="AG515" s="19">
        <f t="shared" si="52"/>
        <v>0</v>
      </c>
      <c r="AH515" s="19">
        <f t="shared" si="53"/>
        <v>0</v>
      </c>
    </row>
    <row r="516" spans="1:34">
      <c r="A516" s="8" t="s">
        <v>259</v>
      </c>
      <c r="B516" s="8" t="s">
        <v>3142</v>
      </c>
      <c r="C516" s="8" t="s">
        <v>11</v>
      </c>
      <c r="D516" s="8" t="s">
        <v>7</v>
      </c>
      <c r="E516" s="8" t="s">
        <v>126</v>
      </c>
      <c r="F516" s="8" t="s">
        <v>13</v>
      </c>
      <c r="G516" s="8" t="s">
        <v>4</v>
      </c>
      <c r="H516" s="8" t="s">
        <v>292</v>
      </c>
      <c r="I516" s="8" t="s">
        <v>41</v>
      </c>
      <c r="J516" s="8" t="s">
        <v>43</v>
      </c>
      <c r="K516" s="8" t="s">
        <v>41</v>
      </c>
      <c r="L516" s="8" t="s">
        <v>110</v>
      </c>
      <c r="M516" s="11" t="s">
        <v>4086</v>
      </c>
      <c r="N516" s="8">
        <v>27</v>
      </c>
      <c r="O516" s="8">
        <v>13</v>
      </c>
      <c r="P516" s="8">
        <v>14</v>
      </c>
      <c r="Q516" s="8">
        <v>16</v>
      </c>
      <c r="R516" s="8">
        <v>8</v>
      </c>
      <c r="S516" s="8">
        <v>3</v>
      </c>
      <c r="T516" s="8">
        <v>1</v>
      </c>
      <c r="U516" s="8">
        <v>0</v>
      </c>
      <c r="V516" s="8">
        <v>0</v>
      </c>
      <c r="W516" s="8">
        <v>8</v>
      </c>
      <c r="X516" s="8">
        <v>4</v>
      </c>
      <c r="Y516" s="8">
        <v>0</v>
      </c>
      <c r="Z516" s="8">
        <v>0</v>
      </c>
      <c r="AA516" s="8">
        <v>0</v>
      </c>
      <c r="AB516" s="8">
        <v>0</v>
      </c>
      <c r="AC516" s="19">
        <f t="shared" si="48"/>
        <v>8</v>
      </c>
      <c r="AD516" s="19">
        <f t="shared" si="49"/>
        <v>2</v>
      </c>
      <c r="AE516" s="19">
        <f t="shared" si="50"/>
        <v>0</v>
      </c>
      <c r="AF516" s="19">
        <f t="shared" si="51"/>
        <v>4</v>
      </c>
      <c r="AG516" s="19">
        <f t="shared" si="52"/>
        <v>0</v>
      </c>
      <c r="AH516" s="19">
        <f t="shared" si="53"/>
        <v>0</v>
      </c>
    </row>
    <row r="517" spans="1:34">
      <c r="A517" s="8" t="s">
        <v>254</v>
      </c>
      <c r="B517" s="8" t="s">
        <v>1992</v>
      </c>
      <c r="C517" s="8" t="s">
        <v>16</v>
      </c>
      <c r="D517" s="8" t="s">
        <v>5</v>
      </c>
      <c r="E517" s="8" t="s">
        <v>126</v>
      </c>
      <c r="F517" s="8" t="s">
        <v>11</v>
      </c>
      <c r="G517" s="8" t="s">
        <v>3</v>
      </c>
      <c r="H517" s="8" t="s">
        <v>3144</v>
      </c>
      <c r="I517" s="8" t="s">
        <v>43</v>
      </c>
      <c r="J517" s="8" t="s">
        <v>41</v>
      </c>
      <c r="K517" s="8" t="s">
        <v>41</v>
      </c>
      <c r="L517" s="8" t="s">
        <v>110</v>
      </c>
      <c r="M517" s="11" t="s">
        <v>3143</v>
      </c>
      <c r="N517" s="8">
        <v>1</v>
      </c>
      <c r="O517" s="8">
        <v>1</v>
      </c>
      <c r="P517" s="8">
        <v>0</v>
      </c>
      <c r="Q517" s="8">
        <v>0</v>
      </c>
      <c r="R517" s="8">
        <v>0</v>
      </c>
      <c r="S517" s="8">
        <v>1</v>
      </c>
      <c r="T517" s="8">
        <v>1</v>
      </c>
      <c r="U517" s="8">
        <v>0</v>
      </c>
      <c r="V517" s="8">
        <v>0</v>
      </c>
      <c r="W517" s="8">
        <v>0</v>
      </c>
      <c r="X517" s="8">
        <v>0</v>
      </c>
      <c r="Y517" s="8">
        <v>0</v>
      </c>
      <c r="Z517" s="8">
        <v>0</v>
      </c>
      <c r="AA517" s="8">
        <v>0</v>
      </c>
      <c r="AB517" s="8">
        <v>0</v>
      </c>
      <c r="AC517" s="19">
        <f t="shared" si="48"/>
        <v>0</v>
      </c>
      <c r="AD517" s="19">
        <f t="shared" si="49"/>
        <v>0</v>
      </c>
      <c r="AE517" s="19">
        <f t="shared" si="50"/>
        <v>0</v>
      </c>
      <c r="AF517" s="19">
        <f t="shared" si="51"/>
        <v>0</v>
      </c>
      <c r="AG517" s="19">
        <f t="shared" si="52"/>
        <v>0</v>
      </c>
      <c r="AH517" s="19">
        <f t="shared" si="53"/>
        <v>0</v>
      </c>
    </row>
    <row r="518" spans="1:34">
      <c r="A518" s="8" t="s">
        <v>3509</v>
      </c>
      <c r="B518" s="8" t="s">
        <v>1992</v>
      </c>
      <c r="C518" s="8" t="s">
        <v>9</v>
      </c>
      <c r="D518" s="8" t="s">
        <v>4</v>
      </c>
      <c r="E518" s="8" t="s">
        <v>110</v>
      </c>
      <c r="F518" s="8" t="s">
        <v>3</v>
      </c>
      <c r="G518" s="8" t="s">
        <v>4</v>
      </c>
      <c r="H518" s="8" t="s">
        <v>173</v>
      </c>
      <c r="I518" s="8" t="s">
        <v>43</v>
      </c>
      <c r="J518" s="8" t="s">
        <v>41</v>
      </c>
      <c r="K518" s="8" t="s">
        <v>5696</v>
      </c>
      <c r="L518" s="8" t="s">
        <v>110</v>
      </c>
      <c r="M518" s="11" t="s">
        <v>3510</v>
      </c>
      <c r="N518" s="8">
        <v>16</v>
      </c>
      <c r="O518" s="8">
        <v>12</v>
      </c>
      <c r="P518" s="8">
        <v>4</v>
      </c>
      <c r="Q518" s="8">
        <v>3</v>
      </c>
      <c r="R518" s="8">
        <v>3</v>
      </c>
      <c r="S518" s="8">
        <v>3</v>
      </c>
      <c r="T518" s="8">
        <v>2</v>
      </c>
      <c r="U518" s="8">
        <v>4</v>
      </c>
      <c r="V518" s="8">
        <v>4</v>
      </c>
      <c r="W518" s="8">
        <v>4</v>
      </c>
      <c r="X518" s="8">
        <v>3</v>
      </c>
      <c r="Y518" s="8">
        <v>2</v>
      </c>
      <c r="Z518" s="8">
        <v>0</v>
      </c>
      <c r="AA518" s="8">
        <v>0</v>
      </c>
      <c r="AB518" s="8">
        <v>0</v>
      </c>
      <c r="AC518" s="19">
        <f t="shared" si="48"/>
        <v>0</v>
      </c>
      <c r="AD518" s="19">
        <f t="shared" si="49"/>
        <v>1</v>
      </c>
      <c r="AE518" s="19">
        <f t="shared" si="50"/>
        <v>0</v>
      </c>
      <c r="AF518" s="19">
        <f t="shared" si="51"/>
        <v>1</v>
      </c>
      <c r="AG518" s="19">
        <f t="shared" si="52"/>
        <v>2</v>
      </c>
      <c r="AH518" s="19">
        <f t="shared" si="53"/>
        <v>0</v>
      </c>
    </row>
    <row r="519" spans="1:34">
      <c r="A519" s="8" t="s">
        <v>257</v>
      </c>
      <c r="B519" s="8" t="s">
        <v>1992</v>
      </c>
      <c r="C519" s="8" t="s">
        <v>3</v>
      </c>
      <c r="D519" s="8" t="s">
        <v>8</v>
      </c>
      <c r="E519" s="8" t="s">
        <v>41</v>
      </c>
      <c r="F519" s="8" t="s">
        <v>13</v>
      </c>
      <c r="G519" s="8" t="s">
        <v>3</v>
      </c>
      <c r="H519" s="8" t="s">
        <v>131</v>
      </c>
      <c r="I519" s="8" t="s">
        <v>43</v>
      </c>
      <c r="J519" s="8" t="s">
        <v>41</v>
      </c>
      <c r="K519" s="8" t="s">
        <v>5696</v>
      </c>
      <c r="L519" s="8" t="s">
        <v>110</v>
      </c>
      <c r="M519" s="11" t="s">
        <v>1904</v>
      </c>
      <c r="N519" s="8">
        <v>38</v>
      </c>
      <c r="O519" s="8">
        <v>19</v>
      </c>
      <c r="P519" s="8">
        <v>19</v>
      </c>
      <c r="Q519" s="8">
        <v>8</v>
      </c>
      <c r="R519" s="8">
        <v>4</v>
      </c>
      <c r="S519" s="8">
        <v>6</v>
      </c>
      <c r="T519" s="8">
        <v>1</v>
      </c>
      <c r="U519" s="8">
        <v>5</v>
      </c>
      <c r="V519" s="8">
        <v>2</v>
      </c>
      <c r="W519" s="8">
        <v>9</v>
      </c>
      <c r="X519" s="8">
        <v>8</v>
      </c>
      <c r="Y519" s="8">
        <v>10</v>
      </c>
      <c r="Z519" s="8">
        <v>4</v>
      </c>
      <c r="AA519" s="8">
        <v>0</v>
      </c>
      <c r="AB519" s="8">
        <v>0</v>
      </c>
      <c r="AC519" s="19">
        <f t="shared" si="48"/>
        <v>4</v>
      </c>
      <c r="AD519" s="19">
        <f t="shared" si="49"/>
        <v>5</v>
      </c>
      <c r="AE519" s="19">
        <f t="shared" si="50"/>
        <v>3</v>
      </c>
      <c r="AF519" s="19">
        <f t="shared" si="51"/>
        <v>1</v>
      </c>
      <c r="AG519" s="19">
        <f t="shared" si="52"/>
        <v>6</v>
      </c>
      <c r="AH519" s="19">
        <f t="shared" si="53"/>
        <v>0</v>
      </c>
    </row>
    <row r="520" spans="1:34">
      <c r="A520" s="8" t="s">
        <v>248</v>
      </c>
      <c r="B520" s="8" t="s">
        <v>1992</v>
      </c>
      <c r="C520" s="8" t="s">
        <v>754</v>
      </c>
      <c r="D520" s="8" t="s">
        <v>3</v>
      </c>
      <c r="E520" s="8" t="s">
        <v>68</v>
      </c>
      <c r="F520" s="8" t="s">
        <v>4</v>
      </c>
      <c r="G520" s="8" t="s">
        <v>3</v>
      </c>
      <c r="H520" s="8" t="s">
        <v>5709</v>
      </c>
      <c r="I520" s="8" t="s">
        <v>43</v>
      </c>
      <c r="J520" s="8" t="s">
        <v>41</v>
      </c>
      <c r="K520" s="8" t="s">
        <v>5696</v>
      </c>
      <c r="L520" s="8" t="s">
        <v>110</v>
      </c>
      <c r="M520" s="11" t="s">
        <v>1994</v>
      </c>
      <c r="N520" s="8">
        <v>34</v>
      </c>
      <c r="O520" s="8">
        <v>12</v>
      </c>
      <c r="P520" s="8">
        <v>22</v>
      </c>
      <c r="Q520" s="8">
        <v>4</v>
      </c>
      <c r="R520" s="8">
        <v>1</v>
      </c>
      <c r="S520" s="8">
        <v>7</v>
      </c>
      <c r="T520" s="8">
        <v>3</v>
      </c>
      <c r="U520" s="8">
        <v>9</v>
      </c>
      <c r="V520" s="8">
        <v>1</v>
      </c>
      <c r="W520" s="8">
        <v>10</v>
      </c>
      <c r="X520" s="8">
        <v>4</v>
      </c>
      <c r="Y520" s="8">
        <v>4</v>
      </c>
      <c r="Z520" s="8">
        <v>3</v>
      </c>
      <c r="AA520" s="8">
        <v>0</v>
      </c>
      <c r="AB520" s="8">
        <v>0</v>
      </c>
      <c r="AC520" s="19">
        <f t="shared" si="48"/>
        <v>3</v>
      </c>
      <c r="AD520" s="19">
        <f t="shared" si="49"/>
        <v>4</v>
      </c>
      <c r="AE520" s="19">
        <f t="shared" si="50"/>
        <v>8</v>
      </c>
      <c r="AF520" s="19">
        <f t="shared" si="51"/>
        <v>6</v>
      </c>
      <c r="AG520" s="19">
        <f t="shared" si="52"/>
        <v>1</v>
      </c>
      <c r="AH520" s="19">
        <f t="shared" si="53"/>
        <v>0</v>
      </c>
    </row>
    <row r="521" spans="1:34">
      <c r="A521" s="8" t="s">
        <v>247</v>
      </c>
      <c r="B521" s="8" t="s">
        <v>3151</v>
      </c>
      <c r="C521" s="8" t="s">
        <v>955</v>
      </c>
      <c r="D521" s="8" t="s">
        <v>5</v>
      </c>
      <c r="E521" s="8" t="s">
        <v>41</v>
      </c>
      <c r="F521" s="8" t="s">
        <v>752</v>
      </c>
      <c r="G521" s="8" t="s">
        <v>6</v>
      </c>
      <c r="H521" s="8" t="s">
        <v>3153</v>
      </c>
      <c r="I521" s="8" t="s">
        <v>41</v>
      </c>
      <c r="J521" s="8" t="s">
        <v>43</v>
      </c>
      <c r="K521" s="8" t="s">
        <v>5696</v>
      </c>
      <c r="L521" s="8" t="s">
        <v>110</v>
      </c>
      <c r="M521" s="11" t="s">
        <v>3152</v>
      </c>
      <c r="N521" s="8">
        <v>17</v>
      </c>
      <c r="O521" s="8">
        <v>13</v>
      </c>
      <c r="P521" s="8">
        <v>4</v>
      </c>
      <c r="Q521" s="8">
        <v>2</v>
      </c>
      <c r="R521" s="8">
        <v>1</v>
      </c>
      <c r="S521" s="8">
        <v>4</v>
      </c>
      <c r="T521" s="8">
        <v>3</v>
      </c>
      <c r="U521" s="8">
        <v>3</v>
      </c>
      <c r="V521" s="8">
        <v>3</v>
      </c>
      <c r="W521" s="8">
        <v>4</v>
      </c>
      <c r="X521" s="8">
        <v>4</v>
      </c>
      <c r="Y521" s="8">
        <v>4</v>
      </c>
      <c r="Z521" s="8">
        <v>2</v>
      </c>
      <c r="AA521" s="8">
        <v>0</v>
      </c>
      <c r="AB521" s="8">
        <v>0</v>
      </c>
      <c r="AC521" s="19">
        <f t="shared" si="48"/>
        <v>1</v>
      </c>
      <c r="AD521" s="19">
        <f t="shared" si="49"/>
        <v>1</v>
      </c>
      <c r="AE521" s="19">
        <f t="shared" si="50"/>
        <v>0</v>
      </c>
      <c r="AF521" s="19">
        <f t="shared" si="51"/>
        <v>0</v>
      </c>
      <c r="AG521" s="19">
        <f t="shared" si="52"/>
        <v>2</v>
      </c>
      <c r="AH521" s="19">
        <f t="shared" si="53"/>
        <v>0</v>
      </c>
    </row>
    <row r="522" spans="1:34">
      <c r="A522" s="8" t="s">
        <v>258</v>
      </c>
      <c r="B522" s="8" t="s">
        <v>3154</v>
      </c>
      <c r="C522" s="8" t="s">
        <v>955</v>
      </c>
      <c r="D522" s="8" t="s">
        <v>4</v>
      </c>
      <c r="E522" s="8" t="s">
        <v>56</v>
      </c>
      <c r="F522" s="8" t="s">
        <v>11</v>
      </c>
      <c r="G522" s="8" t="s">
        <v>4</v>
      </c>
      <c r="H522" s="8" t="s">
        <v>3156</v>
      </c>
      <c r="I522" s="8" t="s">
        <v>41</v>
      </c>
      <c r="J522" s="8" t="s">
        <v>41</v>
      </c>
      <c r="K522" s="8" t="s">
        <v>41</v>
      </c>
      <c r="L522" s="8" t="s">
        <v>110</v>
      </c>
      <c r="M522" s="11" t="s">
        <v>3155</v>
      </c>
      <c r="N522" s="8">
        <v>9</v>
      </c>
      <c r="O522" s="8">
        <v>5</v>
      </c>
      <c r="P522" s="8">
        <v>4</v>
      </c>
      <c r="Q522" s="8">
        <v>0</v>
      </c>
      <c r="R522" s="8">
        <v>0</v>
      </c>
      <c r="S522" s="8">
        <v>4</v>
      </c>
      <c r="T522" s="8">
        <v>3</v>
      </c>
      <c r="U522" s="8">
        <v>2</v>
      </c>
      <c r="V522" s="8">
        <v>2</v>
      </c>
      <c r="W522" s="8">
        <v>3</v>
      </c>
      <c r="X522" s="8">
        <v>0</v>
      </c>
      <c r="Y522" s="8">
        <v>0</v>
      </c>
      <c r="Z522" s="8">
        <v>0</v>
      </c>
      <c r="AA522" s="8">
        <v>0</v>
      </c>
      <c r="AB522" s="8">
        <v>0</v>
      </c>
      <c r="AC522" s="19">
        <f t="shared" si="48"/>
        <v>0</v>
      </c>
      <c r="AD522" s="19">
        <f t="shared" si="49"/>
        <v>1</v>
      </c>
      <c r="AE522" s="19">
        <f t="shared" si="50"/>
        <v>0</v>
      </c>
      <c r="AF522" s="19">
        <f t="shared" si="51"/>
        <v>3</v>
      </c>
      <c r="AG522" s="19">
        <f t="shared" si="52"/>
        <v>0</v>
      </c>
      <c r="AH522" s="19">
        <f t="shared" si="53"/>
        <v>0</v>
      </c>
    </row>
    <row r="523" spans="1:34">
      <c r="A523" s="8" t="s">
        <v>1770</v>
      </c>
      <c r="B523" s="8" t="s">
        <v>3158</v>
      </c>
      <c r="C523" s="8" t="s">
        <v>7</v>
      </c>
      <c r="D523" s="8" t="s">
        <v>4</v>
      </c>
      <c r="E523" s="8" t="s">
        <v>56</v>
      </c>
      <c r="F523" s="8" t="s">
        <v>3</v>
      </c>
      <c r="G523" s="8" t="s">
        <v>6</v>
      </c>
      <c r="H523" s="8" t="s">
        <v>3160</v>
      </c>
      <c r="I523" s="8" t="s">
        <v>41</v>
      </c>
      <c r="J523" s="8" t="s">
        <v>41</v>
      </c>
      <c r="K523" s="8" t="s">
        <v>41</v>
      </c>
      <c r="L523" s="8" t="s">
        <v>110</v>
      </c>
      <c r="M523" s="11" t="s">
        <v>3159</v>
      </c>
      <c r="N523" s="8">
        <v>107</v>
      </c>
      <c r="O523" s="8">
        <v>47</v>
      </c>
      <c r="P523" s="8">
        <v>60</v>
      </c>
      <c r="Q523" s="8">
        <v>12</v>
      </c>
      <c r="R523" s="8">
        <v>5</v>
      </c>
      <c r="S523" s="8">
        <v>22</v>
      </c>
      <c r="T523" s="8">
        <v>13</v>
      </c>
      <c r="U523" s="8">
        <v>35</v>
      </c>
      <c r="V523" s="8">
        <v>10</v>
      </c>
      <c r="W523" s="8">
        <v>22</v>
      </c>
      <c r="X523" s="8">
        <v>9</v>
      </c>
      <c r="Y523" s="8">
        <v>16</v>
      </c>
      <c r="Z523" s="8">
        <v>10</v>
      </c>
      <c r="AA523" s="8">
        <v>0</v>
      </c>
      <c r="AB523" s="8">
        <v>0</v>
      </c>
      <c r="AC523" s="19">
        <f t="shared" si="48"/>
        <v>7</v>
      </c>
      <c r="AD523" s="19">
        <f t="shared" si="49"/>
        <v>9</v>
      </c>
      <c r="AE523" s="19">
        <f t="shared" si="50"/>
        <v>25</v>
      </c>
      <c r="AF523" s="19">
        <f t="shared" si="51"/>
        <v>13</v>
      </c>
      <c r="AG523" s="19">
        <f t="shared" si="52"/>
        <v>6</v>
      </c>
      <c r="AH523" s="19">
        <f t="shared" si="53"/>
        <v>0</v>
      </c>
    </row>
    <row r="524" spans="1:34">
      <c r="A524" s="8" t="s">
        <v>1067</v>
      </c>
      <c r="B524" s="8" t="s">
        <v>3162</v>
      </c>
      <c r="C524" s="8" t="s">
        <v>7</v>
      </c>
      <c r="D524" s="8" t="s">
        <v>5</v>
      </c>
      <c r="E524" s="8" t="s">
        <v>56</v>
      </c>
      <c r="F524" s="8" t="s">
        <v>11</v>
      </c>
      <c r="G524" s="8" t="s">
        <v>3</v>
      </c>
      <c r="H524" s="8" t="s">
        <v>527</v>
      </c>
      <c r="I524" s="8" t="s">
        <v>41</v>
      </c>
      <c r="J524" s="8" t="s">
        <v>41</v>
      </c>
      <c r="K524" s="8" t="s">
        <v>41</v>
      </c>
      <c r="L524" s="8" t="s">
        <v>110</v>
      </c>
      <c r="M524" s="11" t="s">
        <v>3163</v>
      </c>
      <c r="N524" s="8">
        <v>81</v>
      </c>
      <c r="O524" s="8">
        <v>52</v>
      </c>
      <c r="P524" s="8">
        <v>29</v>
      </c>
      <c r="Q524" s="8">
        <v>28</v>
      </c>
      <c r="R524" s="8">
        <v>17</v>
      </c>
      <c r="S524" s="8">
        <v>36</v>
      </c>
      <c r="T524" s="8">
        <v>23</v>
      </c>
      <c r="U524" s="8">
        <v>17</v>
      </c>
      <c r="V524" s="8">
        <v>12</v>
      </c>
      <c r="W524" s="8">
        <v>0</v>
      </c>
      <c r="X524" s="8">
        <v>0</v>
      </c>
      <c r="Y524" s="8">
        <v>0</v>
      </c>
      <c r="Z524" s="8">
        <v>0</v>
      </c>
      <c r="AA524" s="8">
        <v>0</v>
      </c>
      <c r="AB524" s="8">
        <v>0</v>
      </c>
      <c r="AC524" s="19">
        <f t="shared" si="48"/>
        <v>11</v>
      </c>
      <c r="AD524" s="19">
        <f t="shared" si="49"/>
        <v>13</v>
      </c>
      <c r="AE524" s="19">
        <f t="shared" si="50"/>
        <v>5</v>
      </c>
      <c r="AF524" s="19">
        <f t="shared" si="51"/>
        <v>0</v>
      </c>
      <c r="AG524" s="19">
        <f t="shared" si="52"/>
        <v>0</v>
      </c>
      <c r="AH524" s="19">
        <f t="shared" si="53"/>
        <v>0</v>
      </c>
    </row>
    <row r="525" spans="1:34">
      <c r="A525" s="8" t="s">
        <v>273</v>
      </c>
      <c r="B525" s="8" t="s">
        <v>3165</v>
      </c>
      <c r="C525" s="8" t="s">
        <v>70</v>
      </c>
      <c r="D525" s="8" t="s">
        <v>18</v>
      </c>
      <c r="E525" s="8" t="s">
        <v>43</v>
      </c>
      <c r="F525" s="8" t="s">
        <v>13</v>
      </c>
      <c r="G525" s="8" t="s">
        <v>18</v>
      </c>
      <c r="H525" s="8" t="s">
        <v>3167</v>
      </c>
      <c r="I525" s="8" t="s">
        <v>41</v>
      </c>
      <c r="J525" s="8" t="s">
        <v>43</v>
      </c>
      <c r="K525" s="8" t="s">
        <v>41</v>
      </c>
      <c r="L525" s="8" t="s">
        <v>110</v>
      </c>
      <c r="M525" s="11" t="s">
        <v>3166</v>
      </c>
      <c r="N525" s="8">
        <v>2</v>
      </c>
      <c r="O525" s="8">
        <v>2</v>
      </c>
      <c r="P525" s="8">
        <v>0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  <c r="V525" s="8">
        <v>0</v>
      </c>
      <c r="W525" s="8">
        <v>2</v>
      </c>
      <c r="X525" s="8">
        <v>2</v>
      </c>
      <c r="Y525" s="8">
        <v>0</v>
      </c>
      <c r="Z525" s="8">
        <v>0</v>
      </c>
      <c r="AA525" s="8">
        <v>0</v>
      </c>
      <c r="AB525" s="8">
        <v>0</v>
      </c>
      <c r="AC525" s="19">
        <f t="shared" si="48"/>
        <v>0</v>
      </c>
      <c r="AD525" s="19">
        <f t="shared" si="49"/>
        <v>0</v>
      </c>
      <c r="AE525" s="19">
        <f t="shared" si="50"/>
        <v>0</v>
      </c>
      <c r="AF525" s="19">
        <f t="shared" si="51"/>
        <v>0</v>
      </c>
      <c r="AG525" s="19">
        <f t="shared" si="52"/>
        <v>0</v>
      </c>
      <c r="AH525" s="19">
        <f t="shared" si="53"/>
        <v>0</v>
      </c>
    </row>
    <row r="526" spans="1:34">
      <c r="A526" s="8" t="s">
        <v>263</v>
      </c>
      <c r="B526" s="8" t="s">
        <v>3168</v>
      </c>
      <c r="C526" s="8" t="s">
        <v>6</v>
      </c>
      <c r="D526" s="8" t="s">
        <v>12</v>
      </c>
      <c r="E526" s="8" t="s">
        <v>43</v>
      </c>
      <c r="F526" s="8" t="s">
        <v>4</v>
      </c>
      <c r="G526" s="8" t="s">
        <v>18</v>
      </c>
      <c r="H526" s="8" t="s">
        <v>5676</v>
      </c>
      <c r="I526" s="8" t="s">
        <v>41</v>
      </c>
      <c r="J526" s="8" t="s">
        <v>43</v>
      </c>
      <c r="K526" s="8" t="s">
        <v>41</v>
      </c>
      <c r="L526" s="8" t="s">
        <v>110</v>
      </c>
      <c r="M526" s="11" t="s">
        <v>4087</v>
      </c>
      <c r="N526" s="8">
        <v>20</v>
      </c>
      <c r="O526" s="8">
        <v>11</v>
      </c>
      <c r="P526" s="8">
        <v>9</v>
      </c>
      <c r="Q526" s="8">
        <v>2</v>
      </c>
      <c r="R526" s="8">
        <v>2</v>
      </c>
      <c r="S526" s="8">
        <v>8</v>
      </c>
      <c r="T526" s="8">
        <v>2</v>
      </c>
      <c r="U526" s="8">
        <v>9</v>
      </c>
      <c r="V526" s="8">
        <v>6</v>
      </c>
      <c r="W526" s="8">
        <v>1</v>
      </c>
      <c r="X526" s="8">
        <v>1</v>
      </c>
      <c r="Y526" s="8">
        <v>0</v>
      </c>
      <c r="Z526" s="8">
        <v>0</v>
      </c>
      <c r="AA526" s="8">
        <v>0</v>
      </c>
      <c r="AB526" s="8">
        <v>0</v>
      </c>
      <c r="AC526" s="19">
        <f t="shared" si="48"/>
        <v>0</v>
      </c>
      <c r="AD526" s="19">
        <f t="shared" si="49"/>
        <v>6</v>
      </c>
      <c r="AE526" s="19">
        <f t="shared" si="50"/>
        <v>3</v>
      </c>
      <c r="AF526" s="19">
        <f t="shared" si="51"/>
        <v>0</v>
      </c>
      <c r="AG526" s="19">
        <f t="shared" si="52"/>
        <v>0</v>
      </c>
      <c r="AH526" s="19">
        <f t="shared" si="53"/>
        <v>0</v>
      </c>
    </row>
    <row r="527" spans="1:34">
      <c r="A527" s="8" t="s">
        <v>262</v>
      </c>
      <c r="B527" s="8" t="s">
        <v>3169</v>
      </c>
      <c r="C527" s="8" t="s">
        <v>70</v>
      </c>
      <c r="D527" s="8" t="s">
        <v>3</v>
      </c>
      <c r="E527" s="8" t="s">
        <v>43</v>
      </c>
      <c r="F527" s="8" t="s">
        <v>304</v>
      </c>
      <c r="G527" s="8" t="s">
        <v>3</v>
      </c>
      <c r="H527" s="8" t="s">
        <v>699</v>
      </c>
      <c r="I527" s="8" t="s">
        <v>41</v>
      </c>
      <c r="J527" s="8" t="s">
        <v>43</v>
      </c>
      <c r="K527" s="8" t="s">
        <v>41</v>
      </c>
      <c r="L527" s="8" t="s">
        <v>110</v>
      </c>
      <c r="M527" s="11" t="s">
        <v>3170</v>
      </c>
      <c r="N527" s="8">
        <v>71</v>
      </c>
      <c r="O527" s="8">
        <v>41</v>
      </c>
      <c r="P527" s="8">
        <v>30</v>
      </c>
      <c r="Q527" s="8">
        <v>11</v>
      </c>
      <c r="R527" s="8">
        <v>5</v>
      </c>
      <c r="S527" s="8">
        <v>17</v>
      </c>
      <c r="T527" s="8">
        <v>9</v>
      </c>
      <c r="U527" s="8">
        <v>22</v>
      </c>
      <c r="V527" s="8">
        <v>17</v>
      </c>
      <c r="W527" s="8">
        <v>21</v>
      </c>
      <c r="X527" s="8">
        <v>10</v>
      </c>
      <c r="Y527" s="8">
        <v>0</v>
      </c>
      <c r="Z527" s="8">
        <v>0</v>
      </c>
      <c r="AA527" s="8">
        <v>0</v>
      </c>
      <c r="AB527" s="8">
        <v>0</v>
      </c>
      <c r="AC527" s="19">
        <f t="shared" si="48"/>
        <v>6</v>
      </c>
      <c r="AD527" s="19">
        <f t="shared" si="49"/>
        <v>8</v>
      </c>
      <c r="AE527" s="19">
        <f t="shared" si="50"/>
        <v>5</v>
      </c>
      <c r="AF527" s="19">
        <f t="shared" si="51"/>
        <v>11</v>
      </c>
      <c r="AG527" s="19">
        <f t="shared" si="52"/>
        <v>0</v>
      </c>
      <c r="AH527" s="19">
        <f t="shared" si="53"/>
        <v>0</v>
      </c>
    </row>
    <row r="528" spans="1:34">
      <c r="A528" s="8" t="s">
        <v>274</v>
      </c>
      <c r="B528" s="8" t="s">
        <v>3172</v>
      </c>
      <c r="C528" s="8" t="s">
        <v>18</v>
      </c>
      <c r="D528" s="8" t="s">
        <v>7</v>
      </c>
      <c r="E528" s="8" t="s">
        <v>80</v>
      </c>
      <c r="F528" s="8" t="s">
        <v>16</v>
      </c>
      <c r="G528" s="8" t="s">
        <v>4</v>
      </c>
      <c r="H528" s="8" t="s">
        <v>663</v>
      </c>
      <c r="I528" s="8" t="s">
        <v>41</v>
      </c>
      <c r="J528" s="8" t="s">
        <v>41</v>
      </c>
      <c r="K528" s="8" t="s">
        <v>41</v>
      </c>
      <c r="L528" s="8" t="s">
        <v>110</v>
      </c>
      <c r="M528" s="11" t="s">
        <v>3173</v>
      </c>
      <c r="N528" s="8">
        <v>79</v>
      </c>
      <c r="O528" s="8">
        <v>51</v>
      </c>
      <c r="P528" s="8">
        <v>28</v>
      </c>
      <c r="Q528" s="8">
        <v>4</v>
      </c>
      <c r="R528" s="8">
        <v>3</v>
      </c>
      <c r="S528" s="8">
        <v>17</v>
      </c>
      <c r="T528" s="8">
        <v>10</v>
      </c>
      <c r="U528" s="8">
        <v>23</v>
      </c>
      <c r="V528" s="8">
        <v>15</v>
      </c>
      <c r="W528" s="8">
        <v>15</v>
      </c>
      <c r="X528" s="8">
        <v>10</v>
      </c>
      <c r="Y528" s="8">
        <v>20</v>
      </c>
      <c r="Z528" s="8">
        <v>13</v>
      </c>
      <c r="AA528" s="8">
        <v>0</v>
      </c>
      <c r="AB528" s="8">
        <v>0</v>
      </c>
      <c r="AC528" s="19">
        <f t="shared" si="48"/>
        <v>1</v>
      </c>
      <c r="AD528" s="19">
        <f t="shared" si="49"/>
        <v>7</v>
      </c>
      <c r="AE528" s="19">
        <f t="shared" si="50"/>
        <v>8</v>
      </c>
      <c r="AF528" s="19">
        <f t="shared" si="51"/>
        <v>5</v>
      </c>
      <c r="AG528" s="19">
        <f t="shared" si="52"/>
        <v>7</v>
      </c>
      <c r="AH528" s="19">
        <f t="shared" si="53"/>
        <v>0</v>
      </c>
    </row>
    <row r="529" spans="1:34">
      <c r="A529" s="8" t="s">
        <v>260</v>
      </c>
      <c r="B529" s="8" t="s">
        <v>3174</v>
      </c>
      <c r="C529" s="8" t="s">
        <v>16</v>
      </c>
      <c r="D529" s="8" t="s">
        <v>3</v>
      </c>
      <c r="E529" s="8" t="s">
        <v>126</v>
      </c>
      <c r="F529" s="8" t="s">
        <v>8</v>
      </c>
      <c r="G529" s="8" t="s">
        <v>4</v>
      </c>
      <c r="H529" s="8" t="s">
        <v>817</v>
      </c>
      <c r="I529" s="8" t="s">
        <v>41</v>
      </c>
      <c r="J529" s="8" t="s">
        <v>43</v>
      </c>
      <c r="K529" s="8" t="s">
        <v>41</v>
      </c>
      <c r="L529" s="8" t="s">
        <v>110</v>
      </c>
      <c r="M529" s="11" t="s">
        <v>3175</v>
      </c>
      <c r="N529" s="8">
        <v>1</v>
      </c>
      <c r="O529" s="8">
        <v>0</v>
      </c>
      <c r="P529" s="8">
        <v>1</v>
      </c>
      <c r="Q529" s="8">
        <v>1</v>
      </c>
      <c r="R529" s="8">
        <v>0</v>
      </c>
      <c r="S529" s="8">
        <v>0</v>
      </c>
      <c r="T529" s="8">
        <v>0</v>
      </c>
      <c r="U529" s="8">
        <v>0</v>
      </c>
      <c r="V529" s="8">
        <v>0</v>
      </c>
      <c r="W529" s="8">
        <v>0</v>
      </c>
      <c r="X529" s="8">
        <v>0</v>
      </c>
      <c r="Y529" s="8">
        <v>0</v>
      </c>
      <c r="Z529" s="8">
        <v>0</v>
      </c>
      <c r="AA529" s="8">
        <v>0</v>
      </c>
      <c r="AB529" s="8">
        <v>0</v>
      </c>
      <c r="AC529" s="19">
        <f t="shared" si="48"/>
        <v>1</v>
      </c>
      <c r="AD529" s="19">
        <f t="shared" si="49"/>
        <v>0</v>
      </c>
      <c r="AE529" s="19">
        <f t="shared" si="50"/>
        <v>0</v>
      </c>
      <c r="AF529" s="19">
        <f t="shared" si="51"/>
        <v>0</v>
      </c>
      <c r="AG529" s="19">
        <f t="shared" si="52"/>
        <v>0</v>
      </c>
      <c r="AH529" s="19">
        <f t="shared" si="53"/>
        <v>0</v>
      </c>
    </row>
    <row r="530" spans="1:34">
      <c r="A530" s="8" t="s">
        <v>612</v>
      </c>
      <c r="B530" s="8" t="s">
        <v>3176</v>
      </c>
      <c r="C530" s="8" t="s">
        <v>954</v>
      </c>
      <c r="D530" s="8" t="s">
        <v>5</v>
      </c>
      <c r="E530" s="8" t="s">
        <v>80</v>
      </c>
      <c r="F530" s="8" t="s">
        <v>5</v>
      </c>
      <c r="G530" s="8" t="s">
        <v>5</v>
      </c>
      <c r="H530" s="8" t="s">
        <v>5677</v>
      </c>
      <c r="I530" s="8" t="s">
        <v>41</v>
      </c>
      <c r="J530" s="8" t="s">
        <v>43</v>
      </c>
      <c r="K530" s="8" t="s">
        <v>41</v>
      </c>
      <c r="L530" s="8" t="s">
        <v>110</v>
      </c>
      <c r="M530" s="11" t="s">
        <v>3177</v>
      </c>
      <c r="N530" s="8">
        <v>18</v>
      </c>
      <c r="O530" s="8">
        <v>16</v>
      </c>
      <c r="P530" s="8">
        <v>2</v>
      </c>
      <c r="Q530" s="8">
        <v>8</v>
      </c>
      <c r="R530" s="8">
        <v>8</v>
      </c>
      <c r="S530" s="8">
        <v>4</v>
      </c>
      <c r="T530" s="8">
        <v>3</v>
      </c>
      <c r="U530" s="8">
        <v>0</v>
      </c>
      <c r="V530" s="8">
        <v>0</v>
      </c>
      <c r="W530" s="8">
        <v>6</v>
      </c>
      <c r="X530" s="8">
        <v>5</v>
      </c>
      <c r="Y530" s="8">
        <v>0</v>
      </c>
      <c r="Z530" s="8">
        <v>0</v>
      </c>
      <c r="AA530" s="8">
        <v>0</v>
      </c>
      <c r="AB530" s="8">
        <v>0</v>
      </c>
      <c r="AC530" s="19">
        <f t="shared" si="48"/>
        <v>0</v>
      </c>
      <c r="AD530" s="19">
        <f t="shared" si="49"/>
        <v>1</v>
      </c>
      <c r="AE530" s="19">
        <f t="shared" si="50"/>
        <v>0</v>
      </c>
      <c r="AF530" s="19">
        <f t="shared" si="51"/>
        <v>1</v>
      </c>
      <c r="AG530" s="19">
        <f t="shared" si="52"/>
        <v>0</v>
      </c>
      <c r="AH530" s="19">
        <f t="shared" si="53"/>
        <v>0</v>
      </c>
    </row>
    <row r="531" spans="1:34">
      <c r="A531" s="8" t="s">
        <v>614</v>
      </c>
      <c r="B531" s="8" t="s">
        <v>3180</v>
      </c>
      <c r="C531" s="8" t="s">
        <v>953</v>
      </c>
      <c r="D531" s="8" t="s">
        <v>4</v>
      </c>
      <c r="E531" s="8" t="s">
        <v>110</v>
      </c>
      <c r="F531" s="8" t="s">
        <v>13</v>
      </c>
      <c r="G531" s="8" t="s">
        <v>5</v>
      </c>
      <c r="H531" s="8" t="s">
        <v>3182</v>
      </c>
      <c r="I531" s="8" t="s">
        <v>41</v>
      </c>
      <c r="J531" s="8" t="s">
        <v>43</v>
      </c>
      <c r="K531" s="8" t="s">
        <v>41</v>
      </c>
      <c r="L531" s="8" t="s">
        <v>110</v>
      </c>
      <c r="M531" s="11" t="s">
        <v>3181</v>
      </c>
      <c r="N531" s="8">
        <v>49</v>
      </c>
      <c r="O531" s="8">
        <v>25</v>
      </c>
      <c r="P531" s="8">
        <v>24</v>
      </c>
      <c r="Q531" s="8">
        <v>7</v>
      </c>
      <c r="R531" s="8">
        <v>2</v>
      </c>
      <c r="S531" s="8">
        <v>12</v>
      </c>
      <c r="T531" s="8">
        <v>7</v>
      </c>
      <c r="U531" s="8">
        <v>13</v>
      </c>
      <c r="V531" s="8">
        <v>9</v>
      </c>
      <c r="W531" s="8">
        <v>8</v>
      </c>
      <c r="X531" s="8">
        <v>4</v>
      </c>
      <c r="Y531" s="8">
        <v>9</v>
      </c>
      <c r="Z531" s="8">
        <v>3</v>
      </c>
      <c r="AA531" s="8">
        <v>0</v>
      </c>
      <c r="AB531" s="8">
        <v>0</v>
      </c>
      <c r="AC531" s="19">
        <f t="shared" si="48"/>
        <v>5</v>
      </c>
      <c r="AD531" s="19">
        <f t="shared" si="49"/>
        <v>5</v>
      </c>
      <c r="AE531" s="19">
        <f t="shared" si="50"/>
        <v>4</v>
      </c>
      <c r="AF531" s="19">
        <f t="shared" si="51"/>
        <v>4</v>
      </c>
      <c r="AG531" s="19">
        <f t="shared" si="52"/>
        <v>6</v>
      </c>
      <c r="AH531" s="19">
        <f t="shared" si="53"/>
        <v>0</v>
      </c>
    </row>
    <row r="532" spans="1:34">
      <c r="A532" s="8" t="s">
        <v>615</v>
      </c>
      <c r="B532" s="8" t="s">
        <v>3183</v>
      </c>
      <c r="C532" s="8" t="s">
        <v>12</v>
      </c>
      <c r="D532" s="8" t="s">
        <v>9</v>
      </c>
      <c r="E532" s="8" t="s">
        <v>126</v>
      </c>
      <c r="F532" s="8" t="s">
        <v>12</v>
      </c>
      <c r="G532" s="8" t="s">
        <v>5</v>
      </c>
      <c r="H532" s="8" t="s">
        <v>175</v>
      </c>
      <c r="I532" s="8" t="s">
        <v>41</v>
      </c>
      <c r="J532" s="8" t="s">
        <v>43</v>
      </c>
      <c r="K532" s="8" t="s">
        <v>41</v>
      </c>
      <c r="L532" s="8" t="s">
        <v>110</v>
      </c>
      <c r="M532" s="11" t="s">
        <v>2390</v>
      </c>
      <c r="N532" s="8">
        <v>13</v>
      </c>
      <c r="O532" s="8">
        <v>9</v>
      </c>
      <c r="P532" s="8">
        <v>4</v>
      </c>
      <c r="Q532" s="8">
        <v>0</v>
      </c>
      <c r="R532" s="8">
        <v>0</v>
      </c>
      <c r="S532" s="8">
        <v>1</v>
      </c>
      <c r="T532" s="8">
        <v>1</v>
      </c>
      <c r="U532" s="8">
        <v>0</v>
      </c>
      <c r="V532" s="8">
        <v>0</v>
      </c>
      <c r="W532" s="8">
        <v>7</v>
      </c>
      <c r="X532" s="8">
        <v>4</v>
      </c>
      <c r="Y532" s="8">
        <v>5</v>
      </c>
      <c r="Z532" s="8">
        <v>4</v>
      </c>
      <c r="AA532" s="8">
        <v>0</v>
      </c>
      <c r="AB532" s="8">
        <v>0</v>
      </c>
      <c r="AC532" s="19">
        <f t="shared" si="48"/>
        <v>0</v>
      </c>
      <c r="AD532" s="19">
        <f t="shared" si="49"/>
        <v>0</v>
      </c>
      <c r="AE532" s="19">
        <f t="shared" si="50"/>
        <v>0</v>
      </c>
      <c r="AF532" s="19">
        <f t="shared" si="51"/>
        <v>3</v>
      </c>
      <c r="AG532" s="19">
        <f t="shared" si="52"/>
        <v>1</v>
      </c>
      <c r="AH532" s="19">
        <f t="shared" si="53"/>
        <v>0</v>
      </c>
    </row>
    <row r="533" spans="1:34">
      <c r="A533" s="8" t="s">
        <v>616</v>
      </c>
      <c r="B533" s="8" t="s">
        <v>3185</v>
      </c>
      <c r="C533" s="8" t="s">
        <v>6</v>
      </c>
      <c r="D533" s="8" t="s">
        <v>9</v>
      </c>
      <c r="E533" s="8" t="s">
        <v>43</v>
      </c>
      <c r="F533" s="8" t="s">
        <v>16</v>
      </c>
      <c r="G533" s="8" t="s">
        <v>4</v>
      </c>
      <c r="H533" s="8" t="s">
        <v>4244</v>
      </c>
      <c r="I533" s="8" t="s">
        <v>41</v>
      </c>
      <c r="J533" s="8" t="s">
        <v>43</v>
      </c>
      <c r="K533" s="8" t="s">
        <v>41</v>
      </c>
      <c r="L533" s="8" t="s">
        <v>110</v>
      </c>
      <c r="M533" s="11" t="s">
        <v>3186</v>
      </c>
      <c r="N533" s="8">
        <v>60</v>
      </c>
      <c r="O533" s="8">
        <v>36</v>
      </c>
      <c r="P533" s="8">
        <v>24</v>
      </c>
      <c r="Q533" s="8">
        <v>25</v>
      </c>
      <c r="R533" s="8">
        <v>11</v>
      </c>
      <c r="S533" s="8">
        <v>6</v>
      </c>
      <c r="T533" s="8">
        <v>5</v>
      </c>
      <c r="U533" s="8">
        <v>13</v>
      </c>
      <c r="V533" s="8">
        <v>9</v>
      </c>
      <c r="W533" s="8">
        <v>11</v>
      </c>
      <c r="X533" s="8">
        <v>6</v>
      </c>
      <c r="Y533" s="8">
        <v>5</v>
      </c>
      <c r="Z533" s="8">
        <v>5</v>
      </c>
      <c r="AA533" s="8">
        <v>0</v>
      </c>
      <c r="AB533" s="8">
        <v>0</v>
      </c>
      <c r="AC533" s="19">
        <f t="shared" si="48"/>
        <v>14</v>
      </c>
      <c r="AD533" s="19">
        <f t="shared" si="49"/>
        <v>1</v>
      </c>
      <c r="AE533" s="19">
        <f t="shared" si="50"/>
        <v>4</v>
      </c>
      <c r="AF533" s="19">
        <f t="shared" si="51"/>
        <v>5</v>
      </c>
      <c r="AG533" s="19">
        <f t="shared" si="52"/>
        <v>0</v>
      </c>
      <c r="AH533" s="19">
        <f t="shared" si="53"/>
        <v>0</v>
      </c>
    </row>
    <row r="534" spans="1:34">
      <c r="A534" s="8" t="s">
        <v>617</v>
      </c>
      <c r="B534" s="8" t="s">
        <v>3188</v>
      </c>
      <c r="C534" s="8" t="s">
        <v>6</v>
      </c>
      <c r="D534" s="8" t="s">
        <v>5</v>
      </c>
      <c r="E534" s="8" t="s">
        <v>43</v>
      </c>
      <c r="F534" s="8" t="s">
        <v>4</v>
      </c>
      <c r="G534" s="8" t="s">
        <v>4</v>
      </c>
      <c r="H534" s="8" t="s">
        <v>1080</v>
      </c>
      <c r="I534" s="8" t="s">
        <v>41</v>
      </c>
      <c r="J534" s="8" t="s">
        <v>43</v>
      </c>
      <c r="K534" s="8" t="s">
        <v>41</v>
      </c>
      <c r="L534" s="8" t="s">
        <v>110</v>
      </c>
      <c r="M534" s="11" t="s">
        <v>3189</v>
      </c>
      <c r="N534" s="8">
        <v>69</v>
      </c>
      <c r="O534" s="8">
        <v>41</v>
      </c>
      <c r="P534" s="8">
        <v>28</v>
      </c>
      <c r="Q534" s="8">
        <v>12</v>
      </c>
      <c r="R534" s="8">
        <v>6</v>
      </c>
      <c r="S534" s="8">
        <v>2</v>
      </c>
      <c r="T534" s="8">
        <v>1</v>
      </c>
      <c r="U534" s="8">
        <v>11</v>
      </c>
      <c r="V534" s="8">
        <v>6</v>
      </c>
      <c r="W534" s="8">
        <v>8</v>
      </c>
      <c r="X534" s="8">
        <v>6</v>
      </c>
      <c r="Y534" s="8">
        <v>36</v>
      </c>
      <c r="Z534" s="8">
        <v>22</v>
      </c>
      <c r="AA534" s="8">
        <v>0</v>
      </c>
      <c r="AB534" s="8">
        <v>0</v>
      </c>
      <c r="AC534" s="19">
        <f t="shared" si="48"/>
        <v>6</v>
      </c>
      <c r="AD534" s="19">
        <f t="shared" si="49"/>
        <v>1</v>
      </c>
      <c r="AE534" s="19">
        <f t="shared" si="50"/>
        <v>5</v>
      </c>
      <c r="AF534" s="19">
        <f t="shared" si="51"/>
        <v>2</v>
      </c>
      <c r="AG534" s="19">
        <f t="shared" si="52"/>
        <v>14</v>
      </c>
      <c r="AH534" s="19">
        <f t="shared" si="53"/>
        <v>0</v>
      </c>
    </row>
    <row r="535" spans="1:34">
      <c r="A535" s="8" t="s">
        <v>619</v>
      </c>
      <c r="B535" s="8" t="s">
        <v>3191</v>
      </c>
      <c r="C535" s="8" t="s">
        <v>6</v>
      </c>
      <c r="D535" s="8" t="s">
        <v>3</v>
      </c>
      <c r="E535" s="8" t="s">
        <v>43</v>
      </c>
      <c r="F535" s="8" t="s">
        <v>4</v>
      </c>
      <c r="G535" s="8" t="s">
        <v>9</v>
      </c>
      <c r="H535" s="8" t="s">
        <v>446</v>
      </c>
      <c r="I535" s="8" t="s">
        <v>41</v>
      </c>
      <c r="J535" s="8" t="s">
        <v>43</v>
      </c>
      <c r="K535" s="8" t="s">
        <v>41</v>
      </c>
      <c r="L535" s="8" t="s">
        <v>110</v>
      </c>
      <c r="M535" s="11" t="s">
        <v>3192</v>
      </c>
      <c r="N535" s="8">
        <v>8</v>
      </c>
      <c r="O535" s="8">
        <v>6</v>
      </c>
      <c r="P535" s="8">
        <v>2</v>
      </c>
      <c r="Q535" s="8">
        <v>0</v>
      </c>
      <c r="R535" s="8">
        <v>0</v>
      </c>
      <c r="S535" s="8">
        <v>0</v>
      </c>
      <c r="T535" s="8">
        <v>0</v>
      </c>
      <c r="U535" s="8">
        <v>1</v>
      </c>
      <c r="V535" s="8">
        <v>1</v>
      </c>
      <c r="W535" s="8">
        <v>6</v>
      </c>
      <c r="X535" s="8">
        <v>4</v>
      </c>
      <c r="Y535" s="8">
        <v>1</v>
      </c>
      <c r="Z535" s="8">
        <v>1</v>
      </c>
      <c r="AA535" s="8">
        <v>0</v>
      </c>
      <c r="AB535" s="8">
        <v>0</v>
      </c>
      <c r="AC535" s="19">
        <f t="shared" si="48"/>
        <v>0</v>
      </c>
      <c r="AD535" s="19">
        <f t="shared" si="49"/>
        <v>0</v>
      </c>
      <c r="AE535" s="19">
        <f t="shared" si="50"/>
        <v>0</v>
      </c>
      <c r="AF535" s="19">
        <f t="shared" si="51"/>
        <v>2</v>
      </c>
      <c r="AG535" s="19">
        <f t="shared" si="52"/>
        <v>0</v>
      </c>
      <c r="AH535" s="19">
        <f t="shared" si="53"/>
        <v>0</v>
      </c>
    </row>
    <row r="536" spans="1:34">
      <c r="A536" s="8" t="s">
        <v>621</v>
      </c>
      <c r="B536" s="8" t="s">
        <v>3194</v>
      </c>
      <c r="C536" s="8" t="s">
        <v>4</v>
      </c>
      <c r="D536" s="8" t="s">
        <v>5</v>
      </c>
      <c r="E536" s="8" t="s">
        <v>41</v>
      </c>
      <c r="F536" s="8" t="s">
        <v>6</v>
      </c>
      <c r="G536" s="8" t="s">
        <v>12</v>
      </c>
      <c r="H536" s="8" t="s">
        <v>309</v>
      </c>
      <c r="I536" s="8" t="s">
        <v>41</v>
      </c>
      <c r="J536" s="8" t="s">
        <v>43</v>
      </c>
      <c r="K536" s="8" t="s">
        <v>41</v>
      </c>
      <c r="L536" s="8" t="s">
        <v>110</v>
      </c>
      <c r="M536" s="11" t="s">
        <v>3195</v>
      </c>
      <c r="N536" s="8">
        <v>5</v>
      </c>
      <c r="O536" s="8">
        <v>5</v>
      </c>
      <c r="P536" s="8">
        <v>0</v>
      </c>
      <c r="Q536" s="8">
        <v>0</v>
      </c>
      <c r="R536" s="8">
        <v>0</v>
      </c>
      <c r="S536" s="8">
        <v>1</v>
      </c>
      <c r="T536" s="8">
        <v>1</v>
      </c>
      <c r="U536" s="8">
        <v>0</v>
      </c>
      <c r="V536" s="8">
        <v>0</v>
      </c>
      <c r="W536" s="8">
        <v>3</v>
      </c>
      <c r="X536" s="8">
        <v>3</v>
      </c>
      <c r="Y536" s="8">
        <v>1</v>
      </c>
      <c r="Z536" s="8">
        <v>1</v>
      </c>
      <c r="AA536" s="8">
        <v>0</v>
      </c>
      <c r="AB536" s="8">
        <v>0</v>
      </c>
      <c r="AC536" s="19">
        <f t="shared" si="48"/>
        <v>0</v>
      </c>
      <c r="AD536" s="19">
        <f t="shared" si="49"/>
        <v>0</v>
      </c>
      <c r="AE536" s="19">
        <f t="shared" si="50"/>
        <v>0</v>
      </c>
      <c r="AF536" s="19">
        <f t="shared" si="51"/>
        <v>0</v>
      </c>
      <c r="AG536" s="19">
        <f t="shared" si="52"/>
        <v>0</v>
      </c>
      <c r="AH536" s="19">
        <f t="shared" si="53"/>
        <v>0</v>
      </c>
    </row>
    <row r="537" spans="1:34">
      <c r="A537" s="8" t="s">
        <v>622</v>
      </c>
      <c r="B537" s="8" t="s">
        <v>3197</v>
      </c>
      <c r="C537" s="8" t="s">
        <v>956</v>
      </c>
      <c r="D537" s="8" t="s">
        <v>4</v>
      </c>
      <c r="E537" s="8" t="s">
        <v>41</v>
      </c>
      <c r="F537" s="8" t="s">
        <v>11</v>
      </c>
      <c r="G537" s="8" t="s">
        <v>8</v>
      </c>
      <c r="H537" s="8" t="s">
        <v>308</v>
      </c>
      <c r="I537" s="8" t="s">
        <v>41</v>
      </c>
      <c r="J537" s="8" t="s">
        <v>43</v>
      </c>
      <c r="K537" s="8" t="s">
        <v>41</v>
      </c>
      <c r="L537" s="8" t="s">
        <v>110</v>
      </c>
      <c r="M537" s="11" t="s">
        <v>3198</v>
      </c>
      <c r="N537" s="8">
        <v>297</v>
      </c>
      <c r="O537" s="8">
        <v>177</v>
      </c>
      <c r="P537" s="8">
        <v>120</v>
      </c>
      <c r="Q537" s="8">
        <v>131</v>
      </c>
      <c r="R537" s="8">
        <v>75</v>
      </c>
      <c r="S537" s="8">
        <v>51</v>
      </c>
      <c r="T537" s="8">
        <v>44</v>
      </c>
      <c r="U537" s="8">
        <v>22</v>
      </c>
      <c r="V537" s="8">
        <v>13</v>
      </c>
      <c r="W537" s="8">
        <v>68</v>
      </c>
      <c r="X537" s="8">
        <v>30</v>
      </c>
      <c r="Y537" s="8">
        <v>25</v>
      </c>
      <c r="Z537" s="8">
        <v>15</v>
      </c>
      <c r="AA537" s="8">
        <v>0</v>
      </c>
      <c r="AB537" s="8">
        <v>0</v>
      </c>
      <c r="AC537" s="19">
        <f t="shared" si="48"/>
        <v>56</v>
      </c>
      <c r="AD537" s="19">
        <f t="shared" si="49"/>
        <v>7</v>
      </c>
      <c r="AE537" s="19">
        <f t="shared" si="50"/>
        <v>9</v>
      </c>
      <c r="AF537" s="19">
        <f t="shared" si="51"/>
        <v>38</v>
      </c>
      <c r="AG537" s="19">
        <f t="shared" si="52"/>
        <v>10</v>
      </c>
      <c r="AH537" s="19">
        <f t="shared" si="53"/>
        <v>0</v>
      </c>
    </row>
    <row r="538" spans="1:34">
      <c r="A538" s="8" t="s">
        <v>624</v>
      </c>
      <c r="B538" s="8" t="s">
        <v>3200</v>
      </c>
      <c r="C538" s="8" t="s">
        <v>5</v>
      </c>
      <c r="D538" s="8" t="s">
        <v>7</v>
      </c>
      <c r="E538" s="8" t="s">
        <v>43</v>
      </c>
      <c r="F538" s="8" t="s">
        <v>3</v>
      </c>
      <c r="G538" s="8" t="s">
        <v>4</v>
      </c>
      <c r="H538" s="8" t="s">
        <v>610</v>
      </c>
      <c r="I538" s="8" t="s">
        <v>41</v>
      </c>
      <c r="J538" s="8" t="s">
        <v>41</v>
      </c>
      <c r="K538" s="8" t="s">
        <v>41</v>
      </c>
      <c r="L538" s="8" t="s">
        <v>110</v>
      </c>
      <c r="M538" s="11" t="s">
        <v>3201</v>
      </c>
      <c r="N538" s="8">
        <v>160</v>
      </c>
      <c r="O538" s="8">
        <v>93</v>
      </c>
      <c r="P538" s="8">
        <v>67</v>
      </c>
      <c r="Q538" s="8">
        <v>32</v>
      </c>
      <c r="R538" s="8">
        <v>23</v>
      </c>
      <c r="S538" s="8">
        <v>32</v>
      </c>
      <c r="T538" s="8">
        <v>15</v>
      </c>
      <c r="U538" s="8">
        <v>38</v>
      </c>
      <c r="V538" s="8">
        <v>15</v>
      </c>
      <c r="W538" s="8">
        <v>14</v>
      </c>
      <c r="X538" s="8">
        <v>8</v>
      </c>
      <c r="Y538" s="8">
        <v>44</v>
      </c>
      <c r="Z538" s="8">
        <v>32</v>
      </c>
      <c r="AA538" s="8">
        <v>0</v>
      </c>
      <c r="AB538" s="8">
        <v>0</v>
      </c>
      <c r="AC538" s="19">
        <f t="shared" si="48"/>
        <v>9</v>
      </c>
      <c r="AD538" s="19">
        <f t="shared" si="49"/>
        <v>17</v>
      </c>
      <c r="AE538" s="19">
        <f t="shared" si="50"/>
        <v>23</v>
      </c>
      <c r="AF538" s="19">
        <f t="shared" si="51"/>
        <v>6</v>
      </c>
      <c r="AG538" s="19">
        <f t="shared" si="52"/>
        <v>12</v>
      </c>
      <c r="AH538" s="19">
        <f t="shared" si="53"/>
        <v>0</v>
      </c>
    </row>
    <row r="539" spans="1:34">
      <c r="A539" s="8" t="s">
        <v>625</v>
      </c>
      <c r="B539" s="8" t="s">
        <v>3203</v>
      </c>
      <c r="C539" s="8" t="s">
        <v>5</v>
      </c>
      <c r="D539" s="8" t="s">
        <v>8</v>
      </c>
      <c r="E539" s="8" t="s">
        <v>43</v>
      </c>
      <c r="F539" s="8" t="s">
        <v>5</v>
      </c>
      <c r="G539" s="8" t="s">
        <v>3</v>
      </c>
      <c r="H539" s="8" t="s">
        <v>237</v>
      </c>
      <c r="I539" s="8" t="s">
        <v>41</v>
      </c>
      <c r="J539" s="8" t="s">
        <v>41</v>
      </c>
      <c r="K539" s="8" t="s">
        <v>41</v>
      </c>
      <c r="L539" s="8" t="s">
        <v>110</v>
      </c>
      <c r="M539" s="11" t="s">
        <v>3204</v>
      </c>
      <c r="N539" s="8">
        <v>46</v>
      </c>
      <c r="O539" s="8">
        <v>32</v>
      </c>
      <c r="P539" s="8">
        <v>14</v>
      </c>
      <c r="Q539" s="8">
        <v>6</v>
      </c>
      <c r="R539" s="8">
        <v>4</v>
      </c>
      <c r="S539" s="8">
        <v>23</v>
      </c>
      <c r="T539" s="8">
        <v>14</v>
      </c>
      <c r="U539" s="8">
        <v>5</v>
      </c>
      <c r="V539" s="8">
        <v>5</v>
      </c>
      <c r="W539" s="8">
        <v>11</v>
      </c>
      <c r="X539" s="8">
        <v>9</v>
      </c>
      <c r="Y539" s="8">
        <v>1</v>
      </c>
      <c r="Z539" s="8">
        <v>0</v>
      </c>
      <c r="AA539" s="8">
        <v>0</v>
      </c>
      <c r="AB539" s="8">
        <v>0</v>
      </c>
      <c r="AC539" s="19">
        <f t="shared" si="48"/>
        <v>2</v>
      </c>
      <c r="AD539" s="19">
        <f t="shared" si="49"/>
        <v>9</v>
      </c>
      <c r="AE539" s="19">
        <f t="shared" si="50"/>
        <v>0</v>
      </c>
      <c r="AF539" s="19">
        <f t="shared" si="51"/>
        <v>2</v>
      </c>
      <c r="AG539" s="19">
        <f t="shared" si="52"/>
        <v>1</v>
      </c>
      <c r="AH539" s="19">
        <f t="shared" si="53"/>
        <v>0</v>
      </c>
    </row>
    <row r="540" spans="1:34">
      <c r="A540" s="8" t="s">
        <v>628</v>
      </c>
      <c r="B540" s="8" t="s">
        <v>3206</v>
      </c>
      <c r="C540" s="8" t="s">
        <v>953</v>
      </c>
      <c r="D540" s="8" t="s">
        <v>5</v>
      </c>
      <c r="E540" s="8" t="s">
        <v>110</v>
      </c>
      <c r="F540" s="8" t="s">
        <v>13</v>
      </c>
      <c r="G540" s="8" t="s">
        <v>7</v>
      </c>
      <c r="H540" s="8" t="s">
        <v>82</v>
      </c>
      <c r="I540" s="8" t="s">
        <v>41</v>
      </c>
      <c r="J540" s="8" t="s">
        <v>43</v>
      </c>
      <c r="K540" s="8" t="s">
        <v>41</v>
      </c>
      <c r="L540" s="8" t="s">
        <v>110</v>
      </c>
      <c r="M540" s="11" t="s">
        <v>4088</v>
      </c>
      <c r="N540" s="8">
        <v>2</v>
      </c>
      <c r="O540" s="8">
        <v>2</v>
      </c>
      <c r="P540" s="8">
        <v>0</v>
      </c>
      <c r="Q540" s="8">
        <v>0</v>
      </c>
      <c r="R540" s="8">
        <v>0</v>
      </c>
      <c r="S540" s="8">
        <v>0</v>
      </c>
      <c r="T540" s="8">
        <v>0</v>
      </c>
      <c r="U540" s="8">
        <v>1</v>
      </c>
      <c r="V540" s="8">
        <v>1</v>
      </c>
      <c r="W540" s="8">
        <v>1</v>
      </c>
      <c r="X540" s="8">
        <v>1</v>
      </c>
      <c r="Y540" s="8">
        <v>0</v>
      </c>
      <c r="Z540" s="8">
        <v>0</v>
      </c>
      <c r="AA540" s="8">
        <v>0</v>
      </c>
      <c r="AB540" s="8">
        <v>0</v>
      </c>
      <c r="AC540" s="19">
        <f t="shared" si="48"/>
        <v>0</v>
      </c>
      <c r="AD540" s="19">
        <f t="shared" si="49"/>
        <v>0</v>
      </c>
      <c r="AE540" s="19">
        <f t="shared" si="50"/>
        <v>0</v>
      </c>
      <c r="AF540" s="19">
        <f t="shared" si="51"/>
        <v>0</v>
      </c>
      <c r="AG540" s="19">
        <f t="shared" si="52"/>
        <v>0</v>
      </c>
      <c r="AH540" s="19">
        <f t="shared" si="53"/>
        <v>0</v>
      </c>
    </row>
    <row r="541" spans="1:34">
      <c r="A541" s="8" t="s">
        <v>929</v>
      </c>
      <c r="B541" s="8" t="s">
        <v>3207</v>
      </c>
      <c r="C541" s="8" t="s">
        <v>752</v>
      </c>
      <c r="D541" s="8" t="s">
        <v>4</v>
      </c>
      <c r="E541" s="8" t="s">
        <v>41</v>
      </c>
      <c r="F541" s="8" t="s">
        <v>5</v>
      </c>
      <c r="G541" s="8" t="s">
        <v>4</v>
      </c>
      <c r="H541" s="8" t="s">
        <v>158</v>
      </c>
      <c r="I541" s="8" t="s">
        <v>41</v>
      </c>
      <c r="J541" s="8" t="s">
        <v>41</v>
      </c>
      <c r="K541" s="8" t="s">
        <v>41</v>
      </c>
      <c r="L541" s="8" t="s">
        <v>110</v>
      </c>
      <c r="M541" s="11" t="s">
        <v>3208</v>
      </c>
      <c r="N541" s="8">
        <v>137</v>
      </c>
      <c r="O541" s="8">
        <v>80</v>
      </c>
      <c r="P541" s="8">
        <v>57</v>
      </c>
      <c r="Q541" s="8">
        <v>37</v>
      </c>
      <c r="R541" s="8">
        <v>19</v>
      </c>
      <c r="S541" s="8">
        <v>16</v>
      </c>
      <c r="T541" s="8">
        <v>10</v>
      </c>
      <c r="U541" s="8">
        <v>32</v>
      </c>
      <c r="V541" s="8">
        <v>20</v>
      </c>
      <c r="W541" s="8">
        <v>28</v>
      </c>
      <c r="X541" s="8">
        <v>12</v>
      </c>
      <c r="Y541" s="8">
        <v>24</v>
      </c>
      <c r="Z541" s="8">
        <v>19</v>
      </c>
      <c r="AA541" s="8">
        <v>0</v>
      </c>
      <c r="AB541" s="8">
        <v>0</v>
      </c>
      <c r="AC541" s="19">
        <f t="shared" si="48"/>
        <v>18</v>
      </c>
      <c r="AD541" s="19">
        <f t="shared" si="49"/>
        <v>6</v>
      </c>
      <c r="AE541" s="19">
        <f t="shared" si="50"/>
        <v>12</v>
      </c>
      <c r="AF541" s="19">
        <f t="shared" si="51"/>
        <v>16</v>
      </c>
      <c r="AG541" s="19">
        <f t="shared" si="52"/>
        <v>5</v>
      </c>
      <c r="AH541" s="19">
        <f t="shared" si="53"/>
        <v>0</v>
      </c>
    </row>
    <row r="542" spans="1:34">
      <c r="A542" s="8" t="s">
        <v>1161</v>
      </c>
      <c r="B542" s="8" t="s">
        <v>3212</v>
      </c>
      <c r="C542" s="8" t="s">
        <v>118</v>
      </c>
      <c r="D542" s="8" t="s">
        <v>8</v>
      </c>
      <c r="E542" s="8" t="s">
        <v>41</v>
      </c>
      <c r="F542" s="8" t="s">
        <v>388</v>
      </c>
      <c r="G542" s="8" t="s">
        <v>11</v>
      </c>
      <c r="H542" s="8" t="s">
        <v>217</v>
      </c>
      <c r="I542" s="8" t="s">
        <v>41</v>
      </c>
      <c r="J542" s="8" t="s">
        <v>43</v>
      </c>
      <c r="K542" s="8" t="s">
        <v>41</v>
      </c>
      <c r="L542" s="8" t="s">
        <v>110</v>
      </c>
      <c r="M542" s="11" t="s">
        <v>3213</v>
      </c>
      <c r="N542" s="8">
        <v>141</v>
      </c>
      <c r="O542" s="8">
        <v>86</v>
      </c>
      <c r="P542" s="8">
        <v>55</v>
      </c>
      <c r="Q542" s="8">
        <v>31</v>
      </c>
      <c r="R542" s="8">
        <v>19</v>
      </c>
      <c r="S542" s="8">
        <v>30</v>
      </c>
      <c r="T542" s="8">
        <v>16</v>
      </c>
      <c r="U542" s="8">
        <v>19</v>
      </c>
      <c r="V542" s="8">
        <v>15</v>
      </c>
      <c r="W542" s="8">
        <v>42</v>
      </c>
      <c r="X542" s="8">
        <v>26</v>
      </c>
      <c r="Y542" s="8">
        <v>19</v>
      </c>
      <c r="Z542" s="8">
        <v>10</v>
      </c>
      <c r="AA542" s="8">
        <v>0</v>
      </c>
      <c r="AB542" s="8">
        <v>0</v>
      </c>
      <c r="AC542" s="19">
        <f t="shared" si="48"/>
        <v>12</v>
      </c>
      <c r="AD542" s="19">
        <f t="shared" si="49"/>
        <v>14</v>
      </c>
      <c r="AE542" s="19">
        <f t="shared" si="50"/>
        <v>4</v>
      </c>
      <c r="AF542" s="19">
        <f t="shared" si="51"/>
        <v>16</v>
      </c>
      <c r="AG542" s="19">
        <f t="shared" si="52"/>
        <v>9</v>
      </c>
      <c r="AH542" s="19">
        <f t="shared" si="53"/>
        <v>0</v>
      </c>
    </row>
    <row r="543" spans="1:34">
      <c r="A543" s="8" t="s">
        <v>630</v>
      </c>
      <c r="B543" s="8" t="s">
        <v>3215</v>
      </c>
      <c r="C543" s="8" t="s">
        <v>953</v>
      </c>
      <c r="D543" s="8" t="s">
        <v>5</v>
      </c>
      <c r="E543" s="8" t="s">
        <v>110</v>
      </c>
      <c r="F543" s="8" t="s">
        <v>13</v>
      </c>
      <c r="G543" s="8" t="s">
        <v>7</v>
      </c>
      <c r="H543" s="8" t="s">
        <v>1191</v>
      </c>
      <c r="I543" s="8" t="s">
        <v>41</v>
      </c>
      <c r="J543" s="8" t="s">
        <v>43</v>
      </c>
      <c r="K543" s="8" t="s">
        <v>41</v>
      </c>
      <c r="L543" s="8" t="s">
        <v>110</v>
      </c>
      <c r="M543" s="11" t="s">
        <v>3216</v>
      </c>
      <c r="N543" s="8">
        <v>6</v>
      </c>
      <c r="O543" s="8">
        <v>6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6</v>
      </c>
      <c r="X543" s="8">
        <v>6</v>
      </c>
      <c r="Y543" s="8">
        <v>0</v>
      </c>
      <c r="Z543" s="8">
        <v>0</v>
      </c>
      <c r="AA543" s="8">
        <v>0</v>
      </c>
      <c r="AB543" s="8">
        <v>0</v>
      </c>
      <c r="AC543" s="19">
        <f t="shared" si="48"/>
        <v>0</v>
      </c>
      <c r="AD543" s="19">
        <f t="shared" si="49"/>
        <v>0</v>
      </c>
      <c r="AE543" s="19">
        <f t="shared" si="50"/>
        <v>0</v>
      </c>
      <c r="AF543" s="19">
        <f t="shared" si="51"/>
        <v>0</v>
      </c>
      <c r="AG543" s="19">
        <f t="shared" si="52"/>
        <v>0</v>
      </c>
      <c r="AH543" s="19">
        <f t="shared" si="53"/>
        <v>0</v>
      </c>
    </row>
    <row r="544" spans="1:34">
      <c r="A544" s="8" t="s">
        <v>632</v>
      </c>
      <c r="B544" s="8" t="s">
        <v>3218</v>
      </c>
      <c r="C544" s="8" t="s">
        <v>754</v>
      </c>
      <c r="D544" s="8" t="s">
        <v>8</v>
      </c>
      <c r="E544" s="8" t="s">
        <v>68</v>
      </c>
      <c r="F544" s="8" t="s">
        <v>4</v>
      </c>
      <c r="G544" s="8" t="s">
        <v>7</v>
      </c>
      <c r="H544" s="8" t="s">
        <v>651</v>
      </c>
      <c r="I544" s="8" t="s">
        <v>41</v>
      </c>
      <c r="J544" s="8" t="s">
        <v>41</v>
      </c>
      <c r="K544" s="8" t="s">
        <v>41</v>
      </c>
      <c r="L544" s="8" t="s">
        <v>110</v>
      </c>
      <c r="M544" s="11" t="s">
        <v>3219</v>
      </c>
      <c r="N544" s="8">
        <v>82</v>
      </c>
      <c r="O544" s="8">
        <v>50</v>
      </c>
      <c r="P544" s="8">
        <v>32</v>
      </c>
      <c r="Q544" s="8">
        <v>25</v>
      </c>
      <c r="R544" s="8">
        <v>14</v>
      </c>
      <c r="S544" s="8">
        <v>17</v>
      </c>
      <c r="T544" s="8">
        <v>12</v>
      </c>
      <c r="U544" s="8">
        <v>16</v>
      </c>
      <c r="V544" s="8">
        <v>12</v>
      </c>
      <c r="W544" s="8">
        <v>14</v>
      </c>
      <c r="X544" s="8">
        <v>8</v>
      </c>
      <c r="Y544" s="8">
        <v>10</v>
      </c>
      <c r="Z544" s="8">
        <v>4</v>
      </c>
      <c r="AA544" s="8">
        <v>0</v>
      </c>
      <c r="AB544" s="8">
        <v>0</v>
      </c>
      <c r="AC544" s="19">
        <f t="shared" si="48"/>
        <v>11</v>
      </c>
      <c r="AD544" s="19">
        <f t="shared" si="49"/>
        <v>5</v>
      </c>
      <c r="AE544" s="19">
        <f t="shared" si="50"/>
        <v>4</v>
      </c>
      <c r="AF544" s="19">
        <f t="shared" si="51"/>
        <v>6</v>
      </c>
      <c r="AG544" s="19">
        <f t="shared" si="52"/>
        <v>6</v>
      </c>
      <c r="AH544" s="19">
        <f t="shared" si="53"/>
        <v>0</v>
      </c>
    </row>
    <row r="545" spans="1:34">
      <c r="A545" s="8" t="s">
        <v>634</v>
      </c>
      <c r="B545" s="8" t="s">
        <v>3222</v>
      </c>
      <c r="C545" s="8" t="s">
        <v>8</v>
      </c>
      <c r="D545" s="8" t="s">
        <v>9</v>
      </c>
      <c r="E545" s="8" t="s">
        <v>56</v>
      </c>
      <c r="F545" s="8" t="s">
        <v>7</v>
      </c>
      <c r="G545" s="8" t="s">
        <v>17</v>
      </c>
      <c r="H545" s="8" t="s">
        <v>869</v>
      </c>
      <c r="I545" s="8" t="s">
        <v>41</v>
      </c>
      <c r="J545" s="8" t="s">
        <v>43</v>
      </c>
      <c r="K545" s="8" t="s">
        <v>41</v>
      </c>
      <c r="L545" s="8" t="s">
        <v>110</v>
      </c>
      <c r="M545" s="11" t="s">
        <v>3448</v>
      </c>
      <c r="N545" s="8">
        <v>50</v>
      </c>
      <c r="O545" s="8">
        <v>22</v>
      </c>
      <c r="P545" s="8">
        <v>28</v>
      </c>
      <c r="Q545" s="8">
        <v>20</v>
      </c>
      <c r="R545" s="8">
        <v>8</v>
      </c>
      <c r="S545" s="8">
        <v>9</v>
      </c>
      <c r="T545" s="8">
        <v>6</v>
      </c>
      <c r="U545" s="8">
        <v>8</v>
      </c>
      <c r="V545" s="8">
        <v>3</v>
      </c>
      <c r="W545" s="8">
        <v>13</v>
      </c>
      <c r="X545" s="8">
        <v>5</v>
      </c>
      <c r="Y545" s="8">
        <v>0</v>
      </c>
      <c r="Z545" s="8">
        <v>0</v>
      </c>
      <c r="AA545" s="8">
        <v>0</v>
      </c>
      <c r="AB545" s="8">
        <v>0</v>
      </c>
      <c r="AC545" s="19">
        <f t="shared" si="48"/>
        <v>12</v>
      </c>
      <c r="AD545" s="19">
        <f t="shared" si="49"/>
        <v>3</v>
      </c>
      <c r="AE545" s="19">
        <f t="shared" si="50"/>
        <v>5</v>
      </c>
      <c r="AF545" s="19">
        <f t="shared" si="51"/>
        <v>8</v>
      </c>
      <c r="AG545" s="19">
        <f t="shared" si="52"/>
        <v>0</v>
      </c>
      <c r="AH545" s="19">
        <f t="shared" si="53"/>
        <v>0</v>
      </c>
    </row>
    <row r="546" spans="1:34">
      <c r="A546" s="8" t="s">
        <v>499</v>
      </c>
      <c r="B546" s="8" t="s">
        <v>3225</v>
      </c>
      <c r="C546" s="8" t="s">
        <v>4</v>
      </c>
      <c r="D546" s="8" t="s">
        <v>4</v>
      </c>
      <c r="E546" s="8" t="s">
        <v>41</v>
      </c>
      <c r="F546" s="8" t="s">
        <v>6</v>
      </c>
      <c r="G546" s="8" t="s">
        <v>4</v>
      </c>
      <c r="H546" s="8" t="s">
        <v>1070</v>
      </c>
      <c r="I546" s="8" t="s">
        <v>41</v>
      </c>
      <c r="J546" s="8" t="s">
        <v>43</v>
      </c>
      <c r="K546" s="8" t="s">
        <v>41</v>
      </c>
      <c r="L546" s="8" t="s">
        <v>110</v>
      </c>
      <c r="M546" s="11" t="s">
        <v>4089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>
        <v>0</v>
      </c>
      <c r="X546" s="8">
        <v>0</v>
      </c>
      <c r="Y546" s="8">
        <v>0</v>
      </c>
      <c r="Z546" s="8">
        <v>0</v>
      </c>
      <c r="AA546" s="8">
        <v>0</v>
      </c>
      <c r="AB546" s="8">
        <v>0</v>
      </c>
      <c r="AC546" s="19">
        <f t="shared" si="48"/>
        <v>0</v>
      </c>
      <c r="AD546" s="19">
        <f t="shared" si="49"/>
        <v>0</v>
      </c>
      <c r="AE546" s="19">
        <f t="shared" si="50"/>
        <v>0</v>
      </c>
      <c r="AF546" s="19">
        <f t="shared" si="51"/>
        <v>0</v>
      </c>
      <c r="AG546" s="19">
        <f t="shared" si="52"/>
        <v>0</v>
      </c>
      <c r="AH546" s="19">
        <f t="shared" si="53"/>
        <v>0</v>
      </c>
    </row>
    <row r="547" spans="1:34">
      <c r="A547" s="8" t="s">
        <v>635</v>
      </c>
      <c r="B547" s="8" t="s">
        <v>3226</v>
      </c>
      <c r="C547" s="8" t="s">
        <v>4</v>
      </c>
      <c r="D547" s="8" t="s">
        <v>8</v>
      </c>
      <c r="E547" s="8" t="s">
        <v>41</v>
      </c>
      <c r="F547" s="8" t="s">
        <v>304</v>
      </c>
      <c r="G547" s="8" t="s">
        <v>5</v>
      </c>
      <c r="H547" s="8" t="s">
        <v>130</v>
      </c>
      <c r="I547" s="8" t="s">
        <v>41</v>
      </c>
      <c r="J547" s="8" t="s">
        <v>43</v>
      </c>
      <c r="K547" s="8" t="s">
        <v>41</v>
      </c>
      <c r="L547" s="8" t="s">
        <v>110</v>
      </c>
      <c r="M547" s="11" t="s">
        <v>4090</v>
      </c>
      <c r="N547" s="8">
        <v>25</v>
      </c>
      <c r="O547" s="8">
        <v>11</v>
      </c>
      <c r="P547" s="8">
        <v>14</v>
      </c>
      <c r="Q547" s="8">
        <v>1</v>
      </c>
      <c r="R547" s="8">
        <v>1</v>
      </c>
      <c r="S547" s="8">
        <v>10</v>
      </c>
      <c r="T547" s="8">
        <v>4</v>
      </c>
      <c r="U547" s="8">
        <v>6</v>
      </c>
      <c r="V547" s="8">
        <v>4</v>
      </c>
      <c r="W547" s="8">
        <v>3</v>
      </c>
      <c r="X547" s="8">
        <v>1</v>
      </c>
      <c r="Y547" s="8">
        <v>5</v>
      </c>
      <c r="Z547" s="8">
        <v>1</v>
      </c>
      <c r="AA547" s="8">
        <v>0</v>
      </c>
      <c r="AB547" s="8">
        <v>0</v>
      </c>
      <c r="AC547" s="19">
        <f t="shared" si="48"/>
        <v>0</v>
      </c>
      <c r="AD547" s="19">
        <f t="shared" si="49"/>
        <v>6</v>
      </c>
      <c r="AE547" s="19">
        <f t="shared" si="50"/>
        <v>2</v>
      </c>
      <c r="AF547" s="19">
        <f t="shared" si="51"/>
        <v>2</v>
      </c>
      <c r="AG547" s="19">
        <f t="shared" si="52"/>
        <v>4</v>
      </c>
      <c r="AH547" s="19">
        <f t="shared" si="53"/>
        <v>0</v>
      </c>
    </row>
    <row r="548" spans="1:34">
      <c r="A548" s="8" t="s">
        <v>636</v>
      </c>
      <c r="B548" s="8" t="s">
        <v>3227</v>
      </c>
      <c r="C548" s="8" t="s">
        <v>7</v>
      </c>
      <c r="D548" s="8" t="s">
        <v>6</v>
      </c>
      <c r="E548" s="8" t="s">
        <v>56</v>
      </c>
      <c r="F548" s="8" t="s">
        <v>9</v>
      </c>
      <c r="G548" s="8" t="s">
        <v>7</v>
      </c>
      <c r="H548" s="8" t="s">
        <v>402</v>
      </c>
      <c r="I548" s="8" t="s">
        <v>41</v>
      </c>
      <c r="J548" s="8" t="s">
        <v>41</v>
      </c>
      <c r="K548" s="8" t="s">
        <v>41</v>
      </c>
      <c r="L548" s="8" t="s">
        <v>110</v>
      </c>
      <c r="M548" s="11" t="s">
        <v>3228</v>
      </c>
      <c r="N548" s="8">
        <v>58</v>
      </c>
      <c r="O548" s="8">
        <v>37</v>
      </c>
      <c r="P548" s="8">
        <v>21</v>
      </c>
      <c r="Q548" s="8">
        <v>20</v>
      </c>
      <c r="R548" s="8">
        <v>13</v>
      </c>
      <c r="S548" s="8">
        <v>13</v>
      </c>
      <c r="T548" s="8">
        <v>9</v>
      </c>
      <c r="U548" s="8">
        <v>7</v>
      </c>
      <c r="V548" s="8">
        <v>4</v>
      </c>
      <c r="W548" s="8">
        <v>8</v>
      </c>
      <c r="X548" s="8">
        <v>3</v>
      </c>
      <c r="Y548" s="8">
        <v>10</v>
      </c>
      <c r="Z548" s="8">
        <v>8</v>
      </c>
      <c r="AA548" s="8">
        <v>0</v>
      </c>
      <c r="AB548" s="8">
        <v>0</v>
      </c>
      <c r="AC548" s="19">
        <f t="shared" si="48"/>
        <v>7</v>
      </c>
      <c r="AD548" s="19">
        <f t="shared" si="49"/>
        <v>4</v>
      </c>
      <c r="AE548" s="19">
        <f t="shared" si="50"/>
        <v>3</v>
      </c>
      <c r="AF548" s="19">
        <f t="shared" si="51"/>
        <v>5</v>
      </c>
      <c r="AG548" s="19">
        <f t="shared" si="52"/>
        <v>2</v>
      </c>
      <c r="AH548" s="19">
        <f t="shared" si="53"/>
        <v>0</v>
      </c>
    </row>
    <row r="549" spans="1:34">
      <c r="A549" s="8" t="s">
        <v>1147</v>
      </c>
      <c r="B549" s="8" t="s">
        <v>3229</v>
      </c>
      <c r="C549" s="8" t="s">
        <v>304</v>
      </c>
      <c r="D549" s="8" t="s">
        <v>6</v>
      </c>
      <c r="E549" s="8" t="s">
        <v>68</v>
      </c>
      <c r="F549" s="8" t="s">
        <v>5</v>
      </c>
      <c r="G549" s="8" t="s">
        <v>4</v>
      </c>
      <c r="H549" s="8" t="s">
        <v>117</v>
      </c>
      <c r="I549" s="8" t="s">
        <v>41</v>
      </c>
      <c r="J549" s="8" t="s">
        <v>43</v>
      </c>
      <c r="K549" s="8" t="s">
        <v>41</v>
      </c>
      <c r="L549" s="8" t="s">
        <v>110</v>
      </c>
      <c r="M549" s="11" t="s">
        <v>5639</v>
      </c>
      <c r="N549" s="8">
        <v>80</v>
      </c>
      <c r="O549" s="8">
        <v>44</v>
      </c>
      <c r="P549" s="8">
        <v>36</v>
      </c>
      <c r="Q549" s="8">
        <v>26</v>
      </c>
      <c r="R549" s="8">
        <v>14</v>
      </c>
      <c r="S549" s="8">
        <v>16</v>
      </c>
      <c r="T549" s="8">
        <v>11</v>
      </c>
      <c r="U549" s="8">
        <v>15</v>
      </c>
      <c r="V549" s="8">
        <v>7</v>
      </c>
      <c r="W549" s="8">
        <v>9</v>
      </c>
      <c r="X549" s="8">
        <v>6</v>
      </c>
      <c r="Y549" s="8">
        <v>14</v>
      </c>
      <c r="Z549" s="8">
        <v>6</v>
      </c>
      <c r="AA549" s="8">
        <v>0</v>
      </c>
      <c r="AB549" s="8">
        <v>0</v>
      </c>
      <c r="AC549" s="19">
        <f t="shared" si="48"/>
        <v>12</v>
      </c>
      <c r="AD549" s="19">
        <f t="shared" si="49"/>
        <v>5</v>
      </c>
      <c r="AE549" s="19">
        <f t="shared" si="50"/>
        <v>8</v>
      </c>
      <c r="AF549" s="19">
        <f t="shared" si="51"/>
        <v>3</v>
      </c>
      <c r="AG549" s="19">
        <f t="shared" si="52"/>
        <v>8</v>
      </c>
      <c r="AH549" s="19">
        <f t="shared" si="53"/>
        <v>0</v>
      </c>
    </row>
    <row r="550" spans="1:34">
      <c r="A550" s="8" t="s">
        <v>915</v>
      </c>
      <c r="B550" s="8" t="s">
        <v>3230</v>
      </c>
      <c r="C550" s="8" t="s">
        <v>5</v>
      </c>
      <c r="D550" s="8" t="s">
        <v>12</v>
      </c>
      <c r="E550" s="8" t="s">
        <v>43</v>
      </c>
      <c r="F550" s="8" t="s">
        <v>6</v>
      </c>
      <c r="G550" s="8" t="s">
        <v>6</v>
      </c>
      <c r="H550" s="8" t="s">
        <v>654</v>
      </c>
      <c r="I550" s="8" t="s">
        <v>41</v>
      </c>
      <c r="J550" s="8" t="s">
        <v>43</v>
      </c>
      <c r="K550" s="8" t="s">
        <v>41</v>
      </c>
      <c r="L550" s="8" t="s">
        <v>110</v>
      </c>
      <c r="M550" s="11" t="s">
        <v>3743</v>
      </c>
      <c r="N550" s="8">
        <v>70</v>
      </c>
      <c r="O550" s="8">
        <v>38</v>
      </c>
      <c r="P550" s="8">
        <v>32</v>
      </c>
      <c r="Q550" s="8">
        <v>20</v>
      </c>
      <c r="R550" s="8">
        <v>11</v>
      </c>
      <c r="S550" s="8">
        <v>18</v>
      </c>
      <c r="T550" s="8">
        <v>9</v>
      </c>
      <c r="U550" s="8">
        <v>9</v>
      </c>
      <c r="V550" s="8">
        <v>5</v>
      </c>
      <c r="W550" s="8">
        <v>18</v>
      </c>
      <c r="X550" s="8">
        <v>10</v>
      </c>
      <c r="Y550" s="8">
        <v>5</v>
      </c>
      <c r="Z550" s="8">
        <v>3</v>
      </c>
      <c r="AA550" s="8">
        <v>0</v>
      </c>
      <c r="AB550" s="8">
        <v>0</v>
      </c>
      <c r="AC550" s="19">
        <f t="shared" si="48"/>
        <v>9</v>
      </c>
      <c r="AD550" s="19">
        <f t="shared" si="49"/>
        <v>9</v>
      </c>
      <c r="AE550" s="19">
        <f t="shared" si="50"/>
        <v>4</v>
      </c>
      <c r="AF550" s="19">
        <f t="shared" si="51"/>
        <v>8</v>
      </c>
      <c r="AG550" s="19">
        <f t="shared" si="52"/>
        <v>2</v>
      </c>
      <c r="AH550" s="19">
        <f t="shared" si="53"/>
        <v>0</v>
      </c>
    </row>
    <row r="551" spans="1:34">
      <c r="A551" s="8" t="s">
        <v>1090</v>
      </c>
      <c r="B551" s="8" t="s">
        <v>3231</v>
      </c>
      <c r="C551" s="8" t="s">
        <v>5</v>
      </c>
      <c r="D551" s="8" t="s">
        <v>13</v>
      </c>
      <c r="E551" s="8" t="s">
        <v>43</v>
      </c>
      <c r="F551" s="8" t="s">
        <v>5</v>
      </c>
      <c r="G551" s="8" t="s">
        <v>9</v>
      </c>
      <c r="H551" s="8" t="s">
        <v>638</v>
      </c>
      <c r="I551" s="8" t="s">
        <v>41</v>
      </c>
      <c r="J551" s="8" t="s">
        <v>41</v>
      </c>
      <c r="K551" s="8" t="s">
        <v>41</v>
      </c>
      <c r="L551" s="8" t="s">
        <v>110</v>
      </c>
      <c r="M551" s="11" t="s">
        <v>3232</v>
      </c>
      <c r="N551" s="8">
        <v>184</v>
      </c>
      <c r="O551" s="8">
        <v>106</v>
      </c>
      <c r="P551" s="8">
        <v>78</v>
      </c>
      <c r="Q551" s="8">
        <v>45</v>
      </c>
      <c r="R551" s="8">
        <v>22</v>
      </c>
      <c r="S551" s="8">
        <v>51</v>
      </c>
      <c r="T551" s="8">
        <v>30</v>
      </c>
      <c r="U551" s="8">
        <v>23</v>
      </c>
      <c r="V551" s="8">
        <v>13</v>
      </c>
      <c r="W551" s="8">
        <v>53</v>
      </c>
      <c r="X551" s="8">
        <v>33</v>
      </c>
      <c r="Y551" s="8">
        <v>12</v>
      </c>
      <c r="Z551" s="8">
        <v>8</v>
      </c>
      <c r="AA551" s="8">
        <v>0</v>
      </c>
      <c r="AB551" s="8">
        <v>0</v>
      </c>
      <c r="AC551" s="19">
        <f t="shared" si="48"/>
        <v>23</v>
      </c>
      <c r="AD551" s="19">
        <f t="shared" si="49"/>
        <v>21</v>
      </c>
      <c r="AE551" s="19">
        <f t="shared" si="50"/>
        <v>10</v>
      </c>
      <c r="AF551" s="19">
        <f t="shared" si="51"/>
        <v>20</v>
      </c>
      <c r="AG551" s="19">
        <f t="shared" si="52"/>
        <v>4</v>
      </c>
      <c r="AH551" s="19">
        <f t="shared" si="53"/>
        <v>0</v>
      </c>
    </row>
    <row r="552" spans="1:34">
      <c r="A552" s="8" t="s">
        <v>303</v>
      </c>
      <c r="B552" s="8" t="s">
        <v>3234</v>
      </c>
      <c r="C552" s="8" t="s">
        <v>959</v>
      </c>
      <c r="D552" s="8" t="s">
        <v>4</v>
      </c>
      <c r="E552" s="8" t="s">
        <v>68</v>
      </c>
      <c r="F552" s="8" t="s">
        <v>6</v>
      </c>
      <c r="G552" s="8" t="s">
        <v>6</v>
      </c>
      <c r="H552" s="8" t="s">
        <v>850</v>
      </c>
      <c r="I552" s="8" t="s">
        <v>41</v>
      </c>
      <c r="J552" s="8" t="s">
        <v>43</v>
      </c>
      <c r="K552" s="8" t="s">
        <v>41</v>
      </c>
      <c r="L552" s="8" t="s">
        <v>110</v>
      </c>
      <c r="M552" s="11" t="s">
        <v>3235</v>
      </c>
      <c r="N552" s="8">
        <v>4</v>
      </c>
      <c r="O552" s="8">
        <v>3</v>
      </c>
      <c r="P552" s="8">
        <v>1</v>
      </c>
      <c r="Q552" s="8">
        <v>1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>
        <v>3</v>
      </c>
      <c r="X552" s="8">
        <v>3</v>
      </c>
      <c r="Y552" s="8">
        <v>0</v>
      </c>
      <c r="Z552" s="8">
        <v>0</v>
      </c>
      <c r="AA552" s="8">
        <v>0</v>
      </c>
      <c r="AB552" s="8">
        <v>0</v>
      </c>
      <c r="AC552" s="19">
        <f t="shared" si="48"/>
        <v>1</v>
      </c>
      <c r="AD552" s="19">
        <f t="shared" si="49"/>
        <v>0</v>
      </c>
      <c r="AE552" s="19">
        <f t="shared" si="50"/>
        <v>0</v>
      </c>
      <c r="AF552" s="19">
        <f t="shared" si="51"/>
        <v>0</v>
      </c>
      <c r="AG552" s="19">
        <f t="shared" si="52"/>
        <v>0</v>
      </c>
      <c r="AH552" s="19">
        <f t="shared" si="53"/>
        <v>0</v>
      </c>
    </row>
    <row r="553" spans="1:34">
      <c r="A553" s="8" t="s">
        <v>639</v>
      </c>
      <c r="B553" s="8" t="s">
        <v>3237</v>
      </c>
      <c r="C553" s="8" t="s">
        <v>304</v>
      </c>
      <c r="D553" s="8" t="s">
        <v>11</v>
      </c>
      <c r="E553" s="8" t="s">
        <v>68</v>
      </c>
      <c r="F553" s="8" t="s">
        <v>6</v>
      </c>
      <c r="G553" s="8" t="s">
        <v>4</v>
      </c>
      <c r="H553" s="8" t="s">
        <v>741</v>
      </c>
      <c r="I553" s="8" t="s">
        <v>41</v>
      </c>
      <c r="J553" s="8" t="s">
        <v>43</v>
      </c>
      <c r="K553" s="8" t="s">
        <v>41</v>
      </c>
      <c r="L553" s="8" t="s">
        <v>110</v>
      </c>
      <c r="M553" s="11" t="s">
        <v>4763</v>
      </c>
      <c r="N553" s="8">
        <v>177</v>
      </c>
      <c r="O553" s="8">
        <v>103</v>
      </c>
      <c r="P553" s="8">
        <v>74</v>
      </c>
      <c r="Q553" s="8">
        <v>59</v>
      </c>
      <c r="R553" s="8">
        <v>31</v>
      </c>
      <c r="S553" s="8">
        <v>29</v>
      </c>
      <c r="T553" s="8">
        <v>16</v>
      </c>
      <c r="U553" s="8">
        <v>27</v>
      </c>
      <c r="V553" s="8">
        <v>19</v>
      </c>
      <c r="W553" s="8">
        <v>28</v>
      </c>
      <c r="X553" s="8">
        <v>13</v>
      </c>
      <c r="Y553" s="8">
        <v>34</v>
      </c>
      <c r="Z553" s="8">
        <v>24</v>
      </c>
      <c r="AA553" s="8">
        <v>0</v>
      </c>
      <c r="AB553" s="8">
        <v>0</v>
      </c>
      <c r="AC553" s="19">
        <f t="shared" si="48"/>
        <v>28</v>
      </c>
      <c r="AD553" s="19">
        <f t="shared" si="49"/>
        <v>13</v>
      </c>
      <c r="AE553" s="19">
        <f t="shared" si="50"/>
        <v>8</v>
      </c>
      <c r="AF553" s="19">
        <f t="shared" si="51"/>
        <v>15</v>
      </c>
      <c r="AG553" s="19">
        <f t="shared" si="52"/>
        <v>10</v>
      </c>
      <c r="AH553" s="19">
        <f t="shared" si="53"/>
        <v>0</v>
      </c>
    </row>
    <row r="554" spans="1:34">
      <c r="A554" s="8" t="s">
        <v>631</v>
      </c>
      <c r="B554" s="8" t="s">
        <v>3238</v>
      </c>
      <c r="C554" s="8" t="s">
        <v>957</v>
      </c>
      <c r="D554" s="8" t="s">
        <v>6</v>
      </c>
      <c r="E554" s="8" t="s">
        <v>41</v>
      </c>
      <c r="F554" s="8" t="s">
        <v>12</v>
      </c>
      <c r="G554" s="8" t="s">
        <v>3</v>
      </c>
      <c r="H554" s="8" t="s">
        <v>1902</v>
      </c>
      <c r="I554" s="8" t="s">
        <v>41</v>
      </c>
      <c r="J554" s="8" t="s">
        <v>41</v>
      </c>
      <c r="K554" s="8" t="s">
        <v>41</v>
      </c>
      <c r="L554" s="8" t="s">
        <v>110</v>
      </c>
      <c r="M554" s="11" t="s">
        <v>4091</v>
      </c>
      <c r="N554" s="8">
        <v>70</v>
      </c>
      <c r="O554" s="8">
        <v>45</v>
      </c>
      <c r="P554" s="8">
        <v>25</v>
      </c>
      <c r="Q554" s="8">
        <v>24</v>
      </c>
      <c r="R554" s="8">
        <v>14</v>
      </c>
      <c r="S554" s="8">
        <v>18</v>
      </c>
      <c r="T554" s="8">
        <v>15</v>
      </c>
      <c r="U554" s="8">
        <v>28</v>
      </c>
      <c r="V554" s="8">
        <v>16</v>
      </c>
      <c r="W554" s="8">
        <v>0</v>
      </c>
      <c r="X554" s="8">
        <v>0</v>
      </c>
      <c r="Y554" s="8">
        <v>0</v>
      </c>
      <c r="Z554" s="8">
        <v>0</v>
      </c>
      <c r="AA554" s="8">
        <v>0</v>
      </c>
      <c r="AB554" s="8">
        <v>0</v>
      </c>
      <c r="AC554" s="19">
        <f t="shared" si="48"/>
        <v>10</v>
      </c>
      <c r="AD554" s="19">
        <f t="shared" si="49"/>
        <v>3</v>
      </c>
      <c r="AE554" s="19">
        <f t="shared" si="50"/>
        <v>12</v>
      </c>
      <c r="AF554" s="19">
        <f t="shared" si="51"/>
        <v>0</v>
      </c>
      <c r="AG554" s="19">
        <f t="shared" si="52"/>
        <v>0</v>
      </c>
      <c r="AH554" s="19">
        <f t="shared" si="53"/>
        <v>0</v>
      </c>
    </row>
    <row r="555" spans="1:34">
      <c r="A555" s="8" t="s">
        <v>93</v>
      </c>
      <c r="B555" s="8" t="s">
        <v>3239</v>
      </c>
      <c r="C555" s="8" t="s">
        <v>7</v>
      </c>
      <c r="D555" s="8" t="s">
        <v>3</v>
      </c>
      <c r="E555" s="8" t="s">
        <v>56</v>
      </c>
      <c r="F555" s="8" t="s">
        <v>3</v>
      </c>
      <c r="G555" s="8" t="s">
        <v>4</v>
      </c>
      <c r="H555" s="8" t="s">
        <v>755</v>
      </c>
      <c r="I555" s="8" t="s">
        <v>41</v>
      </c>
      <c r="J555" s="8" t="s">
        <v>41</v>
      </c>
      <c r="K555" s="8" t="s">
        <v>41</v>
      </c>
      <c r="L555" s="8" t="s">
        <v>110</v>
      </c>
      <c r="M555" s="11" t="s">
        <v>3240</v>
      </c>
      <c r="N555" s="8">
        <v>272</v>
      </c>
      <c r="O555" s="8">
        <v>164</v>
      </c>
      <c r="P555" s="8">
        <v>108</v>
      </c>
      <c r="Q555" s="8">
        <v>5</v>
      </c>
      <c r="R555" s="8">
        <v>4</v>
      </c>
      <c r="S555" s="8">
        <v>49</v>
      </c>
      <c r="T555" s="8">
        <v>22</v>
      </c>
      <c r="U555" s="8">
        <v>77</v>
      </c>
      <c r="V555" s="8">
        <v>56</v>
      </c>
      <c r="W555" s="8">
        <v>101</v>
      </c>
      <c r="X555" s="8">
        <v>57</v>
      </c>
      <c r="Y555" s="8">
        <v>40</v>
      </c>
      <c r="Z555" s="8">
        <v>25</v>
      </c>
      <c r="AA555" s="8">
        <v>0</v>
      </c>
      <c r="AB555" s="8">
        <v>0</v>
      </c>
      <c r="AC555" s="19">
        <f t="shared" si="48"/>
        <v>1</v>
      </c>
      <c r="AD555" s="19">
        <f t="shared" si="49"/>
        <v>27</v>
      </c>
      <c r="AE555" s="19">
        <f t="shared" si="50"/>
        <v>21</v>
      </c>
      <c r="AF555" s="19">
        <f t="shared" si="51"/>
        <v>44</v>
      </c>
      <c r="AG555" s="19">
        <f t="shared" si="52"/>
        <v>15</v>
      </c>
      <c r="AH555" s="19">
        <f t="shared" si="53"/>
        <v>0</v>
      </c>
    </row>
    <row r="556" spans="1:34">
      <c r="A556" s="8" t="s">
        <v>640</v>
      </c>
      <c r="B556" s="8" t="s">
        <v>1992</v>
      </c>
      <c r="C556" s="8" t="s">
        <v>7</v>
      </c>
      <c r="D556" s="8" t="s">
        <v>3</v>
      </c>
      <c r="E556" s="8" t="s">
        <v>56</v>
      </c>
      <c r="F556" s="8" t="s">
        <v>3</v>
      </c>
      <c r="G556" s="8" t="s">
        <v>3</v>
      </c>
      <c r="H556" s="8" t="s">
        <v>62</v>
      </c>
      <c r="I556" s="8" t="s">
        <v>43</v>
      </c>
      <c r="J556" s="8" t="s">
        <v>41</v>
      </c>
      <c r="K556" s="8" t="s">
        <v>5696</v>
      </c>
      <c r="L556" s="8" t="s">
        <v>110</v>
      </c>
      <c r="M556" s="11" t="s">
        <v>5722</v>
      </c>
      <c r="N556" s="8">
        <v>26</v>
      </c>
      <c r="O556" s="8">
        <v>21</v>
      </c>
      <c r="P556" s="8">
        <v>5</v>
      </c>
      <c r="Q556" s="8">
        <v>5</v>
      </c>
      <c r="R556" s="8">
        <v>5</v>
      </c>
      <c r="S556" s="8">
        <v>1</v>
      </c>
      <c r="T556" s="8">
        <v>0</v>
      </c>
      <c r="U556" s="8">
        <v>10</v>
      </c>
      <c r="V556" s="8">
        <v>8</v>
      </c>
      <c r="W556" s="8">
        <v>10</v>
      </c>
      <c r="X556" s="8">
        <v>8</v>
      </c>
      <c r="Y556" s="8">
        <v>0</v>
      </c>
      <c r="Z556" s="8">
        <v>0</v>
      </c>
      <c r="AA556" s="8">
        <v>0</v>
      </c>
      <c r="AB556" s="8">
        <v>0</v>
      </c>
      <c r="AC556" s="19">
        <f t="shared" si="48"/>
        <v>0</v>
      </c>
      <c r="AD556" s="19">
        <f t="shared" si="49"/>
        <v>1</v>
      </c>
      <c r="AE556" s="19">
        <f t="shared" si="50"/>
        <v>2</v>
      </c>
      <c r="AF556" s="19">
        <f t="shared" si="51"/>
        <v>2</v>
      </c>
      <c r="AG556" s="19">
        <f t="shared" si="52"/>
        <v>0</v>
      </c>
      <c r="AH556" s="19">
        <f t="shared" si="53"/>
        <v>0</v>
      </c>
    </row>
    <row r="557" spans="1:34">
      <c r="A557" s="8" t="s">
        <v>1145</v>
      </c>
      <c r="B557" s="8" t="s">
        <v>3241</v>
      </c>
      <c r="C557" s="8" t="s">
        <v>956</v>
      </c>
      <c r="D557" s="8" t="s">
        <v>3</v>
      </c>
      <c r="E557" s="8" t="s">
        <v>41</v>
      </c>
      <c r="F557" s="8" t="s">
        <v>11</v>
      </c>
      <c r="G557" s="8" t="s">
        <v>3</v>
      </c>
      <c r="H557" s="8" t="s">
        <v>3243</v>
      </c>
      <c r="I557" s="8" t="s">
        <v>41</v>
      </c>
      <c r="J557" s="8" t="s">
        <v>41</v>
      </c>
      <c r="K557" s="8" t="s">
        <v>41</v>
      </c>
      <c r="L557" s="8" t="s">
        <v>110</v>
      </c>
      <c r="M557" s="11" t="s">
        <v>3242</v>
      </c>
      <c r="N557" s="8">
        <v>31</v>
      </c>
      <c r="O557" s="8">
        <v>20</v>
      </c>
      <c r="P557" s="8">
        <v>11</v>
      </c>
      <c r="Q557" s="8">
        <v>10</v>
      </c>
      <c r="R557" s="8">
        <v>4</v>
      </c>
      <c r="S557" s="8">
        <v>7</v>
      </c>
      <c r="T557" s="8">
        <v>5</v>
      </c>
      <c r="U557" s="8">
        <v>14</v>
      </c>
      <c r="V557" s="8">
        <v>11</v>
      </c>
      <c r="W557" s="8">
        <v>0</v>
      </c>
      <c r="X557" s="8">
        <v>0</v>
      </c>
      <c r="Y557" s="8">
        <v>0</v>
      </c>
      <c r="Z557" s="8">
        <v>0</v>
      </c>
      <c r="AA557" s="8">
        <v>0</v>
      </c>
      <c r="AB557" s="8">
        <v>0</v>
      </c>
      <c r="AC557" s="19">
        <f t="shared" si="48"/>
        <v>6</v>
      </c>
      <c r="AD557" s="19">
        <f t="shared" si="49"/>
        <v>2</v>
      </c>
      <c r="AE557" s="19">
        <f t="shared" si="50"/>
        <v>3</v>
      </c>
      <c r="AF557" s="19">
        <f t="shared" si="51"/>
        <v>0</v>
      </c>
      <c r="AG557" s="19">
        <f t="shared" si="52"/>
        <v>0</v>
      </c>
      <c r="AH557" s="19">
        <f t="shared" si="53"/>
        <v>0</v>
      </c>
    </row>
    <row r="558" spans="1:34">
      <c r="A558" s="8" t="s">
        <v>641</v>
      </c>
      <c r="B558" s="8" t="s">
        <v>3244</v>
      </c>
      <c r="C558" s="8" t="s">
        <v>752</v>
      </c>
      <c r="D558" s="8" t="s">
        <v>7</v>
      </c>
      <c r="E558" s="8" t="s">
        <v>41</v>
      </c>
      <c r="F558" s="8" t="s">
        <v>17</v>
      </c>
      <c r="G558" s="8" t="s">
        <v>4</v>
      </c>
      <c r="H558" s="8" t="s">
        <v>256</v>
      </c>
      <c r="I558" s="8" t="s">
        <v>41</v>
      </c>
      <c r="J558" s="8" t="s">
        <v>43</v>
      </c>
      <c r="K558" s="8" t="s">
        <v>41</v>
      </c>
      <c r="L558" s="8" t="s">
        <v>110</v>
      </c>
      <c r="M558" s="11" t="s">
        <v>4092</v>
      </c>
      <c r="N558" s="8">
        <v>23</v>
      </c>
      <c r="O558" s="8">
        <v>15</v>
      </c>
      <c r="P558" s="8">
        <v>8</v>
      </c>
      <c r="Q558" s="8">
        <v>2</v>
      </c>
      <c r="R558" s="8">
        <v>2</v>
      </c>
      <c r="S558" s="8">
        <v>5</v>
      </c>
      <c r="T558" s="8">
        <v>3</v>
      </c>
      <c r="U558" s="8">
        <v>1</v>
      </c>
      <c r="V558" s="8">
        <v>1</v>
      </c>
      <c r="W558" s="8">
        <v>7</v>
      </c>
      <c r="X558" s="8">
        <v>6</v>
      </c>
      <c r="Y558" s="8">
        <v>8</v>
      </c>
      <c r="Z558" s="8">
        <v>3</v>
      </c>
      <c r="AA558" s="8">
        <v>0</v>
      </c>
      <c r="AB558" s="8">
        <v>0</v>
      </c>
      <c r="AC558" s="19">
        <f t="shared" si="48"/>
        <v>0</v>
      </c>
      <c r="AD558" s="19">
        <f t="shared" si="49"/>
        <v>2</v>
      </c>
      <c r="AE558" s="19">
        <f t="shared" si="50"/>
        <v>0</v>
      </c>
      <c r="AF558" s="19">
        <f t="shared" si="51"/>
        <v>1</v>
      </c>
      <c r="AG558" s="19">
        <f t="shared" si="52"/>
        <v>5</v>
      </c>
      <c r="AH558" s="19">
        <f t="shared" si="53"/>
        <v>0</v>
      </c>
    </row>
    <row r="559" spans="1:34">
      <c r="A559" s="8" t="s">
        <v>286</v>
      </c>
      <c r="B559" s="8" t="s">
        <v>3245</v>
      </c>
      <c r="C559" s="8" t="s">
        <v>752</v>
      </c>
      <c r="D559" s="8" t="s">
        <v>7</v>
      </c>
      <c r="E559" s="8" t="s">
        <v>41</v>
      </c>
      <c r="F559" s="8" t="s">
        <v>17</v>
      </c>
      <c r="G559" s="8" t="s">
        <v>5</v>
      </c>
      <c r="H559" s="8" t="s">
        <v>246</v>
      </c>
      <c r="I559" s="8" t="s">
        <v>41</v>
      </c>
      <c r="J559" s="8" t="s">
        <v>43</v>
      </c>
      <c r="K559" s="8" t="s">
        <v>41</v>
      </c>
      <c r="L559" s="8" t="s">
        <v>110</v>
      </c>
      <c r="M559" s="11" t="s">
        <v>4399</v>
      </c>
      <c r="N559" s="8">
        <v>23</v>
      </c>
      <c r="O559" s="8">
        <v>11</v>
      </c>
      <c r="P559" s="8">
        <v>12</v>
      </c>
      <c r="Q559" s="8">
        <v>2</v>
      </c>
      <c r="R559" s="8">
        <v>2</v>
      </c>
      <c r="S559" s="8">
        <v>2</v>
      </c>
      <c r="T559" s="8">
        <v>0</v>
      </c>
      <c r="U559" s="8">
        <v>6</v>
      </c>
      <c r="V559" s="8">
        <v>5</v>
      </c>
      <c r="W559" s="8">
        <v>6</v>
      </c>
      <c r="X559" s="8">
        <v>4</v>
      </c>
      <c r="Y559" s="8">
        <v>7</v>
      </c>
      <c r="Z559" s="8">
        <v>0</v>
      </c>
      <c r="AA559" s="8">
        <v>0</v>
      </c>
      <c r="AB559" s="8">
        <v>0</v>
      </c>
      <c r="AC559" s="19">
        <f t="shared" si="48"/>
        <v>0</v>
      </c>
      <c r="AD559" s="19">
        <f t="shared" si="49"/>
        <v>2</v>
      </c>
      <c r="AE559" s="19">
        <f t="shared" si="50"/>
        <v>1</v>
      </c>
      <c r="AF559" s="19">
        <f t="shared" si="51"/>
        <v>2</v>
      </c>
      <c r="AG559" s="19">
        <f t="shared" si="52"/>
        <v>7</v>
      </c>
      <c r="AH559" s="19">
        <f t="shared" si="53"/>
        <v>0</v>
      </c>
    </row>
    <row r="560" spans="1:34">
      <c r="A560" s="8" t="s">
        <v>643</v>
      </c>
      <c r="B560" s="8" t="s">
        <v>3246</v>
      </c>
      <c r="C560" s="8" t="s">
        <v>752</v>
      </c>
      <c r="D560" s="8" t="s">
        <v>3</v>
      </c>
      <c r="E560" s="8" t="s">
        <v>41</v>
      </c>
      <c r="F560" s="8" t="s">
        <v>5</v>
      </c>
      <c r="G560" s="8" t="s">
        <v>7</v>
      </c>
      <c r="H560" s="8" t="s">
        <v>132</v>
      </c>
      <c r="I560" s="8" t="s">
        <v>41</v>
      </c>
      <c r="J560" s="8" t="s">
        <v>41</v>
      </c>
      <c r="K560" s="8" t="s">
        <v>41</v>
      </c>
      <c r="L560" s="8" t="s">
        <v>110</v>
      </c>
      <c r="M560" s="11" t="s">
        <v>4093</v>
      </c>
      <c r="N560" s="8">
        <v>75</v>
      </c>
      <c r="O560" s="8">
        <v>51</v>
      </c>
      <c r="P560" s="8">
        <v>24</v>
      </c>
      <c r="Q560" s="8">
        <v>28</v>
      </c>
      <c r="R560" s="8">
        <v>20</v>
      </c>
      <c r="S560" s="8">
        <v>26</v>
      </c>
      <c r="T560" s="8">
        <v>19</v>
      </c>
      <c r="U560" s="8">
        <v>21</v>
      </c>
      <c r="V560" s="8">
        <v>12</v>
      </c>
      <c r="W560" s="8">
        <v>0</v>
      </c>
      <c r="X560" s="8">
        <v>0</v>
      </c>
      <c r="Y560" s="8">
        <v>0</v>
      </c>
      <c r="Z560" s="8">
        <v>0</v>
      </c>
      <c r="AA560" s="8">
        <v>0</v>
      </c>
      <c r="AB560" s="8">
        <v>0</v>
      </c>
      <c r="AC560" s="19">
        <f t="shared" si="48"/>
        <v>8</v>
      </c>
      <c r="AD560" s="19">
        <f t="shared" si="49"/>
        <v>7</v>
      </c>
      <c r="AE560" s="19">
        <f t="shared" si="50"/>
        <v>9</v>
      </c>
      <c r="AF560" s="19">
        <f t="shared" si="51"/>
        <v>0</v>
      </c>
      <c r="AG560" s="19">
        <f t="shared" si="52"/>
        <v>0</v>
      </c>
      <c r="AH560" s="19">
        <f t="shared" si="53"/>
        <v>0</v>
      </c>
    </row>
    <row r="561" spans="1:34">
      <c r="A561" s="8" t="s">
        <v>179</v>
      </c>
      <c r="B561" s="8" t="s">
        <v>3247</v>
      </c>
      <c r="C561" s="8" t="s">
        <v>17</v>
      </c>
      <c r="D561" s="8" t="s">
        <v>7</v>
      </c>
      <c r="E561" s="8" t="s">
        <v>80</v>
      </c>
      <c r="F561" s="8" t="s">
        <v>3</v>
      </c>
      <c r="G561" s="8" t="s">
        <v>3</v>
      </c>
      <c r="H561" s="8" t="s">
        <v>3249</v>
      </c>
      <c r="I561" s="8" t="s">
        <v>56</v>
      </c>
      <c r="J561" s="8" t="s">
        <v>41</v>
      </c>
      <c r="K561" s="8" t="s">
        <v>41</v>
      </c>
      <c r="L561" s="8" t="s">
        <v>110</v>
      </c>
      <c r="M561" s="11" t="s">
        <v>3248</v>
      </c>
      <c r="N561" s="8">
        <v>26</v>
      </c>
      <c r="O561" s="8">
        <v>15</v>
      </c>
      <c r="P561" s="8">
        <v>11</v>
      </c>
      <c r="Q561" s="8">
        <v>8</v>
      </c>
      <c r="R561" s="8">
        <v>5</v>
      </c>
      <c r="S561" s="8">
        <v>4</v>
      </c>
      <c r="T561" s="8">
        <v>2</v>
      </c>
      <c r="U561" s="8">
        <v>6</v>
      </c>
      <c r="V561" s="8">
        <v>4</v>
      </c>
      <c r="W561" s="8">
        <v>8</v>
      </c>
      <c r="X561" s="8">
        <v>4</v>
      </c>
      <c r="Y561" s="8">
        <v>0</v>
      </c>
      <c r="Z561" s="8">
        <v>0</v>
      </c>
      <c r="AA561" s="8">
        <v>0</v>
      </c>
      <c r="AB561" s="8">
        <v>0</v>
      </c>
      <c r="AC561" s="19">
        <f t="shared" si="48"/>
        <v>3</v>
      </c>
      <c r="AD561" s="19">
        <f t="shared" si="49"/>
        <v>2</v>
      </c>
      <c r="AE561" s="19">
        <f t="shared" si="50"/>
        <v>2</v>
      </c>
      <c r="AF561" s="19">
        <f t="shared" si="51"/>
        <v>4</v>
      </c>
      <c r="AG561" s="19">
        <f t="shared" si="52"/>
        <v>0</v>
      </c>
      <c r="AH561" s="19">
        <f t="shared" si="53"/>
        <v>0</v>
      </c>
    </row>
    <row r="562" spans="1:34">
      <c r="A562" s="8" t="s">
        <v>941</v>
      </c>
      <c r="B562" s="8" t="s">
        <v>3251</v>
      </c>
      <c r="C562" s="8" t="s">
        <v>954</v>
      </c>
      <c r="D562" s="8" t="s">
        <v>3</v>
      </c>
      <c r="E562" s="8" t="s">
        <v>80</v>
      </c>
      <c r="F562" s="8" t="s">
        <v>5</v>
      </c>
      <c r="G562" s="8" t="s">
        <v>3</v>
      </c>
      <c r="H562" s="8" t="s">
        <v>5710</v>
      </c>
      <c r="I562" s="8" t="s">
        <v>41</v>
      </c>
      <c r="J562" s="8" t="s">
        <v>41</v>
      </c>
      <c r="K562" s="8" t="s">
        <v>41</v>
      </c>
      <c r="L562" s="8" t="s">
        <v>110</v>
      </c>
      <c r="M562" s="11" t="s">
        <v>3252</v>
      </c>
      <c r="N562" s="8">
        <v>156</v>
      </c>
      <c r="O562" s="8">
        <v>88</v>
      </c>
      <c r="P562" s="8">
        <v>68</v>
      </c>
      <c r="Q562" s="8">
        <v>47</v>
      </c>
      <c r="R562" s="8">
        <v>30</v>
      </c>
      <c r="S562" s="8">
        <v>42</v>
      </c>
      <c r="T562" s="8">
        <v>19</v>
      </c>
      <c r="U562" s="8">
        <v>30</v>
      </c>
      <c r="V562" s="8">
        <v>20</v>
      </c>
      <c r="W562" s="8">
        <v>13</v>
      </c>
      <c r="X562" s="8">
        <v>5</v>
      </c>
      <c r="Y562" s="8">
        <v>24</v>
      </c>
      <c r="Z562" s="8">
        <v>14</v>
      </c>
      <c r="AA562" s="8">
        <v>0</v>
      </c>
      <c r="AB562" s="8">
        <v>0</v>
      </c>
      <c r="AC562" s="19">
        <f t="shared" si="48"/>
        <v>17</v>
      </c>
      <c r="AD562" s="19">
        <f t="shared" si="49"/>
        <v>23</v>
      </c>
      <c r="AE562" s="19">
        <f t="shared" si="50"/>
        <v>10</v>
      </c>
      <c r="AF562" s="19">
        <f t="shared" si="51"/>
        <v>8</v>
      </c>
      <c r="AG562" s="19">
        <f t="shared" si="52"/>
        <v>10</v>
      </c>
      <c r="AH562" s="19">
        <f t="shared" si="53"/>
        <v>0</v>
      </c>
    </row>
    <row r="563" spans="1:34">
      <c r="A563" s="8" t="s">
        <v>645</v>
      </c>
      <c r="B563" s="8" t="s">
        <v>3254</v>
      </c>
      <c r="C563" s="8" t="s">
        <v>4</v>
      </c>
      <c r="D563" s="8" t="s">
        <v>7</v>
      </c>
      <c r="E563" s="8" t="s">
        <v>41</v>
      </c>
      <c r="F563" s="8" t="s">
        <v>9</v>
      </c>
      <c r="G563" s="8" t="s">
        <v>8</v>
      </c>
      <c r="H563" s="8" t="s">
        <v>344</v>
      </c>
      <c r="I563" s="8" t="s">
        <v>41</v>
      </c>
      <c r="J563" s="8" t="s">
        <v>41</v>
      </c>
      <c r="K563" s="8" t="s">
        <v>41</v>
      </c>
      <c r="L563" s="8" t="s">
        <v>110</v>
      </c>
      <c r="M563" s="11" t="s">
        <v>4094</v>
      </c>
      <c r="N563" s="8">
        <v>8</v>
      </c>
      <c r="O563" s="8">
        <v>6</v>
      </c>
      <c r="P563" s="8">
        <v>2</v>
      </c>
      <c r="Q563" s="8">
        <v>0</v>
      </c>
      <c r="R563" s="8">
        <v>0</v>
      </c>
      <c r="S563" s="8">
        <v>1</v>
      </c>
      <c r="T563" s="8">
        <v>1</v>
      </c>
      <c r="U563" s="8">
        <v>1</v>
      </c>
      <c r="V563" s="8">
        <v>0</v>
      </c>
      <c r="W563" s="8">
        <v>6</v>
      </c>
      <c r="X563" s="8">
        <v>5</v>
      </c>
      <c r="Y563" s="8">
        <v>0</v>
      </c>
      <c r="Z563" s="8">
        <v>0</v>
      </c>
      <c r="AA563" s="8">
        <v>0</v>
      </c>
      <c r="AB563" s="8">
        <v>0</v>
      </c>
      <c r="AC563" s="19">
        <f t="shared" si="48"/>
        <v>0</v>
      </c>
      <c r="AD563" s="19">
        <f t="shared" si="49"/>
        <v>0</v>
      </c>
      <c r="AE563" s="19">
        <f t="shared" si="50"/>
        <v>1</v>
      </c>
      <c r="AF563" s="19">
        <f t="shared" si="51"/>
        <v>1</v>
      </c>
      <c r="AG563" s="19">
        <f t="shared" si="52"/>
        <v>0</v>
      </c>
      <c r="AH563" s="19">
        <f t="shared" si="53"/>
        <v>0</v>
      </c>
    </row>
    <row r="564" spans="1:34">
      <c r="A564" s="8" t="s">
        <v>646</v>
      </c>
      <c r="B564" s="8" t="s">
        <v>3255</v>
      </c>
      <c r="C564" s="8" t="s">
        <v>754</v>
      </c>
      <c r="D564" s="8" t="s">
        <v>3</v>
      </c>
      <c r="E564" s="8" t="s">
        <v>68</v>
      </c>
      <c r="F564" s="8" t="s">
        <v>4</v>
      </c>
      <c r="G564" s="8" t="s">
        <v>9</v>
      </c>
      <c r="H564" s="8" t="s">
        <v>89</v>
      </c>
      <c r="I564" s="8" t="s">
        <v>41</v>
      </c>
      <c r="J564" s="8" t="s">
        <v>41</v>
      </c>
      <c r="K564" s="8" t="s">
        <v>41</v>
      </c>
      <c r="L564" s="8" t="s">
        <v>110</v>
      </c>
      <c r="M564" s="11" t="s">
        <v>2194</v>
      </c>
      <c r="N564" s="8">
        <v>264</v>
      </c>
      <c r="O564" s="8">
        <v>153</v>
      </c>
      <c r="P564" s="8">
        <v>111</v>
      </c>
      <c r="Q564" s="8">
        <v>53</v>
      </c>
      <c r="R564" s="8">
        <v>30</v>
      </c>
      <c r="S564" s="8">
        <v>68</v>
      </c>
      <c r="T564" s="8">
        <v>41</v>
      </c>
      <c r="U564" s="8">
        <v>26</v>
      </c>
      <c r="V564" s="8">
        <v>13</v>
      </c>
      <c r="W564" s="8">
        <v>53</v>
      </c>
      <c r="X564" s="8">
        <v>29</v>
      </c>
      <c r="Y564" s="8">
        <v>64</v>
      </c>
      <c r="Z564" s="8">
        <v>40</v>
      </c>
      <c r="AA564" s="8">
        <v>0</v>
      </c>
      <c r="AB564" s="8">
        <v>0</v>
      </c>
      <c r="AC564" s="19">
        <f t="shared" si="48"/>
        <v>23</v>
      </c>
      <c r="AD564" s="19">
        <f t="shared" si="49"/>
        <v>27</v>
      </c>
      <c r="AE564" s="19">
        <f t="shared" si="50"/>
        <v>13</v>
      </c>
      <c r="AF564" s="19">
        <f t="shared" si="51"/>
        <v>24</v>
      </c>
      <c r="AG564" s="19">
        <f t="shared" si="52"/>
        <v>24</v>
      </c>
      <c r="AH564" s="19">
        <f t="shared" si="53"/>
        <v>0</v>
      </c>
    </row>
    <row r="565" spans="1:34">
      <c r="A565" s="8" t="s">
        <v>649</v>
      </c>
      <c r="B565" s="8" t="s">
        <v>3257</v>
      </c>
      <c r="C565" s="8" t="s">
        <v>107</v>
      </c>
      <c r="D565" s="8" t="s">
        <v>16</v>
      </c>
      <c r="E565" s="8" t="s">
        <v>80</v>
      </c>
      <c r="F565" s="8" t="s">
        <v>13</v>
      </c>
      <c r="G565" s="8" t="s">
        <v>6</v>
      </c>
      <c r="H565" s="8" t="s">
        <v>837</v>
      </c>
      <c r="I565" s="8" t="s">
        <v>41</v>
      </c>
      <c r="J565" s="8" t="s">
        <v>43</v>
      </c>
      <c r="K565" s="8" t="s">
        <v>41</v>
      </c>
      <c r="L565" s="8" t="s">
        <v>110</v>
      </c>
      <c r="M565" s="11" t="s">
        <v>3258</v>
      </c>
      <c r="N565" s="8">
        <v>181</v>
      </c>
      <c r="O565" s="8">
        <v>101</v>
      </c>
      <c r="P565" s="8">
        <v>80</v>
      </c>
      <c r="Q565" s="8">
        <v>27</v>
      </c>
      <c r="R565" s="8">
        <v>12</v>
      </c>
      <c r="S565" s="8">
        <v>32</v>
      </c>
      <c r="T565" s="8">
        <v>14</v>
      </c>
      <c r="U565" s="8">
        <v>31</v>
      </c>
      <c r="V565" s="8">
        <v>21</v>
      </c>
      <c r="W565" s="8">
        <v>53</v>
      </c>
      <c r="X565" s="8">
        <v>32</v>
      </c>
      <c r="Y565" s="8">
        <v>38</v>
      </c>
      <c r="Z565" s="8">
        <v>22</v>
      </c>
      <c r="AA565" s="8">
        <v>0</v>
      </c>
      <c r="AB565" s="8">
        <v>0</v>
      </c>
      <c r="AC565" s="19">
        <f t="shared" si="48"/>
        <v>15</v>
      </c>
      <c r="AD565" s="19">
        <f t="shared" si="49"/>
        <v>18</v>
      </c>
      <c r="AE565" s="19">
        <f t="shared" si="50"/>
        <v>10</v>
      </c>
      <c r="AF565" s="19">
        <f t="shared" si="51"/>
        <v>21</v>
      </c>
      <c r="AG565" s="19">
        <f t="shared" si="52"/>
        <v>16</v>
      </c>
      <c r="AH565" s="19">
        <f t="shared" si="53"/>
        <v>0</v>
      </c>
    </row>
    <row r="566" spans="1:34">
      <c r="A566" s="8" t="s">
        <v>1150</v>
      </c>
      <c r="B566" s="8" t="s">
        <v>3259</v>
      </c>
      <c r="C566" s="8" t="s">
        <v>107</v>
      </c>
      <c r="D566" s="8" t="s">
        <v>18</v>
      </c>
      <c r="E566" s="8" t="s">
        <v>80</v>
      </c>
      <c r="F566" s="8" t="s">
        <v>11</v>
      </c>
      <c r="G566" s="8" t="s">
        <v>6</v>
      </c>
      <c r="H566" s="8" t="s">
        <v>865</v>
      </c>
      <c r="I566" s="8" t="s">
        <v>41</v>
      </c>
      <c r="J566" s="8" t="s">
        <v>43</v>
      </c>
      <c r="K566" s="8" t="s">
        <v>41</v>
      </c>
      <c r="L566" s="8" t="s">
        <v>110</v>
      </c>
      <c r="M566" s="11" t="s">
        <v>5723</v>
      </c>
      <c r="N566" s="8">
        <v>129</v>
      </c>
      <c r="O566" s="8">
        <v>60</v>
      </c>
      <c r="P566" s="8">
        <v>69</v>
      </c>
      <c r="Q566" s="8">
        <v>29</v>
      </c>
      <c r="R566" s="8">
        <v>16</v>
      </c>
      <c r="S566" s="8">
        <v>27</v>
      </c>
      <c r="T566" s="8">
        <v>12</v>
      </c>
      <c r="U566" s="8">
        <v>23</v>
      </c>
      <c r="V566" s="8">
        <v>14</v>
      </c>
      <c r="W566" s="8">
        <v>16</v>
      </c>
      <c r="X566" s="8">
        <v>5</v>
      </c>
      <c r="Y566" s="8">
        <v>34</v>
      </c>
      <c r="Z566" s="8">
        <v>13</v>
      </c>
      <c r="AA566" s="8">
        <v>0</v>
      </c>
      <c r="AB566" s="8">
        <v>0</v>
      </c>
      <c r="AC566" s="19">
        <f t="shared" si="48"/>
        <v>13</v>
      </c>
      <c r="AD566" s="19">
        <f t="shared" si="49"/>
        <v>15</v>
      </c>
      <c r="AE566" s="19">
        <f t="shared" si="50"/>
        <v>9</v>
      </c>
      <c r="AF566" s="19">
        <f t="shared" si="51"/>
        <v>11</v>
      </c>
      <c r="AG566" s="19">
        <f t="shared" si="52"/>
        <v>21</v>
      </c>
      <c r="AH566" s="19">
        <f t="shared" si="53"/>
        <v>0</v>
      </c>
    </row>
    <row r="567" spans="1:34">
      <c r="A567" s="8" t="s">
        <v>650</v>
      </c>
      <c r="B567" s="8" t="s">
        <v>3260</v>
      </c>
      <c r="C567" s="8" t="s">
        <v>107</v>
      </c>
      <c r="D567" s="8" t="s">
        <v>11</v>
      </c>
      <c r="E567" s="8" t="s">
        <v>80</v>
      </c>
      <c r="F567" s="8" t="s">
        <v>5</v>
      </c>
      <c r="G567" s="8" t="s">
        <v>9</v>
      </c>
      <c r="H567" s="8" t="s">
        <v>741</v>
      </c>
      <c r="I567" s="8" t="s">
        <v>41</v>
      </c>
      <c r="J567" s="8" t="s">
        <v>43</v>
      </c>
      <c r="K567" s="8" t="s">
        <v>41</v>
      </c>
      <c r="L567" s="8" t="s">
        <v>110</v>
      </c>
      <c r="M567" s="11" t="s">
        <v>5648</v>
      </c>
      <c r="N567" s="8">
        <v>6</v>
      </c>
      <c r="O567" s="8">
        <v>0</v>
      </c>
      <c r="P567" s="8">
        <v>6</v>
      </c>
      <c r="Q567" s="8">
        <v>2</v>
      </c>
      <c r="R567" s="8">
        <v>0</v>
      </c>
      <c r="S567" s="8">
        <v>1</v>
      </c>
      <c r="T567" s="8">
        <v>0</v>
      </c>
      <c r="U567" s="8">
        <v>0</v>
      </c>
      <c r="V567" s="8">
        <v>0</v>
      </c>
      <c r="W567" s="8">
        <v>3</v>
      </c>
      <c r="X567" s="8">
        <v>0</v>
      </c>
      <c r="Y567" s="8">
        <v>0</v>
      </c>
      <c r="Z567" s="8">
        <v>0</v>
      </c>
      <c r="AA567" s="8">
        <v>0</v>
      </c>
      <c r="AB567" s="8">
        <v>0</v>
      </c>
      <c r="AC567" s="19">
        <f t="shared" si="48"/>
        <v>2</v>
      </c>
      <c r="AD567" s="19">
        <f t="shared" si="49"/>
        <v>1</v>
      </c>
      <c r="AE567" s="19">
        <f t="shared" si="50"/>
        <v>0</v>
      </c>
      <c r="AF567" s="19">
        <f t="shared" si="51"/>
        <v>3</v>
      </c>
      <c r="AG567" s="19">
        <f t="shared" si="52"/>
        <v>0</v>
      </c>
      <c r="AH567" s="19">
        <f t="shared" si="53"/>
        <v>0</v>
      </c>
    </row>
    <row r="568" spans="1:34">
      <c r="A568" s="8" t="s">
        <v>932</v>
      </c>
      <c r="B568" s="8" t="s">
        <v>1992</v>
      </c>
      <c r="C568" s="8" t="s">
        <v>957</v>
      </c>
      <c r="D568" s="8" t="s">
        <v>5</v>
      </c>
      <c r="E568" s="8" t="s">
        <v>41</v>
      </c>
      <c r="F568" s="8" t="s">
        <v>4</v>
      </c>
      <c r="G568" s="8" t="s">
        <v>5</v>
      </c>
      <c r="H568" s="8" t="s">
        <v>4325</v>
      </c>
      <c r="I568" s="8" t="s">
        <v>43</v>
      </c>
      <c r="J568" s="8" t="s">
        <v>41</v>
      </c>
      <c r="K568" s="8" t="s">
        <v>5696</v>
      </c>
      <c r="L568" s="8" t="s">
        <v>110</v>
      </c>
      <c r="M568" s="11" t="s">
        <v>1933</v>
      </c>
      <c r="N568" s="8">
        <v>0</v>
      </c>
      <c r="O568" s="8">
        <v>0</v>
      </c>
      <c r="P568" s="8">
        <v>0</v>
      </c>
      <c r="Q568" s="8">
        <v>0</v>
      </c>
      <c r="R568" s="8">
        <v>0</v>
      </c>
      <c r="S568" s="8">
        <v>0</v>
      </c>
      <c r="T568" s="8">
        <v>0</v>
      </c>
      <c r="U568" s="8">
        <v>0</v>
      </c>
      <c r="V568" s="8">
        <v>0</v>
      </c>
      <c r="W568" s="8">
        <v>0</v>
      </c>
      <c r="X568" s="8">
        <v>0</v>
      </c>
      <c r="Y568" s="8">
        <v>0</v>
      </c>
      <c r="Z568" s="8">
        <v>0</v>
      </c>
      <c r="AA568" s="8">
        <v>0</v>
      </c>
      <c r="AB568" s="8">
        <v>0</v>
      </c>
      <c r="AC568" s="19">
        <f t="shared" si="48"/>
        <v>0</v>
      </c>
      <c r="AD568" s="19">
        <f t="shared" si="49"/>
        <v>0</v>
      </c>
      <c r="AE568" s="19">
        <f t="shared" si="50"/>
        <v>0</v>
      </c>
      <c r="AF568" s="19">
        <f t="shared" si="51"/>
        <v>0</v>
      </c>
      <c r="AG568" s="19">
        <f t="shared" si="52"/>
        <v>0</v>
      </c>
      <c r="AH568" s="19">
        <f t="shared" si="53"/>
        <v>0</v>
      </c>
    </row>
    <row r="569" spans="1:34">
      <c r="A569" s="8" t="s">
        <v>1149</v>
      </c>
      <c r="B569" s="8" t="s">
        <v>3262</v>
      </c>
      <c r="C569" s="8" t="s">
        <v>957</v>
      </c>
      <c r="D569" s="8" t="s">
        <v>5</v>
      </c>
      <c r="E569" s="8" t="s">
        <v>41</v>
      </c>
      <c r="F569" s="8" t="s">
        <v>4</v>
      </c>
      <c r="G569" s="8" t="s">
        <v>5</v>
      </c>
      <c r="H569" s="8" t="s">
        <v>3264</v>
      </c>
      <c r="I569" s="8" t="s">
        <v>41</v>
      </c>
      <c r="J569" s="8" t="s">
        <v>41</v>
      </c>
      <c r="K569" s="8" t="s">
        <v>41</v>
      </c>
      <c r="L569" s="8" t="s">
        <v>110</v>
      </c>
      <c r="M569" s="11" t="s">
        <v>3263</v>
      </c>
      <c r="N569" s="8">
        <v>87</v>
      </c>
      <c r="O569" s="8">
        <v>52</v>
      </c>
      <c r="P569" s="8">
        <v>35</v>
      </c>
      <c r="Q569" s="8">
        <v>43</v>
      </c>
      <c r="R569" s="8">
        <v>24</v>
      </c>
      <c r="S569" s="8">
        <v>28</v>
      </c>
      <c r="T569" s="8">
        <v>17</v>
      </c>
      <c r="U569" s="8">
        <v>16</v>
      </c>
      <c r="V569" s="8">
        <v>11</v>
      </c>
      <c r="W569" s="8">
        <v>0</v>
      </c>
      <c r="X569" s="8">
        <v>0</v>
      </c>
      <c r="Y569" s="8">
        <v>0</v>
      </c>
      <c r="Z569" s="8">
        <v>0</v>
      </c>
      <c r="AA569" s="8">
        <v>0</v>
      </c>
      <c r="AB569" s="8">
        <v>0</v>
      </c>
      <c r="AC569" s="19">
        <f t="shared" si="48"/>
        <v>19</v>
      </c>
      <c r="AD569" s="19">
        <f t="shared" si="49"/>
        <v>11</v>
      </c>
      <c r="AE569" s="19">
        <f t="shared" si="50"/>
        <v>5</v>
      </c>
      <c r="AF569" s="19">
        <f t="shared" si="51"/>
        <v>0</v>
      </c>
      <c r="AG569" s="19">
        <f t="shared" si="52"/>
        <v>0</v>
      </c>
      <c r="AH569" s="19">
        <f t="shared" si="53"/>
        <v>0</v>
      </c>
    </row>
    <row r="570" spans="1:34">
      <c r="A570" s="8" t="s">
        <v>655</v>
      </c>
      <c r="B570" s="8" t="s">
        <v>3265</v>
      </c>
      <c r="C570" s="8" t="s">
        <v>388</v>
      </c>
      <c r="D570" s="8" t="s">
        <v>5</v>
      </c>
      <c r="E570" s="8" t="s">
        <v>43</v>
      </c>
      <c r="F570" s="8" t="s">
        <v>18</v>
      </c>
      <c r="G570" s="8" t="s">
        <v>5</v>
      </c>
      <c r="H570" s="8" t="s">
        <v>1819</v>
      </c>
      <c r="I570" s="8" t="s">
        <v>41</v>
      </c>
      <c r="J570" s="8" t="s">
        <v>43</v>
      </c>
      <c r="K570" s="8" t="s">
        <v>41</v>
      </c>
      <c r="L570" s="8" t="s">
        <v>110</v>
      </c>
      <c r="M570" s="11" t="s">
        <v>3266</v>
      </c>
      <c r="N570" s="8">
        <v>21</v>
      </c>
      <c r="O570" s="8">
        <v>15</v>
      </c>
      <c r="P570" s="8">
        <v>6</v>
      </c>
      <c r="Q570" s="8">
        <v>6</v>
      </c>
      <c r="R570" s="8">
        <v>5</v>
      </c>
      <c r="S570" s="8">
        <v>6</v>
      </c>
      <c r="T570" s="8">
        <v>3</v>
      </c>
      <c r="U570" s="8">
        <v>9</v>
      </c>
      <c r="V570" s="8">
        <v>7</v>
      </c>
      <c r="W570" s="8">
        <v>0</v>
      </c>
      <c r="X570" s="8">
        <v>0</v>
      </c>
      <c r="Y570" s="8">
        <v>0</v>
      </c>
      <c r="Z570" s="8">
        <v>0</v>
      </c>
      <c r="AA570" s="8">
        <v>0</v>
      </c>
      <c r="AB570" s="8">
        <v>0</v>
      </c>
      <c r="AC570" s="19">
        <f t="shared" si="48"/>
        <v>1</v>
      </c>
      <c r="AD570" s="19">
        <f t="shared" si="49"/>
        <v>3</v>
      </c>
      <c r="AE570" s="19">
        <f t="shared" si="50"/>
        <v>2</v>
      </c>
      <c r="AF570" s="19">
        <f t="shared" si="51"/>
        <v>0</v>
      </c>
      <c r="AG570" s="19">
        <f t="shared" si="52"/>
        <v>0</v>
      </c>
      <c r="AH570" s="19">
        <f t="shared" si="53"/>
        <v>0</v>
      </c>
    </row>
    <row r="571" spans="1:34">
      <c r="A571" s="8" t="s">
        <v>656</v>
      </c>
      <c r="B571" s="8" t="s">
        <v>1992</v>
      </c>
      <c r="C571" s="8" t="s">
        <v>956</v>
      </c>
      <c r="D571" s="8" t="s">
        <v>7</v>
      </c>
      <c r="E571" s="8" t="s">
        <v>41</v>
      </c>
      <c r="F571" s="8" t="s">
        <v>118</v>
      </c>
      <c r="G571" s="8" t="s">
        <v>3</v>
      </c>
      <c r="H571" s="8" t="s">
        <v>453</v>
      </c>
      <c r="I571" s="8" t="s">
        <v>43</v>
      </c>
      <c r="J571" s="8" t="s">
        <v>41</v>
      </c>
      <c r="K571" s="8" t="s">
        <v>5696</v>
      </c>
      <c r="L571" s="8" t="s">
        <v>110</v>
      </c>
      <c r="M571" s="11" t="s">
        <v>3267</v>
      </c>
      <c r="N571" s="8">
        <v>5</v>
      </c>
      <c r="O571" s="8">
        <v>3</v>
      </c>
      <c r="P571" s="8">
        <v>2</v>
      </c>
      <c r="Q571" s="8">
        <v>1</v>
      </c>
      <c r="R571" s="8">
        <v>1</v>
      </c>
      <c r="S571" s="8">
        <v>0</v>
      </c>
      <c r="T571" s="8">
        <v>0</v>
      </c>
      <c r="U571" s="8">
        <v>2</v>
      </c>
      <c r="V571" s="8">
        <v>1</v>
      </c>
      <c r="W571" s="8">
        <v>1</v>
      </c>
      <c r="X571" s="8">
        <v>0</v>
      </c>
      <c r="Y571" s="8">
        <v>1</v>
      </c>
      <c r="Z571" s="8">
        <v>1</v>
      </c>
      <c r="AA571" s="8">
        <v>0</v>
      </c>
      <c r="AB571" s="8">
        <v>0</v>
      </c>
      <c r="AC571" s="19">
        <f t="shared" si="48"/>
        <v>0</v>
      </c>
      <c r="AD571" s="19">
        <f t="shared" si="49"/>
        <v>0</v>
      </c>
      <c r="AE571" s="19">
        <f t="shared" si="50"/>
        <v>1</v>
      </c>
      <c r="AF571" s="19">
        <f t="shared" si="51"/>
        <v>1</v>
      </c>
      <c r="AG571" s="19">
        <f t="shared" si="52"/>
        <v>0</v>
      </c>
      <c r="AH571" s="19">
        <f t="shared" si="53"/>
        <v>0</v>
      </c>
    </row>
    <row r="572" spans="1:34">
      <c r="A572" s="8" t="s">
        <v>657</v>
      </c>
      <c r="B572" s="8" t="s">
        <v>1992</v>
      </c>
      <c r="C572" s="8" t="s">
        <v>9</v>
      </c>
      <c r="D572" s="8" t="s">
        <v>4</v>
      </c>
      <c r="E572" s="8" t="s">
        <v>110</v>
      </c>
      <c r="F572" s="8" t="s">
        <v>3</v>
      </c>
      <c r="G572" s="8" t="s">
        <v>4</v>
      </c>
      <c r="H572" s="8" t="s">
        <v>173</v>
      </c>
      <c r="I572" s="8" t="s">
        <v>43</v>
      </c>
      <c r="J572" s="8" t="s">
        <v>41</v>
      </c>
      <c r="K572" s="8" t="s">
        <v>5696</v>
      </c>
      <c r="L572" s="8" t="s">
        <v>110</v>
      </c>
      <c r="M572" s="11" t="s">
        <v>1934</v>
      </c>
      <c r="N572" s="8">
        <v>16</v>
      </c>
      <c r="O572" s="8">
        <v>8</v>
      </c>
      <c r="P572" s="8">
        <v>8</v>
      </c>
      <c r="Q572" s="8">
        <v>4</v>
      </c>
      <c r="R572" s="8">
        <v>3</v>
      </c>
      <c r="S572" s="8">
        <v>2</v>
      </c>
      <c r="T572" s="8">
        <v>0</v>
      </c>
      <c r="U572" s="8">
        <v>7</v>
      </c>
      <c r="V572" s="8">
        <v>3</v>
      </c>
      <c r="W572" s="8">
        <v>3</v>
      </c>
      <c r="X572" s="8">
        <v>2</v>
      </c>
      <c r="Y572" s="8">
        <v>0</v>
      </c>
      <c r="Z572" s="8">
        <v>0</v>
      </c>
      <c r="AA572" s="8">
        <v>0</v>
      </c>
      <c r="AB572" s="8">
        <v>0</v>
      </c>
      <c r="AC572" s="19">
        <f t="shared" si="48"/>
        <v>1</v>
      </c>
      <c r="AD572" s="19">
        <f t="shared" si="49"/>
        <v>2</v>
      </c>
      <c r="AE572" s="19">
        <f t="shared" si="50"/>
        <v>4</v>
      </c>
      <c r="AF572" s="19">
        <f t="shared" si="51"/>
        <v>1</v>
      </c>
      <c r="AG572" s="19">
        <f t="shared" si="52"/>
        <v>0</v>
      </c>
      <c r="AH572" s="19">
        <f t="shared" si="53"/>
        <v>0</v>
      </c>
    </row>
    <row r="573" spans="1:34">
      <c r="A573" s="8" t="s">
        <v>647</v>
      </c>
      <c r="B573" s="8" t="s">
        <v>3271</v>
      </c>
      <c r="C573" s="8" t="s">
        <v>959</v>
      </c>
      <c r="D573" s="8" t="s">
        <v>4</v>
      </c>
      <c r="E573" s="8" t="s">
        <v>68</v>
      </c>
      <c r="F573" s="8" t="s">
        <v>6</v>
      </c>
      <c r="G573" s="8" t="s">
        <v>6</v>
      </c>
      <c r="H573" s="8" t="s">
        <v>845</v>
      </c>
      <c r="I573" s="8" t="s">
        <v>41</v>
      </c>
      <c r="J573" s="8" t="s">
        <v>43</v>
      </c>
      <c r="K573" s="8" t="s">
        <v>41</v>
      </c>
      <c r="L573" s="8" t="s">
        <v>110</v>
      </c>
      <c r="M573" s="11" t="s">
        <v>3272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0</v>
      </c>
      <c r="X573" s="8">
        <v>0</v>
      </c>
      <c r="Y573" s="8">
        <v>0</v>
      </c>
      <c r="Z573" s="8">
        <v>0</v>
      </c>
      <c r="AA573" s="8">
        <v>0</v>
      </c>
      <c r="AB573" s="8">
        <v>0</v>
      </c>
      <c r="AC573" s="19">
        <f t="shared" si="48"/>
        <v>0</v>
      </c>
      <c r="AD573" s="19">
        <f t="shared" si="49"/>
        <v>0</v>
      </c>
      <c r="AE573" s="19">
        <f t="shared" si="50"/>
        <v>0</v>
      </c>
      <c r="AF573" s="19">
        <f t="shared" si="51"/>
        <v>0</v>
      </c>
      <c r="AG573" s="19">
        <f t="shared" si="52"/>
        <v>0</v>
      </c>
      <c r="AH573" s="19">
        <f t="shared" si="53"/>
        <v>0</v>
      </c>
    </row>
    <row r="574" spans="1:34">
      <c r="A574" s="8" t="s">
        <v>1144</v>
      </c>
      <c r="B574" s="8" t="s">
        <v>3274</v>
      </c>
      <c r="C574" s="8" t="s">
        <v>8</v>
      </c>
      <c r="D574" s="8" t="s">
        <v>6</v>
      </c>
      <c r="E574" s="8" t="s">
        <v>56</v>
      </c>
      <c r="F574" s="8" t="s">
        <v>7</v>
      </c>
      <c r="G574" s="8" t="s">
        <v>6</v>
      </c>
      <c r="H574" s="8" t="s">
        <v>3276</v>
      </c>
      <c r="I574" s="8" t="s">
        <v>41</v>
      </c>
      <c r="J574" s="8" t="s">
        <v>43</v>
      </c>
      <c r="K574" s="8" t="s">
        <v>41</v>
      </c>
      <c r="L574" s="8" t="s">
        <v>110</v>
      </c>
      <c r="M574" s="11" t="s">
        <v>3275</v>
      </c>
      <c r="N574" s="8">
        <v>20</v>
      </c>
      <c r="O574" s="8">
        <v>10</v>
      </c>
      <c r="P574" s="8">
        <v>10</v>
      </c>
      <c r="Q574" s="8">
        <v>3</v>
      </c>
      <c r="R574" s="8">
        <v>2</v>
      </c>
      <c r="S574" s="8">
        <v>4</v>
      </c>
      <c r="T574" s="8">
        <v>3</v>
      </c>
      <c r="U574" s="8">
        <v>4</v>
      </c>
      <c r="V574" s="8">
        <v>1</v>
      </c>
      <c r="W574" s="8">
        <v>3</v>
      </c>
      <c r="X574" s="8">
        <v>0</v>
      </c>
      <c r="Y574" s="8">
        <v>6</v>
      </c>
      <c r="Z574" s="8">
        <v>4</v>
      </c>
      <c r="AA574" s="8">
        <v>0</v>
      </c>
      <c r="AB574" s="8">
        <v>0</v>
      </c>
      <c r="AC574" s="19">
        <f t="shared" ref="AC574:AC637" si="54">+Q574-R574</f>
        <v>1</v>
      </c>
      <c r="AD574" s="19">
        <f t="shared" ref="AD574:AD637" si="55">+S574-T574</f>
        <v>1</v>
      </c>
      <c r="AE574" s="19">
        <f t="shared" ref="AE574:AE637" si="56">+U574-V574</f>
        <v>3</v>
      </c>
      <c r="AF574" s="19">
        <f t="shared" ref="AF574:AF637" si="57">+W574-X574</f>
        <v>3</v>
      </c>
      <c r="AG574" s="19">
        <f t="shared" ref="AG574:AG637" si="58">+Y574-Z574</f>
        <v>2</v>
      </c>
      <c r="AH574" s="19">
        <f t="shared" ref="AH574:AH637" si="59">+AA574-AB574</f>
        <v>0</v>
      </c>
    </row>
    <row r="575" spans="1:34">
      <c r="A575" s="8" t="s">
        <v>106</v>
      </c>
      <c r="B575" s="8" t="s">
        <v>3278</v>
      </c>
      <c r="C575" s="8" t="s">
        <v>7</v>
      </c>
      <c r="D575" s="8" t="s">
        <v>9</v>
      </c>
      <c r="E575" s="8" t="s">
        <v>56</v>
      </c>
      <c r="F575" s="8" t="s">
        <v>3</v>
      </c>
      <c r="G575" s="8" t="s">
        <v>9</v>
      </c>
      <c r="H575" s="8" t="s">
        <v>3279</v>
      </c>
      <c r="I575" s="8" t="s">
        <v>41</v>
      </c>
      <c r="J575" s="8" t="s">
        <v>43</v>
      </c>
      <c r="K575" s="8" t="s">
        <v>41</v>
      </c>
      <c r="L575" s="8" t="s">
        <v>110</v>
      </c>
      <c r="M575" s="11" t="s">
        <v>3511</v>
      </c>
      <c r="N575" s="8">
        <v>60</v>
      </c>
      <c r="O575" s="8">
        <v>41</v>
      </c>
      <c r="P575" s="8">
        <v>19</v>
      </c>
      <c r="Q575" s="8">
        <v>8</v>
      </c>
      <c r="R575" s="8">
        <v>3</v>
      </c>
      <c r="S575" s="8">
        <v>21</v>
      </c>
      <c r="T575" s="8">
        <v>17</v>
      </c>
      <c r="U575" s="8">
        <v>18</v>
      </c>
      <c r="V575" s="8">
        <v>13</v>
      </c>
      <c r="W575" s="8">
        <v>10</v>
      </c>
      <c r="X575" s="8">
        <v>6</v>
      </c>
      <c r="Y575" s="8">
        <v>3</v>
      </c>
      <c r="Z575" s="8">
        <v>2</v>
      </c>
      <c r="AA575" s="8">
        <v>0</v>
      </c>
      <c r="AB575" s="8">
        <v>0</v>
      </c>
      <c r="AC575" s="19">
        <f t="shared" si="54"/>
        <v>5</v>
      </c>
      <c r="AD575" s="19">
        <f t="shared" si="55"/>
        <v>4</v>
      </c>
      <c r="AE575" s="19">
        <f t="shared" si="56"/>
        <v>5</v>
      </c>
      <c r="AF575" s="19">
        <f t="shared" si="57"/>
        <v>4</v>
      </c>
      <c r="AG575" s="19">
        <f t="shared" si="58"/>
        <v>1</v>
      </c>
      <c r="AH575" s="19">
        <f t="shared" si="59"/>
        <v>0</v>
      </c>
    </row>
    <row r="576" spans="1:34">
      <c r="A576" s="8" t="s">
        <v>660</v>
      </c>
      <c r="B576" s="8" t="s">
        <v>3280</v>
      </c>
      <c r="C576" s="8" t="s">
        <v>17</v>
      </c>
      <c r="D576" s="8" t="s">
        <v>8</v>
      </c>
      <c r="E576" s="8" t="s">
        <v>80</v>
      </c>
      <c r="F576" s="8" t="s">
        <v>3</v>
      </c>
      <c r="G576" s="8" t="s">
        <v>9</v>
      </c>
      <c r="H576" s="8" t="s">
        <v>824</v>
      </c>
      <c r="I576" s="8" t="s">
        <v>41</v>
      </c>
      <c r="J576" s="8" t="s">
        <v>43</v>
      </c>
      <c r="K576" s="8" t="s">
        <v>41</v>
      </c>
      <c r="L576" s="8" t="s">
        <v>110</v>
      </c>
      <c r="M576" s="11" t="s">
        <v>3791</v>
      </c>
      <c r="N576" s="8">
        <v>9</v>
      </c>
      <c r="O576" s="8">
        <v>6</v>
      </c>
      <c r="P576" s="8">
        <v>3</v>
      </c>
      <c r="Q576" s="8">
        <v>0</v>
      </c>
      <c r="R576" s="8">
        <v>0</v>
      </c>
      <c r="S576" s="8">
        <v>0</v>
      </c>
      <c r="T576" s="8">
        <v>0</v>
      </c>
      <c r="U576" s="8">
        <v>3</v>
      </c>
      <c r="V576" s="8">
        <v>1</v>
      </c>
      <c r="W576" s="8">
        <v>5</v>
      </c>
      <c r="X576" s="8">
        <v>4</v>
      </c>
      <c r="Y576" s="8">
        <v>1</v>
      </c>
      <c r="Z576" s="8">
        <v>1</v>
      </c>
      <c r="AA576" s="8">
        <v>0</v>
      </c>
      <c r="AB576" s="8">
        <v>0</v>
      </c>
      <c r="AC576" s="19">
        <f t="shared" si="54"/>
        <v>0</v>
      </c>
      <c r="AD576" s="19">
        <f t="shared" si="55"/>
        <v>0</v>
      </c>
      <c r="AE576" s="19">
        <f t="shared" si="56"/>
        <v>2</v>
      </c>
      <c r="AF576" s="19">
        <f t="shared" si="57"/>
        <v>1</v>
      </c>
      <c r="AG576" s="19">
        <f t="shared" si="58"/>
        <v>0</v>
      </c>
      <c r="AH576" s="19">
        <f t="shared" si="59"/>
        <v>0</v>
      </c>
    </row>
    <row r="577" spans="1:34">
      <c r="A577" s="8" t="s">
        <v>661</v>
      </c>
      <c r="B577" s="8" t="s">
        <v>3282</v>
      </c>
      <c r="C577" s="8" t="s">
        <v>388</v>
      </c>
      <c r="D577" s="8" t="s">
        <v>8</v>
      </c>
      <c r="E577" s="8" t="s">
        <v>43</v>
      </c>
      <c r="F577" s="8" t="s">
        <v>107</v>
      </c>
      <c r="G577" s="8" t="s">
        <v>6</v>
      </c>
      <c r="H577" s="8" t="s">
        <v>747</v>
      </c>
      <c r="I577" s="8" t="s">
        <v>41</v>
      </c>
      <c r="J577" s="8" t="s">
        <v>43</v>
      </c>
      <c r="K577" s="8" t="s">
        <v>41</v>
      </c>
      <c r="L577" s="8" t="s">
        <v>110</v>
      </c>
      <c r="M577" s="11" t="s">
        <v>4400</v>
      </c>
      <c r="N577" s="8">
        <v>32</v>
      </c>
      <c r="O577" s="8">
        <v>21</v>
      </c>
      <c r="P577" s="8">
        <v>11</v>
      </c>
      <c r="Q577" s="8">
        <v>12</v>
      </c>
      <c r="R577" s="8">
        <v>10</v>
      </c>
      <c r="S577" s="8">
        <v>11</v>
      </c>
      <c r="T577" s="8">
        <v>8</v>
      </c>
      <c r="U577" s="8">
        <v>5</v>
      </c>
      <c r="V577" s="8">
        <v>0</v>
      </c>
      <c r="W577" s="8">
        <v>4</v>
      </c>
      <c r="X577" s="8">
        <v>3</v>
      </c>
      <c r="Y577" s="8">
        <v>0</v>
      </c>
      <c r="Z577" s="8">
        <v>0</v>
      </c>
      <c r="AA577" s="8">
        <v>0</v>
      </c>
      <c r="AB577" s="8">
        <v>0</v>
      </c>
      <c r="AC577" s="19">
        <f t="shared" si="54"/>
        <v>2</v>
      </c>
      <c r="AD577" s="19">
        <f t="shared" si="55"/>
        <v>3</v>
      </c>
      <c r="AE577" s="19">
        <f t="shared" si="56"/>
        <v>5</v>
      </c>
      <c r="AF577" s="19">
        <f t="shared" si="57"/>
        <v>1</v>
      </c>
      <c r="AG577" s="19">
        <f t="shared" si="58"/>
        <v>0</v>
      </c>
      <c r="AH577" s="19">
        <f t="shared" si="59"/>
        <v>0</v>
      </c>
    </row>
    <row r="578" spans="1:34">
      <c r="A578" s="8" t="s">
        <v>168</v>
      </c>
      <c r="B578" s="8" t="s">
        <v>3284</v>
      </c>
      <c r="C578" s="8" t="s">
        <v>12</v>
      </c>
      <c r="D578" s="8" t="s">
        <v>11</v>
      </c>
      <c r="E578" s="8" t="s">
        <v>126</v>
      </c>
      <c r="F578" s="8" t="s">
        <v>12</v>
      </c>
      <c r="G578" s="8" t="s">
        <v>8</v>
      </c>
      <c r="H578" s="8" t="s">
        <v>864</v>
      </c>
      <c r="I578" s="8" t="s">
        <v>41</v>
      </c>
      <c r="J578" s="8" t="s">
        <v>43</v>
      </c>
      <c r="K578" s="8" t="s">
        <v>41</v>
      </c>
      <c r="L578" s="8" t="s">
        <v>110</v>
      </c>
      <c r="M578" s="11" t="s">
        <v>3285</v>
      </c>
      <c r="N578" s="8">
        <v>15</v>
      </c>
      <c r="O578" s="8">
        <v>11</v>
      </c>
      <c r="P578" s="8">
        <v>4</v>
      </c>
      <c r="Q578" s="8">
        <v>5</v>
      </c>
      <c r="R578" s="8">
        <v>2</v>
      </c>
      <c r="S578" s="8">
        <v>4</v>
      </c>
      <c r="T578" s="8">
        <v>3</v>
      </c>
      <c r="U578" s="8">
        <v>4</v>
      </c>
      <c r="V578" s="8">
        <v>4</v>
      </c>
      <c r="W578" s="8">
        <v>2</v>
      </c>
      <c r="X578" s="8">
        <v>2</v>
      </c>
      <c r="Y578" s="8">
        <v>0</v>
      </c>
      <c r="Z578" s="8">
        <v>0</v>
      </c>
      <c r="AA578" s="8">
        <v>0</v>
      </c>
      <c r="AB578" s="8">
        <v>0</v>
      </c>
      <c r="AC578" s="19">
        <f t="shared" si="54"/>
        <v>3</v>
      </c>
      <c r="AD578" s="19">
        <f t="shared" si="55"/>
        <v>1</v>
      </c>
      <c r="AE578" s="19">
        <f t="shared" si="56"/>
        <v>0</v>
      </c>
      <c r="AF578" s="19">
        <f t="shared" si="57"/>
        <v>0</v>
      </c>
      <c r="AG578" s="19">
        <f t="shared" si="58"/>
        <v>0</v>
      </c>
      <c r="AH578" s="19">
        <f t="shared" si="59"/>
        <v>0</v>
      </c>
    </row>
    <row r="579" spans="1:34">
      <c r="A579" s="8" t="s">
        <v>1085</v>
      </c>
      <c r="B579" s="8" t="s">
        <v>3286</v>
      </c>
      <c r="C579" s="8" t="s">
        <v>959</v>
      </c>
      <c r="D579" s="8" t="s">
        <v>8</v>
      </c>
      <c r="E579" s="8" t="s">
        <v>68</v>
      </c>
      <c r="F579" s="8" t="s">
        <v>7</v>
      </c>
      <c r="G579" s="8" t="s">
        <v>5</v>
      </c>
      <c r="H579" s="8" t="s">
        <v>718</v>
      </c>
      <c r="I579" s="8" t="s">
        <v>41</v>
      </c>
      <c r="J579" s="8" t="s">
        <v>43</v>
      </c>
      <c r="K579" s="8" t="s">
        <v>41</v>
      </c>
      <c r="L579" s="8" t="s">
        <v>110</v>
      </c>
      <c r="M579" s="11" t="s">
        <v>3287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0</v>
      </c>
      <c r="W579" s="8">
        <v>0</v>
      </c>
      <c r="X579" s="8">
        <v>0</v>
      </c>
      <c r="Y579" s="8">
        <v>0</v>
      </c>
      <c r="Z579" s="8">
        <v>0</v>
      </c>
      <c r="AA579" s="8">
        <v>0</v>
      </c>
      <c r="AB579" s="8">
        <v>0</v>
      </c>
      <c r="AC579" s="19">
        <f t="shared" si="54"/>
        <v>0</v>
      </c>
      <c r="AD579" s="19">
        <f t="shared" si="55"/>
        <v>0</v>
      </c>
      <c r="AE579" s="19">
        <f t="shared" si="56"/>
        <v>0</v>
      </c>
      <c r="AF579" s="19">
        <f t="shared" si="57"/>
        <v>0</v>
      </c>
      <c r="AG579" s="19">
        <f t="shared" si="58"/>
        <v>0</v>
      </c>
      <c r="AH579" s="19">
        <f t="shared" si="59"/>
        <v>0</v>
      </c>
    </row>
    <row r="580" spans="1:34">
      <c r="A580" s="8" t="s">
        <v>662</v>
      </c>
      <c r="B580" s="8" t="s">
        <v>3289</v>
      </c>
      <c r="C580" s="8" t="s">
        <v>959</v>
      </c>
      <c r="D580" s="8" t="s">
        <v>8</v>
      </c>
      <c r="E580" s="8" t="s">
        <v>68</v>
      </c>
      <c r="F580" s="8" t="s">
        <v>7</v>
      </c>
      <c r="G580" s="8" t="s">
        <v>3</v>
      </c>
      <c r="H580" s="8" t="s">
        <v>866</v>
      </c>
      <c r="I580" s="8" t="s">
        <v>41</v>
      </c>
      <c r="J580" s="8" t="s">
        <v>43</v>
      </c>
      <c r="K580" s="8" t="s">
        <v>41</v>
      </c>
      <c r="L580" s="8" t="s">
        <v>110</v>
      </c>
      <c r="M580" s="11" t="s">
        <v>3290</v>
      </c>
      <c r="N580" s="8">
        <v>51</v>
      </c>
      <c r="O580" s="8">
        <v>25</v>
      </c>
      <c r="P580" s="8">
        <v>26</v>
      </c>
      <c r="Q580" s="8">
        <v>16</v>
      </c>
      <c r="R580" s="8">
        <v>7</v>
      </c>
      <c r="S580" s="8">
        <v>18</v>
      </c>
      <c r="T580" s="8">
        <v>10</v>
      </c>
      <c r="U580" s="8">
        <v>10</v>
      </c>
      <c r="V580" s="8">
        <v>4</v>
      </c>
      <c r="W580" s="8">
        <v>6</v>
      </c>
      <c r="X580" s="8">
        <v>4</v>
      </c>
      <c r="Y580" s="8">
        <v>1</v>
      </c>
      <c r="Z580" s="8">
        <v>0</v>
      </c>
      <c r="AA580" s="8">
        <v>0</v>
      </c>
      <c r="AB580" s="8">
        <v>0</v>
      </c>
      <c r="AC580" s="19">
        <f t="shared" si="54"/>
        <v>9</v>
      </c>
      <c r="AD580" s="19">
        <f t="shared" si="55"/>
        <v>8</v>
      </c>
      <c r="AE580" s="19">
        <f t="shared" si="56"/>
        <v>6</v>
      </c>
      <c r="AF580" s="19">
        <f t="shared" si="57"/>
        <v>2</v>
      </c>
      <c r="AG580" s="19">
        <f t="shared" si="58"/>
        <v>1</v>
      </c>
      <c r="AH580" s="19">
        <f t="shared" si="59"/>
        <v>0</v>
      </c>
    </row>
    <row r="581" spans="1:34">
      <c r="A581" s="8" t="s">
        <v>917</v>
      </c>
      <c r="B581" s="8" t="s">
        <v>3292</v>
      </c>
      <c r="C581" s="8" t="s">
        <v>959</v>
      </c>
      <c r="D581" s="8" t="s">
        <v>5</v>
      </c>
      <c r="E581" s="8" t="s">
        <v>68</v>
      </c>
      <c r="F581" s="8" t="s">
        <v>6</v>
      </c>
      <c r="G581" s="8" t="s">
        <v>6</v>
      </c>
      <c r="H581" s="8" t="s">
        <v>849</v>
      </c>
      <c r="I581" s="8" t="s">
        <v>41</v>
      </c>
      <c r="J581" s="8" t="s">
        <v>43</v>
      </c>
      <c r="K581" s="8" t="s">
        <v>41</v>
      </c>
      <c r="L581" s="8" t="s">
        <v>110</v>
      </c>
      <c r="M581" s="11" t="s">
        <v>3293</v>
      </c>
      <c r="N581" s="8">
        <v>17</v>
      </c>
      <c r="O581" s="8">
        <v>7</v>
      </c>
      <c r="P581" s="8">
        <v>10</v>
      </c>
      <c r="Q581" s="8">
        <v>4</v>
      </c>
      <c r="R581" s="8">
        <v>1</v>
      </c>
      <c r="S581" s="8">
        <v>2</v>
      </c>
      <c r="T581" s="8">
        <v>2</v>
      </c>
      <c r="U581" s="8">
        <v>5</v>
      </c>
      <c r="V581" s="8">
        <v>3</v>
      </c>
      <c r="W581" s="8">
        <v>4</v>
      </c>
      <c r="X581" s="8">
        <v>1</v>
      </c>
      <c r="Y581" s="8">
        <v>2</v>
      </c>
      <c r="Z581" s="8">
        <v>0</v>
      </c>
      <c r="AA581" s="8">
        <v>0</v>
      </c>
      <c r="AB581" s="8">
        <v>0</v>
      </c>
      <c r="AC581" s="19">
        <f t="shared" si="54"/>
        <v>3</v>
      </c>
      <c r="AD581" s="19">
        <f t="shared" si="55"/>
        <v>0</v>
      </c>
      <c r="AE581" s="19">
        <f t="shared" si="56"/>
        <v>2</v>
      </c>
      <c r="AF581" s="19">
        <f t="shared" si="57"/>
        <v>3</v>
      </c>
      <c r="AG581" s="19">
        <f t="shared" si="58"/>
        <v>2</v>
      </c>
      <c r="AH581" s="19">
        <f t="shared" si="59"/>
        <v>0</v>
      </c>
    </row>
    <row r="582" spans="1:34">
      <c r="A582" s="8" t="s">
        <v>213</v>
      </c>
      <c r="B582" s="8" t="s">
        <v>3296</v>
      </c>
      <c r="C582" s="8" t="s">
        <v>70</v>
      </c>
      <c r="D582" s="8" t="s">
        <v>8</v>
      </c>
      <c r="E582" s="8" t="s">
        <v>43</v>
      </c>
      <c r="F582" s="8" t="s">
        <v>13</v>
      </c>
      <c r="G582" s="8" t="s">
        <v>9</v>
      </c>
      <c r="H582" s="8" t="s">
        <v>727</v>
      </c>
      <c r="I582" s="8" t="s">
        <v>41</v>
      </c>
      <c r="J582" s="8" t="s">
        <v>41</v>
      </c>
      <c r="K582" s="8" t="s">
        <v>41</v>
      </c>
      <c r="L582" s="8" t="s">
        <v>110</v>
      </c>
      <c r="M582" s="11" t="s">
        <v>3297</v>
      </c>
      <c r="N582" s="8">
        <v>148</v>
      </c>
      <c r="O582" s="8">
        <v>96</v>
      </c>
      <c r="P582" s="8">
        <v>52</v>
      </c>
      <c r="Q582" s="8">
        <v>35</v>
      </c>
      <c r="R582" s="8">
        <v>25</v>
      </c>
      <c r="S582" s="8">
        <v>22</v>
      </c>
      <c r="T582" s="8">
        <v>15</v>
      </c>
      <c r="U582" s="8">
        <v>35</v>
      </c>
      <c r="V582" s="8">
        <v>23</v>
      </c>
      <c r="W582" s="8">
        <v>43</v>
      </c>
      <c r="X582" s="8">
        <v>25</v>
      </c>
      <c r="Y582" s="8">
        <v>13</v>
      </c>
      <c r="Z582" s="8">
        <v>8</v>
      </c>
      <c r="AA582" s="8">
        <v>0</v>
      </c>
      <c r="AB582" s="8">
        <v>0</v>
      </c>
      <c r="AC582" s="19">
        <f t="shared" si="54"/>
        <v>10</v>
      </c>
      <c r="AD582" s="19">
        <f t="shared" si="55"/>
        <v>7</v>
      </c>
      <c r="AE582" s="19">
        <f t="shared" si="56"/>
        <v>12</v>
      </c>
      <c r="AF582" s="19">
        <f t="shared" si="57"/>
        <v>18</v>
      </c>
      <c r="AG582" s="19">
        <f t="shared" si="58"/>
        <v>5</v>
      </c>
      <c r="AH582" s="19">
        <f t="shared" si="59"/>
        <v>0</v>
      </c>
    </row>
    <row r="583" spans="1:34">
      <c r="A583" s="8" t="s">
        <v>1087</v>
      </c>
      <c r="B583" s="8" t="s">
        <v>3298</v>
      </c>
      <c r="C583" s="8" t="s">
        <v>18</v>
      </c>
      <c r="D583" s="8" t="s">
        <v>8</v>
      </c>
      <c r="E583" s="8" t="s">
        <v>80</v>
      </c>
      <c r="F583" s="8" t="s">
        <v>8</v>
      </c>
      <c r="G583" s="8" t="s">
        <v>3</v>
      </c>
      <c r="H583" s="8" t="s">
        <v>1200</v>
      </c>
      <c r="I583" s="8" t="s">
        <v>41</v>
      </c>
      <c r="J583" s="8" t="s">
        <v>41</v>
      </c>
      <c r="K583" s="8" t="s">
        <v>41</v>
      </c>
      <c r="L583" s="8" t="s">
        <v>110</v>
      </c>
      <c r="M583" s="11" t="s">
        <v>3299</v>
      </c>
      <c r="N583" s="8">
        <v>48</v>
      </c>
      <c r="O583" s="8">
        <v>35</v>
      </c>
      <c r="P583" s="8">
        <v>13</v>
      </c>
      <c r="Q583" s="8">
        <v>9</v>
      </c>
      <c r="R583" s="8">
        <v>9</v>
      </c>
      <c r="S583" s="8">
        <v>5</v>
      </c>
      <c r="T583" s="8">
        <v>4</v>
      </c>
      <c r="U583" s="8">
        <v>9</v>
      </c>
      <c r="V583" s="8">
        <v>6</v>
      </c>
      <c r="W583" s="8">
        <v>13</v>
      </c>
      <c r="X583" s="8">
        <v>8</v>
      </c>
      <c r="Y583" s="8">
        <v>12</v>
      </c>
      <c r="Z583" s="8">
        <v>8</v>
      </c>
      <c r="AA583" s="8">
        <v>0</v>
      </c>
      <c r="AB583" s="8">
        <v>0</v>
      </c>
      <c r="AC583" s="19">
        <f t="shared" si="54"/>
        <v>0</v>
      </c>
      <c r="AD583" s="19">
        <f t="shared" si="55"/>
        <v>1</v>
      </c>
      <c r="AE583" s="19">
        <f t="shared" si="56"/>
        <v>3</v>
      </c>
      <c r="AF583" s="19">
        <f t="shared" si="57"/>
        <v>5</v>
      </c>
      <c r="AG583" s="19">
        <f t="shared" si="58"/>
        <v>4</v>
      </c>
      <c r="AH583" s="19">
        <f t="shared" si="59"/>
        <v>0</v>
      </c>
    </row>
    <row r="584" spans="1:34">
      <c r="A584" s="8" t="s">
        <v>918</v>
      </c>
      <c r="B584" s="8" t="s">
        <v>3301</v>
      </c>
      <c r="C584" s="8" t="s">
        <v>11</v>
      </c>
      <c r="D584" s="8" t="s">
        <v>6</v>
      </c>
      <c r="E584" s="8" t="s">
        <v>126</v>
      </c>
      <c r="F584" s="8" t="s">
        <v>3</v>
      </c>
      <c r="G584" s="8" t="s">
        <v>3</v>
      </c>
      <c r="H584" s="8" t="s">
        <v>722</v>
      </c>
      <c r="I584" s="8" t="s">
        <v>41</v>
      </c>
      <c r="J584" s="8" t="s">
        <v>41</v>
      </c>
      <c r="K584" s="8" t="s">
        <v>41</v>
      </c>
      <c r="L584" s="8" t="s">
        <v>110</v>
      </c>
      <c r="M584" s="11" t="s">
        <v>3302</v>
      </c>
      <c r="N584" s="8">
        <v>13</v>
      </c>
      <c r="O584" s="8">
        <v>11</v>
      </c>
      <c r="P584" s="8">
        <v>2</v>
      </c>
      <c r="Q584" s="8">
        <v>1</v>
      </c>
      <c r="R584" s="8">
        <v>0</v>
      </c>
      <c r="S584" s="8">
        <v>1</v>
      </c>
      <c r="T584" s="8">
        <v>1</v>
      </c>
      <c r="U584" s="8">
        <v>6</v>
      </c>
      <c r="V584" s="8">
        <v>5</v>
      </c>
      <c r="W584" s="8">
        <v>2</v>
      </c>
      <c r="X584" s="8">
        <v>2</v>
      </c>
      <c r="Y584" s="8">
        <v>3</v>
      </c>
      <c r="Z584" s="8">
        <v>3</v>
      </c>
      <c r="AA584" s="8">
        <v>0</v>
      </c>
      <c r="AB584" s="8">
        <v>0</v>
      </c>
      <c r="AC584" s="19">
        <f t="shared" si="54"/>
        <v>1</v>
      </c>
      <c r="AD584" s="19">
        <f t="shared" si="55"/>
        <v>0</v>
      </c>
      <c r="AE584" s="19">
        <f t="shared" si="56"/>
        <v>1</v>
      </c>
      <c r="AF584" s="19">
        <f t="shared" si="57"/>
        <v>0</v>
      </c>
      <c r="AG584" s="19">
        <f t="shared" si="58"/>
        <v>0</v>
      </c>
      <c r="AH584" s="19">
        <f t="shared" si="59"/>
        <v>0</v>
      </c>
    </row>
    <row r="585" spans="1:34">
      <c r="A585" s="8" t="s">
        <v>1166</v>
      </c>
      <c r="B585" s="8" t="s">
        <v>3304</v>
      </c>
      <c r="C585" s="8" t="s">
        <v>956</v>
      </c>
      <c r="D585" s="8" t="s">
        <v>4</v>
      </c>
      <c r="E585" s="8" t="s">
        <v>41</v>
      </c>
      <c r="F585" s="8" t="s">
        <v>11</v>
      </c>
      <c r="G585" s="8" t="s">
        <v>6</v>
      </c>
      <c r="H585" s="8" t="s">
        <v>175</v>
      </c>
      <c r="I585" s="8" t="s">
        <v>41</v>
      </c>
      <c r="J585" s="8" t="s">
        <v>41</v>
      </c>
      <c r="K585" s="8" t="s">
        <v>41</v>
      </c>
      <c r="L585" s="8" t="s">
        <v>110</v>
      </c>
      <c r="M585" s="11" t="s">
        <v>3305</v>
      </c>
      <c r="N585" s="8">
        <v>181</v>
      </c>
      <c r="O585" s="8">
        <v>92</v>
      </c>
      <c r="P585" s="8">
        <v>89</v>
      </c>
      <c r="Q585" s="8">
        <v>35</v>
      </c>
      <c r="R585" s="8">
        <v>20</v>
      </c>
      <c r="S585" s="8">
        <v>31</v>
      </c>
      <c r="T585" s="8">
        <v>13</v>
      </c>
      <c r="U585" s="8">
        <v>29</v>
      </c>
      <c r="V585" s="8">
        <v>18</v>
      </c>
      <c r="W585" s="8">
        <v>78</v>
      </c>
      <c r="X585" s="8">
        <v>37</v>
      </c>
      <c r="Y585" s="8">
        <v>8</v>
      </c>
      <c r="Z585" s="8">
        <v>4</v>
      </c>
      <c r="AA585" s="8">
        <v>0</v>
      </c>
      <c r="AB585" s="8">
        <v>0</v>
      </c>
      <c r="AC585" s="19">
        <f t="shared" si="54"/>
        <v>15</v>
      </c>
      <c r="AD585" s="19">
        <f t="shared" si="55"/>
        <v>18</v>
      </c>
      <c r="AE585" s="19">
        <f t="shared" si="56"/>
        <v>11</v>
      </c>
      <c r="AF585" s="19">
        <f t="shared" si="57"/>
        <v>41</v>
      </c>
      <c r="AG585" s="19">
        <f t="shared" si="58"/>
        <v>4</v>
      </c>
      <c r="AH585" s="19">
        <f t="shared" si="59"/>
        <v>0</v>
      </c>
    </row>
    <row r="586" spans="1:34">
      <c r="A586" s="8" t="s">
        <v>1163</v>
      </c>
      <c r="B586" s="8" t="s">
        <v>3306</v>
      </c>
      <c r="C586" s="8" t="s">
        <v>70</v>
      </c>
      <c r="D586" s="8" t="s">
        <v>9</v>
      </c>
      <c r="E586" s="8" t="s">
        <v>43</v>
      </c>
      <c r="F586" s="8" t="s">
        <v>13</v>
      </c>
      <c r="G586" s="8" t="s">
        <v>16</v>
      </c>
      <c r="H586" s="8" t="s">
        <v>3308</v>
      </c>
      <c r="I586" s="8" t="s">
        <v>41</v>
      </c>
      <c r="J586" s="8" t="s">
        <v>43</v>
      </c>
      <c r="K586" s="8" t="s">
        <v>41</v>
      </c>
      <c r="L586" s="8" t="s">
        <v>110</v>
      </c>
      <c r="M586" s="11" t="s">
        <v>3307</v>
      </c>
      <c r="N586" s="8">
        <v>6</v>
      </c>
      <c r="O586" s="8">
        <v>5</v>
      </c>
      <c r="P586" s="8">
        <v>1</v>
      </c>
      <c r="Q586" s="8">
        <v>1</v>
      </c>
      <c r="R586" s="8">
        <v>0</v>
      </c>
      <c r="S586" s="8">
        <v>2</v>
      </c>
      <c r="T586" s="8">
        <v>2</v>
      </c>
      <c r="U586" s="8">
        <v>2</v>
      </c>
      <c r="V586" s="8">
        <v>2</v>
      </c>
      <c r="W586" s="8">
        <v>1</v>
      </c>
      <c r="X586" s="8">
        <v>1</v>
      </c>
      <c r="Y586" s="8">
        <v>0</v>
      </c>
      <c r="Z586" s="8">
        <v>0</v>
      </c>
      <c r="AA586" s="8">
        <v>0</v>
      </c>
      <c r="AB586" s="8">
        <v>0</v>
      </c>
      <c r="AC586" s="19">
        <f t="shared" si="54"/>
        <v>1</v>
      </c>
      <c r="AD586" s="19">
        <f t="shared" si="55"/>
        <v>0</v>
      </c>
      <c r="AE586" s="19">
        <f t="shared" si="56"/>
        <v>0</v>
      </c>
      <c r="AF586" s="19">
        <f t="shared" si="57"/>
        <v>0</v>
      </c>
      <c r="AG586" s="19">
        <f t="shared" si="58"/>
        <v>0</v>
      </c>
      <c r="AH586" s="19">
        <f t="shared" si="59"/>
        <v>0</v>
      </c>
    </row>
    <row r="587" spans="1:34">
      <c r="A587" s="8" t="s">
        <v>919</v>
      </c>
      <c r="B587" s="8" t="s">
        <v>3310</v>
      </c>
      <c r="C587" s="8" t="s">
        <v>12</v>
      </c>
      <c r="D587" s="8" t="s">
        <v>11</v>
      </c>
      <c r="E587" s="8" t="s">
        <v>126</v>
      </c>
      <c r="F587" s="8" t="s">
        <v>12</v>
      </c>
      <c r="G587" s="8" t="s">
        <v>7</v>
      </c>
      <c r="H587" s="8" t="s">
        <v>60</v>
      </c>
      <c r="I587" s="8" t="s">
        <v>41</v>
      </c>
      <c r="J587" s="8" t="s">
        <v>43</v>
      </c>
      <c r="K587" s="8" t="s">
        <v>41</v>
      </c>
      <c r="L587" s="8" t="s">
        <v>110</v>
      </c>
      <c r="M587" s="11" t="s">
        <v>2877</v>
      </c>
      <c r="N587" s="8">
        <v>1</v>
      </c>
      <c r="O587" s="8">
        <v>1</v>
      </c>
      <c r="P587" s="8">
        <v>0</v>
      </c>
      <c r="Q587" s="8">
        <v>0</v>
      </c>
      <c r="R587" s="8">
        <v>0</v>
      </c>
      <c r="S587" s="8">
        <v>0</v>
      </c>
      <c r="T587" s="8">
        <v>0</v>
      </c>
      <c r="U587" s="8">
        <v>0</v>
      </c>
      <c r="V587" s="8">
        <v>0</v>
      </c>
      <c r="W587" s="8">
        <v>0</v>
      </c>
      <c r="X587" s="8">
        <v>0</v>
      </c>
      <c r="Y587" s="8">
        <v>1</v>
      </c>
      <c r="Z587" s="8">
        <v>1</v>
      </c>
      <c r="AA587" s="8">
        <v>0</v>
      </c>
      <c r="AB587" s="8">
        <v>0</v>
      </c>
      <c r="AC587" s="19">
        <f t="shared" si="54"/>
        <v>0</v>
      </c>
      <c r="AD587" s="19">
        <f t="shared" si="55"/>
        <v>0</v>
      </c>
      <c r="AE587" s="19">
        <f t="shared" si="56"/>
        <v>0</v>
      </c>
      <c r="AF587" s="19">
        <f t="shared" si="57"/>
        <v>0</v>
      </c>
      <c r="AG587" s="19">
        <f t="shared" si="58"/>
        <v>0</v>
      </c>
      <c r="AH587" s="19">
        <f t="shared" si="59"/>
        <v>0</v>
      </c>
    </row>
    <row r="588" spans="1:34">
      <c r="A588" s="8" t="s">
        <v>1079</v>
      </c>
      <c r="B588" s="8" t="s">
        <v>1992</v>
      </c>
      <c r="C588" s="8" t="s">
        <v>956</v>
      </c>
      <c r="D588" s="8" t="s">
        <v>6</v>
      </c>
      <c r="E588" s="8" t="s">
        <v>41</v>
      </c>
      <c r="F588" s="8" t="s">
        <v>18</v>
      </c>
      <c r="G588" s="8" t="s">
        <v>3</v>
      </c>
      <c r="H588" s="8" t="s">
        <v>94</v>
      </c>
      <c r="I588" s="8" t="s">
        <v>43</v>
      </c>
      <c r="J588" s="8" t="s">
        <v>41</v>
      </c>
      <c r="K588" s="8" t="s">
        <v>5696</v>
      </c>
      <c r="L588" s="8" t="s">
        <v>110</v>
      </c>
      <c r="M588" s="11" t="s">
        <v>3311</v>
      </c>
      <c r="N588" s="8">
        <v>0</v>
      </c>
      <c r="O588" s="8">
        <v>0</v>
      </c>
      <c r="P588" s="8">
        <v>0</v>
      </c>
      <c r="Q588" s="8">
        <v>0</v>
      </c>
      <c r="R588" s="8">
        <v>0</v>
      </c>
      <c r="S588" s="8">
        <v>0</v>
      </c>
      <c r="T588" s="8">
        <v>0</v>
      </c>
      <c r="U588" s="8">
        <v>0</v>
      </c>
      <c r="V588" s="8">
        <v>0</v>
      </c>
      <c r="W588" s="8">
        <v>0</v>
      </c>
      <c r="X588" s="8">
        <v>0</v>
      </c>
      <c r="Y588" s="8">
        <v>0</v>
      </c>
      <c r="Z588" s="8">
        <v>0</v>
      </c>
      <c r="AA588" s="8">
        <v>0</v>
      </c>
      <c r="AB588" s="8">
        <v>0</v>
      </c>
      <c r="AC588" s="19">
        <f t="shared" si="54"/>
        <v>0</v>
      </c>
      <c r="AD588" s="19">
        <f t="shared" si="55"/>
        <v>0</v>
      </c>
      <c r="AE588" s="19">
        <f t="shared" si="56"/>
        <v>0</v>
      </c>
      <c r="AF588" s="19">
        <f t="shared" si="57"/>
        <v>0</v>
      </c>
      <c r="AG588" s="19">
        <f t="shared" si="58"/>
        <v>0</v>
      </c>
      <c r="AH588" s="19">
        <f t="shared" si="59"/>
        <v>0</v>
      </c>
    </row>
    <row r="589" spans="1:34">
      <c r="A589" s="8" t="s">
        <v>920</v>
      </c>
      <c r="B589" s="8" t="s">
        <v>1992</v>
      </c>
      <c r="C589" s="8" t="s">
        <v>18</v>
      </c>
      <c r="D589" s="8" t="s">
        <v>8</v>
      </c>
      <c r="E589" s="8" t="s">
        <v>80</v>
      </c>
      <c r="F589" s="8" t="s">
        <v>8</v>
      </c>
      <c r="G589" s="8" t="s">
        <v>3</v>
      </c>
      <c r="H589" s="8" t="s">
        <v>828</v>
      </c>
      <c r="I589" s="8" t="s">
        <v>43</v>
      </c>
      <c r="J589" s="8" t="s">
        <v>41</v>
      </c>
      <c r="K589" s="8" t="s">
        <v>41</v>
      </c>
      <c r="L589" s="8" t="s">
        <v>110</v>
      </c>
      <c r="M589" s="11" t="s">
        <v>4700</v>
      </c>
      <c r="N589" s="8">
        <v>2</v>
      </c>
      <c r="O589" s="8">
        <v>1</v>
      </c>
      <c r="P589" s="8">
        <v>1</v>
      </c>
      <c r="Q589" s="8">
        <v>1</v>
      </c>
      <c r="R589" s="8">
        <v>1</v>
      </c>
      <c r="S589" s="8">
        <v>1</v>
      </c>
      <c r="T589" s="8">
        <v>0</v>
      </c>
      <c r="U589" s="8">
        <v>0</v>
      </c>
      <c r="V589" s="8">
        <v>0</v>
      </c>
      <c r="W589" s="8">
        <v>0</v>
      </c>
      <c r="X589" s="8">
        <v>0</v>
      </c>
      <c r="Y589" s="8">
        <v>0</v>
      </c>
      <c r="Z589" s="8">
        <v>0</v>
      </c>
      <c r="AA589" s="8">
        <v>0</v>
      </c>
      <c r="AB589" s="8">
        <v>0</v>
      </c>
      <c r="AC589" s="19">
        <f t="shared" si="54"/>
        <v>0</v>
      </c>
      <c r="AD589" s="19">
        <f t="shared" si="55"/>
        <v>1</v>
      </c>
      <c r="AE589" s="19">
        <f t="shared" si="56"/>
        <v>0</v>
      </c>
      <c r="AF589" s="19">
        <f t="shared" si="57"/>
        <v>0</v>
      </c>
      <c r="AG589" s="19">
        <f t="shared" si="58"/>
        <v>0</v>
      </c>
      <c r="AH589" s="19">
        <f t="shared" si="59"/>
        <v>0</v>
      </c>
    </row>
    <row r="590" spans="1:34">
      <c r="A590" s="8" t="s">
        <v>921</v>
      </c>
      <c r="B590" s="8" t="s">
        <v>1992</v>
      </c>
      <c r="C590" s="8" t="s">
        <v>5</v>
      </c>
      <c r="D590" s="8" t="s">
        <v>3</v>
      </c>
      <c r="E590" s="8" t="s">
        <v>43</v>
      </c>
      <c r="F590" s="8" t="s">
        <v>3</v>
      </c>
      <c r="G590" s="8" t="s">
        <v>3</v>
      </c>
      <c r="H590" s="8" t="s">
        <v>58</v>
      </c>
      <c r="I590" s="8" t="s">
        <v>41</v>
      </c>
      <c r="J590" s="8" t="s">
        <v>41</v>
      </c>
      <c r="K590" s="8" t="s">
        <v>41</v>
      </c>
      <c r="L590" s="8" t="s">
        <v>110</v>
      </c>
      <c r="M590" s="11" t="s">
        <v>3317</v>
      </c>
      <c r="N590" s="8">
        <v>0</v>
      </c>
      <c r="O590" s="8">
        <v>0</v>
      </c>
      <c r="P590" s="8">
        <v>0</v>
      </c>
      <c r="Q590" s="8">
        <v>0</v>
      </c>
      <c r="R590" s="8">
        <v>0</v>
      </c>
      <c r="S590" s="8">
        <v>0</v>
      </c>
      <c r="T590" s="8">
        <v>0</v>
      </c>
      <c r="U590" s="8">
        <v>0</v>
      </c>
      <c r="V590" s="8">
        <v>0</v>
      </c>
      <c r="W590" s="8">
        <v>0</v>
      </c>
      <c r="X590" s="8">
        <v>0</v>
      </c>
      <c r="Y590" s="8">
        <v>0</v>
      </c>
      <c r="Z590" s="8">
        <v>0</v>
      </c>
      <c r="AA590" s="8">
        <v>0</v>
      </c>
      <c r="AB590" s="8">
        <v>0</v>
      </c>
      <c r="AC590" s="19">
        <f t="shared" si="54"/>
        <v>0</v>
      </c>
      <c r="AD590" s="19">
        <f t="shared" si="55"/>
        <v>0</v>
      </c>
      <c r="AE590" s="19">
        <f t="shared" si="56"/>
        <v>0</v>
      </c>
      <c r="AF590" s="19">
        <f t="shared" si="57"/>
        <v>0</v>
      </c>
      <c r="AG590" s="19">
        <f t="shared" si="58"/>
        <v>0</v>
      </c>
      <c r="AH590" s="19">
        <f t="shared" si="59"/>
        <v>0</v>
      </c>
    </row>
    <row r="591" spans="1:34">
      <c r="A591" s="8" t="s">
        <v>666</v>
      </c>
      <c r="B591" s="8" t="s">
        <v>1992</v>
      </c>
      <c r="C591" s="8" t="s">
        <v>957</v>
      </c>
      <c r="D591" s="8" t="s">
        <v>6</v>
      </c>
      <c r="E591" s="8" t="s">
        <v>41</v>
      </c>
      <c r="F591" s="8" t="s">
        <v>12</v>
      </c>
      <c r="G591" s="8" t="s">
        <v>3</v>
      </c>
      <c r="H591" s="8" t="s">
        <v>165</v>
      </c>
      <c r="I591" s="8" t="s">
        <v>43</v>
      </c>
      <c r="J591" s="8" t="s">
        <v>41</v>
      </c>
      <c r="K591" s="8" t="s">
        <v>5696</v>
      </c>
      <c r="L591" s="8" t="s">
        <v>110</v>
      </c>
      <c r="M591" s="11" t="s">
        <v>3977</v>
      </c>
      <c r="N591" s="8">
        <v>0</v>
      </c>
      <c r="O591" s="8">
        <v>0</v>
      </c>
      <c r="P591" s="8">
        <v>0</v>
      </c>
      <c r="Q591" s="8">
        <v>0</v>
      </c>
      <c r="R591" s="8">
        <v>0</v>
      </c>
      <c r="S591" s="8">
        <v>0</v>
      </c>
      <c r="T591" s="8">
        <v>0</v>
      </c>
      <c r="U591" s="8">
        <v>0</v>
      </c>
      <c r="V591" s="8">
        <v>0</v>
      </c>
      <c r="W591" s="8">
        <v>0</v>
      </c>
      <c r="X591" s="8">
        <v>0</v>
      </c>
      <c r="Y591" s="8">
        <v>0</v>
      </c>
      <c r="Z591" s="8">
        <v>0</v>
      </c>
      <c r="AA591" s="8">
        <v>0</v>
      </c>
      <c r="AB591" s="8">
        <v>0</v>
      </c>
      <c r="AC591" s="19">
        <f t="shared" si="54"/>
        <v>0</v>
      </c>
      <c r="AD591" s="19">
        <f t="shared" si="55"/>
        <v>0</v>
      </c>
      <c r="AE591" s="19">
        <f t="shared" si="56"/>
        <v>0</v>
      </c>
      <c r="AF591" s="19">
        <f t="shared" si="57"/>
        <v>0</v>
      </c>
      <c r="AG591" s="19">
        <f t="shared" si="58"/>
        <v>0</v>
      </c>
      <c r="AH591" s="19">
        <f t="shared" si="59"/>
        <v>0</v>
      </c>
    </row>
    <row r="592" spans="1:34">
      <c r="A592" s="8" t="s">
        <v>1091</v>
      </c>
      <c r="B592" s="8" t="s">
        <v>3320</v>
      </c>
      <c r="C592" s="8" t="s">
        <v>754</v>
      </c>
      <c r="D592" s="8" t="s">
        <v>7</v>
      </c>
      <c r="E592" s="8" t="s">
        <v>68</v>
      </c>
      <c r="F592" s="8" t="s">
        <v>4</v>
      </c>
      <c r="G592" s="8" t="s">
        <v>6</v>
      </c>
      <c r="H592" s="8" t="s">
        <v>132</v>
      </c>
      <c r="I592" s="8" t="s">
        <v>41</v>
      </c>
      <c r="J592" s="8" t="s">
        <v>43</v>
      </c>
      <c r="K592" s="8" t="s">
        <v>41</v>
      </c>
      <c r="L592" s="8" t="s">
        <v>110</v>
      </c>
      <c r="M592" s="11" t="s">
        <v>2085</v>
      </c>
      <c r="N592" s="8">
        <v>106</v>
      </c>
      <c r="O592" s="8">
        <v>59</v>
      </c>
      <c r="P592" s="8">
        <v>47</v>
      </c>
      <c r="Q592" s="8">
        <v>19</v>
      </c>
      <c r="R592" s="8">
        <v>13</v>
      </c>
      <c r="S592" s="8">
        <v>34</v>
      </c>
      <c r="T592" s="8">
        <v>11</v>
      </c>
      <c r="U592" s="8">
        <v>23</v>
      </c>
      <c r="V592" s="8">
        <v>15</v>
      </c>
      <c r="W592" s="8">
        <v>29</v>
      </c>
      <c r="X592" s="8">
        <v>20</v>
      </c>
      <c r="Y592" s="8">
        <v>1</v>
      </c>
      <c r="Z592" s="8">
        <v>0</v>
      </c>
      <c r="AA592" s="8">
        <v>0</v>
      </c>
      <c r="AB592" s="8">
        <v>0</v>
      </c>
      <c r="AC592" s="19">
        <f t="shared" si="54"/>
        <v>6</v>
      </c>
      <c r="AD592" s="19">
        <f t="shared" si="55"/>
        <v>23</v>
      </c>
      <c r="AE592" s="19">
        <f t="shared" si="56"/>
        <v>8</v>
      </c>
      <c r="AF592" s="19">
        <f t="shared" si="57"/>
        <v>9</v>
      </c>
      <c r="AG592" s="19">
        <f t="shared" si="58"/>
        <v>1</v>
      </c>
      <c r="AH592" s="19">
        <f t="shared" si="59"/>
        <v>0</v>
      </c>
    </row>
    <row r="593" spans="1:34">
      <c r="A593" s="8" t="s">
        <v>922</v>
      </c>
      <c r="B593" s="8" t="s">
        <v>3323</v>
      </c>
      <c r="C593" s="8" t="s">
        <v>304</v>
      </c>
      <c r="D593" s="8" t="s">
        <v>9</v>
      </c>
      <c r="E593" s="8" t="s">
        <v>68</v>
      </c>
      <c r="F593" s="8" t="s">
        <v>3</v>
      </c>
      <c r="G593" s="8" t="s">
        <v>5</v>
      </c>
      <c r="H593" s="8" t="s">
        <v>69</v>
      </c>
      <c r="I593" s="8" t="s">
        <v>41</v>
      </c>
      <c r="J593" s="8" t="s">
        <v>41</v>
      </c>
      <c r="K593" s="8" t="s">
        <v>41</v>
      </c>
      <c r="L593" s="8" t="s">
        <v>110</v>
      </c>
      <c r="M593" s="11" t="s">
        <v>3512</v>
      </c>
      <c r="N593" s="8">
        <v>61</v>
      </c>
      <c r="O593" s="8">
        <v>34</v>
      </c>
      <c r="P593" s="8">
        <v>27</v>
      </c>
      <c r="Q593" s="8">
        <v>30</v>
      </c>
      <c r="R593" s="8">
        <v>12</v>
      </c>
      <c r="S593" s="8">
        <v>23</v>
      </c>
      <c r="T593" s="8">
        <v>17</v>
      </c>
      <c r="U593" s="8">
        <v>8</v>
      </c>
      <c r="V593" s="8">
        <v>5</v>
      </c>
      <c r="W593" s="8">
        <v>0</v>
      </c>
      <c r="X593" s="8">
        <v>0</v>
      </c>
      <c r="Y593" s="8">
        <v>0</v>
      </c>
      <c r="Z593" s="8">
        <v>0</v>
      </c>
      <c r="AA593" s="8">
        <v>0</v>
      </c>
      <c r="AB593" s="8">
        <v>0</v>
      </c>
      <c r="AC593" s="19">
        <f t="shared" si="54"/>
        <v>18</v>
      </c>
      <c r="AD593" s="19">
        <f t="shared" si="55"/>
        <v>6</v>
      </c>
      <c r="AE593" s="19">
        <f t="shared" si="56"/>
        <v>3</v>
      </c>
      <c r="AF593" s="19">
        <f t="shared" si="57"/>
        <v>0</v>
      </c>
      <c r="AG593" s="19">
        <f t="shared" si="58"/>
        <v>0</v>
      </c>
      <c r="AH593" s="19">
        <f t="shared" si="59"/>
        <v>0</v>
      </c>
    </row>
    <row r="594" spans="1:34">
      <c r="A594" s="8" t="s">
        <v>667</v>
      </c>
      <c r="B594" s="8" t="s">
        <v>3325</v>
      </c>
      <c r="C594" s="8" t="s">
        <v>7</v>
      </c>
      <c r="D594" s="8" t="s">
        <v>6</v>
      </c>
      <c r="E594" s="8" t="s">
        <v>56</v>
      </c>
      <c r="F594" s="8" t="s">
        <v>3</v>
      </c>
      <c r="G594" s="8" t="s">
        <v>11</v>
      </c>
      <c r="H594" s="8" t="s">
        <v>762</v>
      </c>
      <c r="I594" s="8" t="s">
        <v>41</v>
      </c>
      <c r="J594" s="8" t="s">
        <v>41</v>
      </c>
      <c r="K594" s="8" t="s">
        <v>41</v>
      </c>
      <c r="L594" s="8" t="s">
        <v>110</v>
      </c>
      <c r="M594" s="11" t="s">
        <v>3326</v>
      </c>
      <c r="N594" s="8">
        <v>195</v>
      </c>
      <c r="O594" s="8">
        <v>107</v>
      </c>
      <c r="P594" s="8">
        <v>88</v>
      </c>
      <c r="Q594" s="8">
        <v>61</v>
      </c>
      <c r="R594" s="8">
        <v>37</v>
      </c>
      <c r="S594" s="8">
        <v>30</v>
      </c>
      <c r="T594" s="8">
        <v>14</v>
      </c>
      <c r="U594" s="8">
        <v>12</v>
      </c>
      <c r="V594" s="8">
        <v>8</v>
      </c>
      <c r="W594" s="8">
        <v>64</v>
      </c>
      <c r="X594" s="8">
        <v>31</v>
      </c>
      <c r="Y594" s="8">
        <v>28</v>
      </c>
      <c r="Z594" s="8">
        <v>17</v>
      </c>
      <c r="AA594" s="8">
        <v>0</v>
      </c>
      <c r="AB594" s="8">
        <v>0</v>
      </c>
      <c r="AC594" s="19">
        <f t="shared" si="54"/>
        <v>24</v>
      </c>
      <c r="AD594" s="19">
        <f t="shared" si="55"/>
        <v>16</v>
      </c>
      <c r="AE594" s="19">
        <f t="shared" si="56"/>
        <v>4</v>
      </c>
      <c r="AF594" s="19">
        <f t="shared" si="57"/>
        <v>33</v>
      </c>
      <c r="AG594" s="19">
        <f t="shared" si="58"/>
        <v>11</v>
      </c>
      <c r="AH594" s="19">
        <f t="shared" si="59"/>
        <v>0</v>
      </c>
    </row>
    <row r="595" spans="1:34">
      <c r="A595" s="8" t="s">
        <v>668</v>
      </c>
      <c r="B595" s="8" t="s">
        <v>3328</v>
      </c>
      <c r="C595" s="8" t="s">
        <v>7</v>
      </c>
      <c r="D595" s="8" t="s">
        <v>5</v>
      </c>
      <c r="E595" s="8" t="s">
        <v>56</v>
      </c>
      <c r="F595" s="8" t="s">
        <v>11</v>
      </c>
      <c r="G595" s="8" t="s">
        <v>5</v>
      </c>
      <c r="H595" s="8" t="s">
        <v>759</v>
      </c>
      <c r="I595" s="8" t="s">
        <v>41</v>
      </c>
      <c r="J595" s="8" t="s">
        <v>41</v>
      </c>
      <c r="K595" s="8" t="s">
        <v>41</v>
      </c>
      <c r="L595" s="8" t="s">
        <v>110</v>
      </c>
      <c r="M595" s="11" t="s">
        <v>3329</v>
      </c>
      <c r="N595" s="8">
        <v>134</v>
      </c>
      <c r="O595" s="8">
        <v>76</v>
      </c>
      <c r="P595" s="8">
        <v>58</v>
      </c>
      <c r="Q595" s="8">
        <v>31</v>
      </c>
      <c r="R595" s="8">
        <v>19</v>
      </c>
      <c r="S595" s="8">
        <v>26</v>
      </c>
      <c r="T595" s="8">
        <v>12</v>
      </c>
      <c r="U595" s="8">
        <v>39</v>
      </c>
      <c r="V595" s="8">
        <v>19</v>
      </c>
      <c r="W595" s="8">
        <v>28</v>
      </c>
      <c r="X595" s="8">
        <v>20</v>
      </c>
      <c r="Y595" s="8">
        <v>10</v>
      </c>
      <c r="Z595" s="8">
        <v>6</v>
      </c>
      <c r="AA595" s="8">
        <v>0</v>
      </c>
      <c r="AB595" s="8">
        <v>0</v>
      </c>
      <c r="AC595" s="19">
        <f t="shared" si="54"/>
        <v>12</v>
      </c>
      <c r="AD595" s="19">
        <f t="shared" si="55"/>
        <v>14</v>
      </c>
      <c r="AE595" s="19">
        <f t="shared" si="56"/>
        <v>20</v>
      </c>
      <c r="AF595" s="19">
        <f t="shared" si="57"/>
        <v>8</v>
      </c>
      <c r="AG595" s="19">
        <f t="shared" si="58"/>
        <v>4</v>
      </c>
      <c r="AH595" s="19">
        <f t="shared" si="59"/>
        <v>0</v>
      </c>
    </row>
    <row r="596" spans="1:34">
      <c r="A596" s="8" t="s">
        <v>923</v>
      </c>
      <c r="B596" s="8" t="s">
        <v>3331</v>
      </c>
      <c r="C596" s="8" t="s">
        <v>953</v>
      </c>
      <c r="D596" s="8" t="s">
        <v>7</v>
      </c>
      <c r="E596" s="8" t="s">
        <v>110</v>
      </c>
      <c r="F596" s="8" t="s">
        <v>13</v>
      </c>
      <c r="G596" s="8" t="s">
        <v>3</v>
      </c>
      <c r="H596" s="8" t="s">
        <v>3333</v>
      </c>
      <c r="I596" s="8" t="s">
        <v>41</v>
      </c>
      <c r="J596" s="8" t="s">
        <v>43</v>
      </c>
      <c r="K596" s="8" t="s">
        <v>41</v>
      </c>
      <c r="L596" s="8" t="s">
        <v>110</v>
      </c>
      <c r="M596" s="11" t="s">
        <v>3332</v>
      </c>
      <c r="N596" s="8">
        <v>76</v>
      </c>
      <c r="O596" s="8">
        <v>43</v>
      </c>
      <c r="P596" s="8">
        <v>33</v>
      </c>
      <c r="Q596" s="8">
        <v>17</v>
      </c>
      <c r="R596" s="8">
        <v>12</v>
      </c>
      <c r="S596" s="8">
        <v>5</v>
      </c>
      <c r="T596" s="8">
        <v>2</v>
      </c>
      <c r="U596" s="8">
        <v>20</v>
      </c>
      <c r="V596" s="8">
        <v>12</v>
      </c>
      <c r="W596" s="8">
        <v>21</v>
      </c>
      <c r="X596" s="8">
        <v>12</v>
      </c>
      <c r="Y596" s="8">
        <v>13</v>
      </c>
      <c r="Z596" s="8">
        <v>5</v>
      </c>
      <c r="AA596" s="8">
        <v>0</v>
      </c>
      <c r="AB596" s="8">
        <v>0</v>
      </c>
      <c r="AC596" s="19">
        <f t="shared" si="54"/>
        <v>5</v>
      </c>
      <c r="AD596" s="19">
        <f t="shared" si="55"/>
        <v>3</v>
      </c>
      <c r="AE596" s="19">
        <f t="shared" si="56"/>
        <v>8</v>
      </c>
      <c r="AF596" s="19">
        <f t="shared" si="57"/>
        <v>9</v>
      </c>
      <c r="AG596" s="19">
        <f t="shared" si="58"/>
        <v>8</v>
      </c>
      <c r="AH596" s="19">
        <f t="shared" si="59"/>
        <v>0</v>
      </c>
    </row>
    <row r="597" spans="1:34">
      <c r="A597" s="8" t="s">
        <v>669</v>
      </c>
      <c r="B597" s="8" t="s">
        <v>3335</v>
      </c>
      <c r="C597" s="8" t="s">
        <v>954</v>
      </c>
      <c r="D597" s="8" t="s">
        <v>17</v>
      </c>
      <c r="E597" s="8" t="s">
        <v>80</v>
      </c>
      <c r="F597" s="8" t="s">
        <v>5</v>
      </c>
      <c r="G597" s="8" t="s">
        <v>3</v>
      </c>
      <c r="H597" s="8" t="s">
        <v>544</v>
      </c>
      <c r="I597" s="8" t="s">
        <v>41</v>
      </c>
      <c r="J597" s="8" t="s">
        <v>41</v>
      </c>
      <c r="K597" s="8" t="s">
        <v>41</v>
      </c>
      <c r="L597" s="8" t="s">
        <v>110</v>
      </c>
      <c r="M597" s="11" t="s">
        <v>3336</v>
      </c>
      <c r="N597" s="8">
        <v>46</v>
      </c>
      <c r="O597" s="8">
        <v>16</v>
      </c>
      <c r="P597" s="8">
        <v>30</v>
      </c>
      <c r="Q597" s="8">
        <v>14</v>
      </c>
      <c r="R597" s="8">
        <v>6</v>
      </c>
      <c r="S597" s="8">
        <v>5</v>
      </c>
      <c r="T597" s="8">
        <v>1</v>
      </c>
      <c r="U597" s="8">
        <v>10</v>
      </c>
      <c r="V597" s="8">
        <v>3</v>
      </c>
      <c r="W597" s="8">
        <v>11</v>
      </c>
      <c r="X597" s="8">
        <v>3</v>
      </c>
      <c r="Y597" s="8">
        <v>6</v>
      </c>
      <c r="Z597" s="8">
        <v>3</v>
      </c>
      <c r="AA597" s="8">
        <v>0</v>
      </c>
      <c r="AB597" s="8">
        <v>0</v>
      </c>
      <c r="AC597" s="19">
        <f t="shared" si="54"/>
        <v>8</v>
      </c>
      <c r="AD597" s="19">
        <f t="shared" si="55"/>
        <v>4</v>
      </c>
      <c r="AE597" s="19">
        <f t="shared" si="56"/>
        <v>7</v>
      </c>
      <c r="AF597" s="19">
        <f t="shared" si="57"/>
        <v>8</v>
      </c>
      <c r="AG597" s="19">
        <f t="shared" si="58"/>
        <v>3</v>
      </c>
      <c r="AH597" s="19">
        <f t="shared" si="59"/>
        <v>0</v>
      </c>
    </row>
    <row r="598" spans="1:34">
      <c r="A598" s="8" t="s">
        <v>1092</v>
      </c>
      <c r="B598" s="8" t="s">
        <v>3338</v>
      </c>
      <c r="C598" s="8" t="s">
        <v>8</v>
      </c>
      <c r="D598" s="8" t="s">
        <v>9</v>
      </c>
      <c r="E598" s="8" t="s">
        <v>68</v>
      </c>
      <c r="F598" s="8" t="s">
        <v>3</v>
      </c>
      <c r="G598" s="8" t="s">
        <v>4</v>
      </c>
      <c r="H598" s="8" t="s">
        <v>3340</v>
      </c>
      <c r="I598" s="8" t="s">
        <v>41</v>
      </c>
      <c r="J598" s="8" t="s">
        <v>43</v>
      </c>
      <c r="K598" s="8" t="s">
        <v>41</v>
      </c>
      <c r="L598" s="8" t="s">
        <v>110</v>
      </c>
      <c r="M598" s="11" t="s">
        <v>3339</v>
      </c>
      <c r="N598" s="8">
        <v>97</v>
      </c>
      <c r="O598" s="8">
        <v>59</v>
      </c>
      <c r="P598" s="8">
        <v>38</v>
      </c>
      <c r="Q598" s="8">
        <v>29</v>
      </c>
      <c r="R598" s="8">
        <v>14</v>
      </c>
      <c r="S598" s="8">
        <v>29</v>
      </c>
      <c r="T598" s="8">
        <v>19</v>
      </c>
      <c r="U598" s="8">
        <v>10</v>
      </c>
      <c r="V598" s="8">
        <v>3</v>
      </c>
      <c r="W598" s="8">
        <v>21</v>
      </c>
      <c r="X598" s="8">
        <v>19</v>
      </c>
      <c r="Y598" s="8">
        <v>8</v>
      </c>
      <c r="Z598" s="8">
        <v>4</v>
      </c>
      <c r="AA598" s="8">
        <v>0</v>
      </c>
      <c r="AB598" s="8">
        <v>0</v>
      </c>
      <c r="AC598" s="19">
        <f t="shared" si="54"/>
        <v>15</v>
      </c>
      <c r="AD598" s="19">
        <f t="shared" si="55"/>
        <v>10</v>
      </c>
      <c r="AE598" s="19">
        <f t="shared" si="56"/>
        <v>7</v>
      </c>
      <c r="AF598" s="19">
        <f t="shared" si="57"/>
        <v>2</v>
      </c>
      <c r="AG598" s="19">
        <f t="shared" si="58"/>
        <v>4</v>
      </c>
      <c r="AH598" s="19">
        <f t="shared" si="59"/>
        <v>0</v>
      </c>
    </row>
    <row r="599" spans="1:34">
      <c r="A599" s="8" t="s">
        <v>924</v>
      </c>
      <c r="B599" s="8" t="s">
        <v>3342</v>
      </c>
      <c r="C599" s="8" t="s">
        <v>8</v>
      </c>
      <c r="D599" s="8" t="s">
        <v>12</v>
      </c>
      <c r="E599" s="8" t="s">
        <v>56</v>
      </c>
      <c r="F599" s="8" t="s">
        <v>7</v>
      </c>
      <c r="G599" s="8" t="s">
        <v>17</v>
      </c>
      <c r="H599" s="8" t="s">
        <v>1189</v>
      </c>
      <c r="I599" s="8" t="s">
        <v>41</v>
      </c>
      <c r="J599" s="8" t="s">
        <v>43</v>
      </c>
      <c r="K599" s="8" t="s">
        <v>41</v>
      </c>
      <c r="L599" s="8" t="s">
        <v>110</v>
      </c>
      <c r="M599" s="11" t="s">
        <v>3343</v>
      </c>
      <c r="N599" s="8">
        <v>26</v>
      </c>
      <c r="O599" s="8">
        <v>15</v>
      </c>
      <c r="P599" s="8">
        <v>11</v>
      </c>
      <c r="Q599" s="8">
        <v>5</v>
      </c>
      <c r="R599" s="8">
        <v>2</v>
      </c>
      <c r="S599" s="8">
        <v>8</v>
      </c>
      <c r="T599" s="8">
        <v>6</v>
      </c>
      <c r="U599" s="8">
        <v>6</v>
      </c>
      <c r="V599" s="8">
        <v>4</v>
      </c>
      <c r="W599" s="8">
        <v>6</v>
      </c>
      <c r="X599" s="8">
        <v>2</v>
      </c>
      <c r="Y599" s="8">
        <v>1</v>
      </c>
      <c r="Z599" s="8">
        <v>1</v>
      </c>
      <c r="AA599" s="8">
        <v>0</v>
      </c>
      <c r="AB599" s="8">
        <v>0</v>
      </c>
      <c r="AC599" s="19">
        <f t="shared" si="54"/>
        <v>3</v>
      </c>
      <c r="AD599" s="19">
        <f t="shared" si="55"/>
        <v>2</v>
      </c>
      <c r="AE599" s="19">
        <f t="shared" si="56"/>
        <v>2</v>
      </c>
      <c r="AF599" s="19">
        <f t="shared" si="57"/>
        <v>4</v>
      </c>
      <c r="AG599" s="19">
        <f t="shared" si="58"/>
        <v>0</v>
      </c>
      <c r="AH599" s="19">
        <f t="shared" si="59"/>
        <v>0</v>
      </c>
    </row>
    <row r="600" spans="1:34">
      <c r="A600" s="8" t="s">
        <v>322</v>
      </c>
      <c r="B600" s="8" t="s">
        <v>3344</v>
      </c>
      <c r="C600" s="8" t="s">
        <v>959</v>
      </c>
      <c r="D600" s="8" t="s">
        <v>3</v>
      </c>
      <c r="E600" s="8" t="s">
        <v>68</v>
      </c>
      <c r="F600" s="8" t="s">
        <v>6</v>
      </c>
      <c r="G600" s="8" t="s">
        <v>3</v>
      </c>
      <c r="H600" s="8" t="s">
        <v>847</v>
      </c>
      <c r="I600" s="8" t="s">
        <v>41</v>
      </c>
      <c r="J600" s="8" t="s">
        <v>43</v>
      </c>
      <c r="K600" s="8" t="s">
        <v>41</v>
      </c>
      <c r="L600" s="8" t="s">
        <v>110</v>
      </c>
      <c r="M600" s="11" t="s">
        <v>5656</v>
      </c>
      <c r="N600" s="8">
        <v>46</v>
      </c>
      <c r="O600" s="8">
        <v>36</v>
      </c>
      <c r="P600" s="8">
        <v>10</v>
      </c>
      <c r="Q600" s="8">
        <v>9</v>
      </c>
      <c r="R600" s="8">
        <v>8</v>
      </c>
      <c r="S600" s="8">
        <v>6</v>
      </c>
      <c r="T600" s="8">
        <v>4</v>
      </c>
      <c r="U600" s="8">
        <v>12</v>
      </c>
      <c r="V600" s="8">
        <v>9</v>
      </c>
      <c r="W600" s="8">
        <v>12</v>
      </c>
      <c r="X600" s="8">
        <v>10</v>
      </c>
      <c r="Y600" s="8">
        <v>7</v>
      </c>
      <c r="Z600" s="8">
        <v>5</v>
      </c>
      <c r="AA600" s="8">
        <v>0</v>
      </c>
      <c r="AB600" s="8">
        <v>0</v>
      </c>
      <c r="AC600" s="19">
        <f t="shared" si="54"/>
        <v>1</v>
      </c>
      <c r="AD600" s="19">
        <f t="shared" si="55"/>
        <v>2</v>
      </c>
      <c r="AE600" s="19">
        <f t="shared" si="56"/>
        <v>3</v>
      </c>
      <c r="AF600" s="19">
        <f t="shared" si="57"/>
        <v>2</v>
      </c>
      <c r="AG600" s="19">
        <f t="shared" si="58"/>
        <v>2</v>
      </c>
      <c r="AH600" s="19">
        <f t="shared" si="59"/>
        <v>0</v>
      </c>
    </row>
    <row r="601" spans="1:34">
      <c r="A601" s="8" t="s">
        <v>670</v>
      </c>
      <c r="B601" s="8" t="s">
        <v>1992</v>
      </c>
      <c r="C601" s="8" t="s">
        <v>9</v>
      </c>
      <c r="D601" s="8" t="s">
        <v>8</v>
      </c>
      <c r="E601" s="8" t="s">
        <v>110</v>
      </c>
      <c r="F601" s="8" t="s">
        <v>8</v>
      </c>
      <c r="G601" s="8" t="s">
        <v>4</v>
      </c>
      <c r="H601" s="8" t="s">
        <v>205</v>
      </c>
      <c r="I601" s="8" t="s">
        <v>43</v>
      </c>
      <c r="J601" s="8" t="s">
        <v>41</v>
      </c>
      <c r="K601" s="8" t="s">
        <v>5696</v>
      </c>
      <c r="L601" s="8" t="s">
        <v>110</v>
      </c>
      <c r="M601" s="11" t="s">
        <v>4701</v>
      </c>
      <c r="N601" s="8">
        <v>0</v>
      </c>
      <c r="O601" s="8">
        <v>0</v>
      </c>
      <c r="P601" s="8">
        <v>0</v>
      </c>
      <c r="Q601" s="8">
        <v>0</v>
      </c>
      <c r="R601" s="8">
        <v>0</v>
      </c>
      <c r="S601" s="8">
        <v>0</v>
      </c>
      <c r="T601" s="8">
        <v>0</v>
      </c>
      <c r="U601" s="8">
        <v>0</v>
      </c>
      <c r="V601" s="8">
        <v>0</v>
      </c>
      <c r="W601" s="8">
        <v>0</v>
      </c>
      <c r="X601" s="8">
        <v>0</v>
      </c>
      <c r="Y601" s="8">
        <v>0</v>
      </c>
      <c r="Z601" s="8">
        <v>0</v>
      </c>
      <c r="AA601" s="8">
        <v>0</v>
      </c>
      <c r="AB601" s="8">
        <v>0</v>
      </c>
      <c r="AC601" s="19">
        <f t="shared" si="54"/>
        <v>0</v>
      </c>
      <c r="AD601" s="19">
        <f t="shared" si="55"/>
        <v>0</v>
      </c>
      <c r="AE601" s="19">
        <f t="shared" si="56"/>
        <v>0</v>
      </c>
      <c r="AF601" s="19">
        <f t="shared" si="57"/>
        <v>0</v>
      </c>
      <c r="AG601" s="19">
        <f t="shared" si="58"/>
        <v>0</v>
      </c>
      <c r="AH601" s="19">
        <f t="shared" si="59"/>
        <v>0</v>
      </c>
    </row>
    <row r="602" spans="1:34">
      <c r="A602" s="8" t="s">
        <v>671</v>
      </c>
      <c r="B602" s="8" t="s">
        <v>1992</v>
      </c>
      <c r="C602" s="8" t="s">
        <v>5</v>
      </c>
      <c r="D602" s="8" t="s">
        <v>6</v>
      </c>
      <c r="E602" s="8" t="s">
        <v>43</v>
      </c>
      <c r="F602" s="8" t="s">
        <v>3</v>
      </c>
      <c r="G602" s="8" t="s">
        <v>6</v>
      </c>
      <c r="H602" s="8" t="s">
        <v>455</v>
      </c>
      <c r="I602" s="8" t="s">
        <v>43</v>
      </c>
      <c r="J602" s="8" t="s">
        <v>41</v>
      </c>
      <c r="K602" s="8" t="s">
        <v>5696</v>
      </c>
      <c r="L602" s="8" t="s">
        <v>110</v>
      </c>
      <c r="M602" s="11" t="s">
        <v>4702</v>
      </c>
      <c r="N602" s="8">
        <v>3</v>
      </c>
      <c r="O602" s="8">
        <v>1</v>
      </c>
      <c r="P602" s="8">
        <v>2</v>
      </c>
      <c r="Q602" s="8">
        <v>1</v>
      </c>
      <c r="R602" s="8">
        <v>0</v>
      </c>
      <c r="S602" s="8">
        <v>0</v>
      </c>
      <c r="T602" s="8">
        <v>0</v>
      </c>
      <c r="U602" s="8">
        <v>1</v>
      </c>
      <c r="V602" s="8">
        <v>0</v>
      </c>
      <c r="W602" s="8">
        <v>1</v>
      </c>
      <c r="X602" s="8">
        <v>1</v>
      </c>
      <c r="Y602" s="8">
        <v>0</v>
      </c>
      <c r="Z602" s="8">
        <v>0</v>
      </c>
      <c r="AA602" s="8">
        <v>0</v>
      </c>
      <c r="AB602" s="8">
        <v>0</v>
      </c>
      <c r="AC602" s="19">
        <f t="shared" si="54"/>
        <v>1</v>
      </c>
      <c r="AD602" s="19">
        <f t="shared" si="55"/>
        <v>0</v>
      </c>
      <c r="AE602" s="19">
        <f t="shared" si="56"/>
        <v>1</v>
      </c>
      <c r="AF602" s="19">
        <f t="shared" si="57"/>
        <v>0</v>
      </c>
      <c r="AG602" s="19">
        <f t="shared" si="58"/>
        <v>0</v>
      </c>
      <c r="AH602" s="19">
        <f t="shared" si="59"/>
        <v>0</v>
      </c>
    </row>
    <row r="603" spans="1:34">
      <c r="A603" s="8" t="s">
        <v>672</v>
      </c>
      <c r="B603" s="8" t="s">
        <v>1992</v>
      </c>
      <c r="C603" s="8" t="s">
        <v>752</v>
      </c>
      <c r="D603" s="8" t="s">
        <v>5</v>
      </c>
      <c r="E603" s="8" t="s">
        <v>41</v>
      </c>
      <c r="F603" s="8" t="s">
        <v>8</v>
      </c>
      <c r="G603" s="8" t="s">
        <v>3</v>
      </c>
      <c r="H603" s="8" t="s">
        <v>218</v>
      </c>
      <c r="I603" s="8" t="s">
        <v>43</v>
      </c>
      <c r="J603" s="8" t="s">
        <v>41</v>
      </c>
      <c r="K603" s="8" t="s">
        <v>41</v>
      </c>
      <c r="L603" s="8" t="s">
        <v>110</v>
      </c>
      <c r="M603" s="11" t="s">
        <v>3348</v>
      </c>
      <c r="N603" s="8">
        <v>1</v>
      </c>
      <c r="O603" s="8">
        <v>1</v>
      </c>
      <c r="P603" s="8">
        <v>0</v>
      </c>
      <c r="Q603" s="8">
        <v>0</v>
      </c>
      <c r="R603" s="8">
        <v>0</v>
      </c>
      <c r="S603" s="8">
        <v>0</v>
      </c>
      <c r="T603" s="8">
        <v>0</v>
      </c>
      <c r="U603" s="8">
        <v>1</v>
      </c>
      <c r="V603" s="8">
        <v>1</v>
      </c>
      <c r="W603" s="8">
        <v>0</v>
      </c>
      <c r="X603" s="8">
        <v>0</v>
      </c>
      <c r="Y603" s="8">
        <v>0</v>
      </c>
      <c r="Z603" s="8">
        <v>0</v>
      </c>
      <c r="AA603" s="8">
        <v>0</v>
      </c>
      <c r="AB603" s="8">
        <v>0</v>
      </c>
      <c r="AC603" s="19">
        <f t="shared" si="54"/>
        <v>0</v>
      </c>
      <c r="AD603" s="19">
        <f t="shared" si="55"/>
        <v>0</v>
      </c>
      <c r="AE603" s="19">
        <f t="shared" si="56"/>
        <v>0</v>
      </c>
      <c r="AF603" s="19">
        <f t="shared" si="57"/>
        <v>0</v>
      </c>
      <c r="AG603" s="19">
        <f t="shared" si="58"/>
        <v>0</v>
      </c>
      <c r="AH603" s="19">
        <f t="shared" si="59"/>
        <v>0</v>
      </c>
    </row>
    <row r="604" spans="1:34">
      <c r="A604" s="8" t="s">
        <v>673</v>
      </c>
      <c r="B604" s="8" t="s">
        <v>1992</v>
      </c>
      <c r="C604" s="8" t="s">
        <v>956</v>
      </c>
      <c r="D604" s="8" t="s">
        <v>8</v>
      </c>
      <c r="E604" s="8" t="s">
        <v>41</v>
      </c>
      <c r="F604" s="8" t="s">
        <v>16</v>
      </c>
      <c r="G604" s="8" t="s">
        <v>4</v>
      </c>
      <c r="H604" s="8" t="s">
        <v>89</v>
      </c>
      <c r="I604" s="8" t="s">
        <v>43</v>
      </c>
      <c r="J604" s="8" t="s">
        <v>41</v>
      </c>
      <c r="K604" s="8" t="s">
        <v>5696</v>
      </c>
      <c r="L604" s="8" t="s">
        <v>110</v>
      </c>
      <c r="M604" s="11" t="s">
        <v>4703</v>
      </c>
      <c r="N604" s="8">
        <v>27</v>
      </c>
      <c r="O604" s="8">
        <v>16</v>
      </c>
      <c r="P604" s="8">
        <v>11</v>
      </c>
      <c r="Q604" s="8">
        <v>6</v>
      </c>
      <c r="R604" s="8">
        <v>4</v>
      </c>
      <c r="S604" s="8">
        <v>2</v>
      </c>
      <c r="T604" s="8">
        <v>1</v>
      </c>
      <c r="U604" s="8">
        <v>11</v>
      </c>
      <c r="V604" s="8">
        <v>5</v>
      </c>
      <c r="W604" s="8">
        <v>6</v>
      </c>
      <c r="X604" s="8">
        <v>4</v>
      </c>
      <c r="Y604" s="8">
        <v>2</v>
      </c>
      <c r="Z604" s="8">
        <v>2</v>
      </c>
      <c r="AA604" s="8">
        <v>0</v>
      </c>
      <c r="AB604" s="8">
        <v>0</v>
      </c>
      <c r="AC604" s="19">
        <f t="shared" si="54"/>
        <v>2</v>
      </c>
      <c r="AD604" s="19">
        <f t="shared" si="55"/>
        <v>1</v>
      </c>
      <c r="AE604" s="19">
        <f t="shared" si="56"/>
        <v>6</v>
      </c>
      <c r="AF604" s="19">
        <f t="shared" si="57"/>
        <v>2</v>
      </c>
      <c r="AG604" s="19">
        <f t="shared" si="58"/>
        <v>0</v>
      </c>
      <c r="AH604" s="19">
        <f t="shared" si="59"/>
        <v>0</v>
      </c>
    </row>
    <row r="605" spans="1:34">
      <c r="A605" s="8" t="s">
        <v>1081</v>
      </c>
      <c r="B605" s="8" t="s">
        <v>3352</v>
      </c>
      <c r="C605" s="8" t="s">
        <v>8</v>
      </c>
      <c r="D605" s="8" t="s">
        <v>4</v>
      </c>
      <c r="E605" s="8" t="s">
        <v>56</v>
      </c>
      <c r="F605" s="8" t="s">
        <v>7</v>
      </c>
      <c r="G605" s="8" t="s">
        <v>3</v>
      </c>
      <c r="H605" s="8" t="s">
        <v>767</v>
      </c>
      <c r="I605" s="8" t="s">
        <v>41</v>
      </c>
      <c r="J605" s="8" t="s">
        <v>41</v>
      </c>
      <c r="K605" s="8" t="s">
        <v>41</v>
      </c>
      <c r="L605" s="8" t="s">
        <v>110</v>
      </c>
      <c r="M605" s="11" t="s">
        <v>3353</v>
      </c>
      <c r="N605" s="8">
        <v>195</v>
      </c>
      <c r="O605" s="8">
        <v>108</v>
      </c>
      <c r="P605" s="8">
        <v>87</v>
      </c>
      <c r="Q605" s="8">
        <v>37</v>
      </c>
      <c r="R605" s="8">
        <v>24</v>
      </c>
      <c r="S605" s="8">
        <v>25</v>
      </c>
      <c r="T605" s="8">
        <v>15</v>
      </c>
      <c r="U605" s="8">
        <v>34</v>
      </c>
      <c r="V605" s="8">
        <v>15</v>
      </c>
      <c r="W605" s="8">
        <v>38</v>
      </c>
      <c r="X605" s="8">
        <v>23</v>
      </c>
      <c r="Y605" s="8">
        <v>61</v>
      </c>
      <c r="Z605" s="8">
        <v>31</v>
      </c>
      <c r="AA605" s="8">
        <v>0</v>
      </c>
      <c r="AB605" s="8">
        <v>0</v>
      </c>
      <c r="AC605" s="19">
        <f t="shared" si="54"/>
        <v>13</v>
      </c>
      <c r="AD605" s="19">
        <f t="shared" si="55"/>
        <v>10</v>
      </c>
      <c r="AE605" s="19">
        <f t="shared" si="56"/>
        <v>19</v>
      </c>
      <c r="AF605" s="19">
        <f t="shared" si="57"/>
        <v>15</v>
      </c>
      <c r="AG605" s="19">
        <f t="shared" si="58"/>
        <v>30</v>
      </c>
      <c r="AH605" s="19">
        <f t="shared" si="59"/>
        <v>0</v>
      </c>
    </row>
    <row r="606" spans="1:34">
      <c r="A606" s="8" t="s">
        <v>676</v>
      </c>
      <c r="B606" s="8" t="s">
        <v>3355</v>
      </c>
      <c r="C606" s="8" t="s">
        <v>12</v>
      </c>
      <c r="D606" s="8" t="s">
        <v>3</v>
      </c>
      <c r="E606" s="8" t="s">
        <v>126</v>
      </c>
      <c r="F606" s="8" t="s">
        <v>4</v>
      </c>
      <c r="G606" s="8" t="s">
        <v>3</v>
      </c>
      <c r="H606" s="8" t="s">
        <v>799</v>
      </c>
      <c r="I606" s="8" t="s">
        <v>41</v>
      </c>
      <c r="J606" s="8" t="s">
        <v>41</v>
      </c>
      <c r="K606" s="8" t="s">
        <v>41</v>
      </c>
      <c r="L606" s="8" t="s">
        <v>110</v>
      </c>
      <c r="M606" s="11" t="s">
        <v>3744</v>
      </c>
      <c r="N606" s="8">
        <v>10</v>
      </c>
      <c r="O606" s="8">
        <v>8</v>
      </c>
      <c r="P606" s="8">
        <v>2</v>
      </c>
      <c r="Q606" s="8">
        <v>0</v>
      </c>
      <c r="R606" s="8">
        <v>0</v>
      </c>
      <c r="S606" s="8">
        <v>3</v>
      </c>
      <c r="T606" s="8">
        <v>2</v>
      </c>
      <c r="U606" s="8">
        <v>2</v>
      </c>
      <c r="V606" s="8">
        <v>2</v>
      </c>
      <c r="W606" s="8">
        <v>1</v>
      </c>
      <c r="X606" s="8">
        <v>1</v>
      </c>
      <c r="Y606" s="8">
        <v>4</v>
      </c>
      <c r="Z606" s="8">
        <v>3</v>
      </c>
      <c r="AA606" s="8">
        <v>0</v>
      </c>
      <c r="AB606" s="8">
        <v>0</v>
      </c>
      <c r="AC606" s="19">
        <f t="shared" si="54"/>
        <v>0</v>
      </c>
      <c r="AD606" s="19">
        <f t="shared" si="55"/>
        <v>1</v>
      </c>
      <c r="AE606" s="19">
        <f t="shared" si="56"/>
        <v>0</v>
      </c>
      <c r="AF606" s="19">
        <f t="shared" si="57"/>
        <v>0</v>
      </c>
      <c r="AG606" s="19">
        <f t="shared" si="58"/>
        <v>1</v>
      </c>
      <c r="AH606" s="19">
        <f t="shared" si="59"/>
        <v>0</v>
      </c>
    </row>
    <row r="607" spans="1:34">
      <c r="A607" s="8" t="s">
        <v>1082</v>
      </c>
      <c r="B607" s="8" t="s">
        <v>3357</v>
      </c>
      <c r="C607" s="8" t="s">
        <v>954</v>
      </c>
      <c r="D607" s="8" t="s">
        <v>17</v>
      </c>
      <c r="E607" s="8" t="s">
        <v>80</v>
      </c>
      <c r="F607" s="8" t="s">
        <v>5</v>
      </c>
      <c r="G607" s="8" t="s">
        <v>3</v>
      </c>
      <c r="H607" s="8" t="s">
        <v>537</v>
      </c>
      <c r="I607" s="8" t="s">
        <v>41</v>
      </c>
      <c r="J607" s="8" t="s">
        <v>41</v>
      </c>
      <c r="K607" s="8" t="s">
        <v>41</v>
      </c>
      <c r="L607" s="8" t="s">
        <v>110</v>
      </c>
      <c r="M607" s="11" t="s">
        <v>3513</v>
      </c>
      <c r="N607" s="8">
        <v>11</v>
      </c>
      <c r="O607" s="8">
        <v>7</v>
      </c>
      <c r="P607" s="8">
        <v>4</v>
      </c>
      <c r="Q607" s="8">
        <v>4</v>
      </c>
      <c r="R607" s="8">
        <v>4</v>
      </c>
      <c r="S607" s="8">
        <v>0</v>
      </c>
      <c r="T607" s="8">
        <v>0</v>
      </c>
      <c r="U607" s="8">
        <v>6</v>
      </c>
      <c r="V607" s="8">
        <v>2</v>
      </c>
      <c r="W607" s="8">
        <v>0</v>
      </c>
      <c r="X607" s="8">
        <v>0</v>
      </c>
      <c r="Y607" s="8">
        <v>1</v>
      </c>
      <c r="Z607" s="8">
        <v>1</v>
      </c>
      <c r="AA607" s="8">
        <v>0</v>
      </c>
      <c r="AB607" s="8">
        <v>0</v>
      </c>
      <c r="AC607" s="19">
        <f t="shared" si="54"/>
        <v>0</v>
      </c>
      <c r="AD607" s="19">
        <f t="shared" si="55"/>
        <v>0</v>
      </c>
      <c r="AE607" s="19">
        <f t="shared" si="56"/>
        <v>4</v>
      </c>
      <c r="AF607" s="19">
        <f t="shared" si="57"/>
        <v>0</v>
      </c>
      <c r="AG607" s="19">
        <f t="shared" si="58"/>
        <v>0</v>
      </c>
      <c r="AH607" s="19">
        <f t="shared" si="59"/>
        <v>0</v>
      </c>
    </row>
    <row r="608" spans="1:34">
      <c r="A608" s="8" t="s">
        <v>677</v>
      </c>
      <c r="B608" s="8" t="s">
        <v>1992</v>
      </c>
      <c r="C608" s="8" t="s">
        <v>3</v>
      </c>
      <c r="D608" s="8" t="s">
        <v>3</v>
      </c>
      <c r="E608" s="8" t="s">
        <v>41</v>
      </c>
      <c r="F608" s="8" t="s">
        <v>3</v>
      </c>
      <c r="G608" s="8" t="s">
        <v>5</v>
      </c>
      <c r="H608" s="8" t="s">
        <v>57</v>
      </c>
      <c r="I608" s="8" t="s">
        <v>43</v>
      </c>
      <c r="J608" s="8" t="s">
        <v>41</v>
      </c>
      <c r="K608" s="8" t="s">
        <v>5696</v>
      </c>
      <c r="L608" s="8" t="s">
        <v>110</v>
      </c>
      <c r="M608" s="11" t="s">
        <v>3514</v>
      </c>
      <c r="N608" s="8">
        <v>9</v>
      </c>
      <c r="O608" s="8">
        <v>6</v>
      </c>
      <c r="P608" s="8">
        <v>3</v>
      </c>
      <c r="Q608" s="8">
        <v>4</v>
      </c>
      <c r="R608" s="8">
        <v>3</v>
      </c>
      <c r="S608" s="8">
        <v>1</v>
      </c>
      <c r="T608" s="8">
        <v>1</v>
      </c>
      <c r="U608" s="8">
        <v>3</v>
      </c>
      <c r="V608" s="8">
        <v>1</v>
      </c>
      <c r="W608" s="8">
        <v>1</v>
      </c>
      <c r="X608" s="8">
        <v>1</v>
      </c>
      <c r="Y608" s="8">
        <v>0</v>
      </c>
      <c r="Z608" s="8">
        <v>0</v>
      </c>
      <c r="AA608" s="8">
        <v>0</v>
      </c>
      <c r="AB608" s="8">
        <v>0</v>
      </c>
      <c r="AC608" s="19">
        <f t="shared" si="54"/>
        <v>1</v>
      </c>
      <c r="AD608" s="19">
        <f t="shared" si="55"/>
        <v>0</v>
      </c>
      <c r="AE608" s="19">
        <f t="shared" si="56"/>
        <v>2</v>
      </c>
      <c r="AF608" s="19">
        <f t="shared" si="57"/>
        <v>0</v>
      </c>
      <c r="AG608" s="19">
        <f t="shared" si="58"/>
        <v>0</v>
      </c>
      <c r="AH608" s="19">
        <f t="shared" si="59"/>
        <v>0</v>
      </c>
    </row>
    <row r="609" spans="1:34">
      <c r="A609" s="8" t="s">
        <v>678</v>
      </c>
      <c r="B609" s="8" t="s">
        <v>3360</v>
      </c>
      <c r="C609" s="8" t="s">
        <v>959</v>
      </c>
      <c r="D609" s="8" t="s">
        <v>7</v>
      </c>
      <c r="E609" s="8" t="s">
        <v>68</v>
      </c>
      <c r="F609" s="8" t="s">
        <v>3</v>
      </c>
      <c r="G609" s="8" t="s">
        <v>4</v>
      </c>
      <c r="H609" s="8" t="s">
        <v>873</v>
      </c>
      <c r="I609" s="8" t="s">
        <v>41</v>
      </c>
      <c r="J609" s="8" t="s">
        <v>43</v>
      </c>
      <c r="K609" s="8" t="s">
        <v>41</v>
      </c>
      <c r="L609" s="8" t="s">
        <v>110</v>
      </c>
      <c r="M609" s="11" t="s">
        <v>3361</v>
      </c>
      <c r="N609" s="8">
        <v>0</v>
      </c>
      <c r="O609" s="8">
        <v>0</v>
      </c>
      <c r="P609" s="8">
        <v>0</v>
      </c>
      <c r="Q609" s="8">
        <v>0</v>
      </c>
      <c r="R609" s="8">
        <v>0</v>
      </c>
      <c r="S609" s="8">
        <v>0</v>
      </c>
      <c r="T609" s="8">
        <v>0</v>
      </c>
      <c r="U609" s="8">
        <v>0</v>
      </c>
      <c r="V609" s="8">
        <v>0</v>
      </c>
      <c r="W609" s="8">
        <v>0</v>
      </c>
      <c r="X609" s="8">
        <v>0</v>
      </c>
      <c r="Y609" s="8">
        <v>0</v>
      </c>
      <c r="Z609" s="8">
        <v>0</v>
      </c>
      <c r="AA609" s="8">
        <v>0</v>
      </c>
      <c r="AB609" s="8">
        <v>0</v>
      </c>
      <c r="AC609" s="19">
        <f t="shared" si="54"/>
        <v>0</v>
      </c>
      <c r="AD609" s="19">
        <f t="shared" si="55"/>
        <v>0</v>
      </c>
      <c r="AE609" s="19">
        <f t="shared" si="56"/>
        <v>0</v>
      </c>
      <c r="AF609" s="19">
        <f t="shared" si="57"/>
        <v>0</v>
      </c>
      <c r="AG609" s="19">
        <f t="shared" si="58"/>
        <v>0</v>
      </c>
      <c r="AH609" s="19">
        <f t="shared" si="59"/>
        <v>0</v>
      </c>
    </row>
    <row r="610" spans="1:34">
      <c r="A610" s="8" t="s">
        <v>301</v>
      </c>
      <c r="B610" s="8" t="s">
        <v>3363</v>
      </c>
      <c r="C610" s="8" t="s">
        <v>754</v>
      </c>
      <c r="D610" s="8" t="s">
        <v>6</v>
      </c>
      <c r="E610" s="8" t="s">
        <v>68</v>
      </c>
      <c r="F610" s="8" t="s">
        <v>8</v>
      </c>
      <c r="G610" s="8" t="s">
        <v>3</v>
      </c>
      <c r="H610" s="8" t="s">
        <v>1741</v>
      </c>
      <c r="I610" s="8" t="s">
        <v>41</v>
      </c>
      <c r="J610" s="8" t="s">
        <v>41</v>
      </c>
      <c r="K610" s="8" t="s">
        <v>41</v>
      </c>
      <c r="L610" s="8" t="s">
        <v>110</v>
      </c>
      <c r="M610" s="11" t="s">
        <v>3364</v>
      </c>
      <c r="N610" s="8">
        <v>281</v>
      </c>
      <c r="O610" s="8">
        <v>165</v>
      </c>
      <c r="P610" s="8">
        <v>116</v>
      </c>
      <c r="Q610" s="8">
        <v>90</v>
      </c>
      <c r="R610" s="8">
        <v>41</v>
      </c>
      <c r="S610" s="8">
        <v>81</v>
      </c>
      <c r="T610" s="8">
        <v>51</v>
      </c>
      <c r="U610" s="8">
        <v>44</v>
      </c>
      <c r="V610" s="8">
        <v>26</v>
      </c>
      <c r="W610" s="8">
        <v>47</v>
      </c>
      <c r="X610" s="8">
        <v>32</v>
      </c>
      <c r="Y610" s="8">
        <v>19</v>
      </c>
      <c r="Z610" s="8">
        <v>15</v>
      </c>
      <c r="AA610" s="8">
        <v>0</v>
      </c>
      <c r="AB610" s="8">
        <v>0</v>
      </c>
      <c r="AC610" s="19">
        <f t="shared" si="54"/>
        <v>49</v>
      </c>
      <c r="AD610" s="19">
        <f t="shared" si="55"/>
        <v>30</v>
      </c>
      <c r="AE610" s="19">
        <f t="shared" si="56"/>
        <v>18</v>
      </c>
      <c r="AF610" s="19">
        <f t="shared" si="57"/>
        <v>15</v>
      </c>
      <c r="AG610" s="19">
        <f t="shared" si="58"/>
        <v>4</v>
      </c>
      <c r="AH610" s="19">
        <f t="shared" si="59"/>
        <v>0</v>
      </c>
    </row>
    <row r="611" spans="1:34">
      <c r="A611" s="8" t="s">
        <v>323</v>
      </c>
      <c r="B611" s="8" t="s">
        <v>1992</v>
      </c>
      <c r="C611" s="8" t="s">
        <v>9</v>
      </c>
      <c r="D611" s="8" t="s">
        <v>8</v>
      </c>
      <c r="E611" s="8" t="s">
        <v>110</v>
      </c>
      <c r="F611" s="8" t="s">
        <v>8</v>
      </c>
      <c r="G611" s="8" t="s">
        <v>6</v>
      </c>
      <c r="H611" s="8" t="s">
        <v>3987</v>
      </c>
      <c r="I611" s="8" t="s">
        <v>43</v>
      </c>
      <c r="J611" s="8" t="s">
        <v>41</v>
      </c>
      <c r="K611" s="8" t="s">
        <v>5696</v>
      </c>
      <c r="L611" s="8" t="s">
        <v>110</v>
      </c>
      <c r="M611" s="11" t="s">
        <v>5724</v>
      </c>
      <c r="N611" s="8">
        <v>8</v>
      </c>
      <c r="O611" s="8">
        <v>8</v>
      </c>
      <c r="P611" s="8">
        <v>0</v>
      </c>
      <c r="Q611" s="8">
        <v>2</v>
      </c>
      <c r="R611" s="8">
        <v>2</v>
      </c>
      <c r="S611" s="8">
        <v>3</v>
      </c>
      <c r="T611" s="8">
        <v>3</v>
      </c>
      <c r="U611" s="8">
        <v>2</v>
      </c>
      <c r="V611" s="8">
        <v>2</v>
      </c>
      <c r="W611" s="8">
        <v>1</v>
      </c>
      <c r="X611" s="8">
        <v>1</v>
      </c>
      <c r="Y611" s="8">
        <v>0</v>
      </c>
      <c r="Z611" s="8">
        <v>0</v>
      </c>
      <c r="AA611" s="8">
        <v>0</v>
      </c>
      <c r="AB611" s="8">
        <v>0</v>
      </c>
      <c r="AC611" s="19">
        <f t="shared" si="54"/>
        <v>0</v>
      </c>
      <c r="AD611" s="19">
        <f t="shared" si="55"/>
        <v>0</v>
      </c>
      <c r="AE611" s="19">
        <f t="shared" si="56"/>
        <v>0</v>
      </c>
      <c r="AF611" s="19">
        <f t="shared" si="57"/>
        <v>0</v>
      </c>
      <c r="AG611" s="19">
        <f t="shared" si="58"/>
        <v>0</v>
      </c>
      <c r="AH611" s="19">
        <f t="shared" si="59"/>
        <v>0</v>
      </c>
    </row>
    <row r="612" spans="1:34">
      <c r="A612" s="8" t="s">
        <v>342</v>
      </c>
      <c r="B612" s="8" t="s">
        <v>1992</v>
      </c>
      <c r="C612" s="8" t="s">
        <v>5</v>
      </c>
      <c r="D612" s="8" t="s">
        <v>8</v>
      </c>
      <c r="E612" s="8" t="s">
        <v>43</v>
      </c>
      <c r="F612" s="8" t="s">
        <v>5</v>
      </c>
      <c r="G612" s="8" t="s">
        <v>4</v>
      </c>
      <c r="H612" s="8" t="s">
        <v>633</v>
      </c>
      <c r="I612" s="8" t="s">
        <v>43</v>
      </c>
      <c r="J612" s="8" t="s">
        <v>41</v>
      </c>
      <c r="K612" s="8" t="s">
        <v>5696</v>
      </c>
      <c r="L612" s="8" t="s">
        <v>110</v>
      </c>
      <c r="M612" s="11" t="s">
        <v>3367</v>
      </c>
      <c r="N612" s="8">
        <v>0</v>
      </c>
      <c r="O612" s="8">
        <v>0</v>
      </c>
      <c r="P612" s="8">
        <v>0</v>
      </c>
      <c r="Q612" s="8">
        <v>0</v>
      </c>
      <c r="R612" s="8">
        <v>0</v>
      </c>
      <c r="S612" s="8">
        <v>0</v>
      </c>
      <c r="T612" s="8">
        <v>0</v>
      </c>
      <c r="U612" s="8">
        <v>0</v>
      </c>
      <c r="V612" s="8">
        <v>0</v>
      </c>
      <c r="W612" s="8">
        <v>0</v>
      </c>
      <c r="X612" s="8">
        <v>0</v>
      </c>
      <c r="Y612" s="8">
        <v>0</v>
      </c>
      <c r="Z612" s="8">
        <v>0</v>
      </c>
      <c r="AA612" s="8">
        <v>0</v>
      </c>
      <c r="AB612" s="8">
        <v>0</v>
      </c>
      <c r="AC612" s="19">
        <f t="shared" si="54"/>
        <v>0</v>
      </c>
      <c r="AD612" s="19">
        <f t="shared" si="55"/>
        <v>0</v>
      </c>
      <c r="AE612" s="19">
        <f t="shared" si="56"/>
        <v>0</v>
      </c>
      <c r="AF612" s="19">
        <f t="shared" si="57"/>
        <v>0</v>
      </c>
      <c r="AG612" s="19">
        <f t="shared" si="58"/>
        <v>0</v>
      </c>
      <c r="AH612" s="19">
        <f t="shared" si="59"/>
        <v>0</v>
      </c>
    </row>
    <row r="613" spans="1:34">
      <c r="A613" s="8" t="s">
        <v>353</v>
      </c>
      <c r="B613" s="8" t="s">
        <v>1992</v>
      </c>
      <c r="C613" s="8" t="s">
        <v>107</v>
      </c>
      <c r="D613" s="8" t="s">
        <v>7</v>
      </c>
      <c r="E613" s="8" t="s">
        <v>80</v>
      </c>
      <c r="F613" s="8" t="s">
        <v>11</v>
      </c>
      <c r="G613" s="8" t="s">
        <v>3</v>
      </c>
      <c r="H613" s="8" t="s">
        <v>1938</v>
      </c>
      <c r="I613" s="8" t="s">
        <v>43</v>
      </c>
      <c r="J613" s="8" t="s">
        <v>43</v>
      </c>
      <c r="K613" s="8" t="s">
        <v>5696</v>
      </c>
      <c r="L613" s="8" t="s">
        <v>110</v>
      </c>
      <c r="M613" s="11" t="s">
        <v>3369</v>
      </c>
      <c r="N613" s="8">
        <v>0</v>
      </c>
      <c r="O613" s="8">
        <v>0</v>
      </c>
      <c r="P613" s="8">
        <v>0</v>
      </c>
      <c r="Q613" s="8">
        <v>0</v>
      </c>
      <c r="R613" s="8">
        <v>0</v>
      </c>
      <c r="S613" s="8">
        <v>0</v>
      </c>
      <c r="T613" s="8">
        <v>0</v>
      </c>
      <c r="U613" s="8">
        <v>0</v>
      </c>
      <c r="V613" s="8">
        <v>0</v>
      </c>
      <c r="W613" s="8">
        <v>0</v>
      </c>
      <c r="X613" s="8">
        <v>0</v>
      </c>
      <c r="Y613" s="8">
        <v>0</v>
      </c>
      <c r="Z613" s="8">
        <v>0</v>
      </c>
      <c r="AA613" s="8">
        <v>0</v>
      </c>
      <c r="AB613" s="8">
        <v>0</v>
      </c>
      <c r="AC613" s="19">
        <f t="shared" si="54"/>
        <v>0</v>
      </c>
      <c r="AD613" s="19">
        <f t="shared" si="55"/>
        <v>0</v>
      </c>
      <c r="AE613" s="19">
        <f t="shared" si="56"/>
        <v>0</v>
      </c>
      <c r="AF613" s="19">
        <f t="shared" si="57"/>
        <v>0</v>
      </c>
      <c r="AG613" s="19">
        <f t="shared" si="58"/>
        <v>0</v>
      </c>
      <c r="AH613" s="19">
        <f t="shared" si="59"/>
        <v>0</v>
      </c>
    </row>
    <row r="614" spans="1:34">
      <c r="A614" s="8" t="s">
        <v>680</v>
      </c>
      <c r="B614" s="8" t="s">
        <v>1992</v>
      </c>
      <c r="C614" s="8" t="s">
        <v>7</v>
      </c>
      <c r="D614" s="8" t="s">
        <v>8</v>
      </c>
      <c r="E614" s="8" t="s">
        <v>56</v>
      </c>
      <c r="F614" s="8" t="s">
        <v>5</v>
      </c>
      <c r="G614" s="8" t="s">
        <v>6</v>
      </c>
      <c r="H614" s="8" t="s">
        <v>1162</v>
      </c>
      <c r="I614" s="8" t="s">
        <v>43</v>
      </c>
      <c r="J614" s="8" t="s">
        <v>41</v>
      </c>
      <c r="K614" s="8" t="s">
        <v>5696</v>
      </c>
      <c r="L614" s="8" t="s">
        <v>110</v>
      </c>
      <c r="M614" s="11" t="s">
        <v>3515</v>
      </c>
      <c r="N614" s="8">
        <v>1</v>
      </c>
      <c r="O614" s="8">
        <v>1</v>
      </c>
      <c r="P614" s="8">
        <v>0</v>
      </c>
      <c r="Q614" s="8">
        <v>0</v>
      </c>
      <c r="R614" s="8">
        <v>0</v>
      </c>
      <c r="S614" s="8">
        <v>0</v>
      </c>
      <c r="T614" s="8">
        <v>0</v>
      </c>
      <c r="U614" s="8">
        <v>1</v>
      </c>
      <c r="V614" s="8">
        <v>1</v>
      </c>
      <c r="W614" s="8">
        <v>0</v>
      </c>
      <c r="X614" s="8">
        <v>0</v>
      </c>
      <c r="Y614" s="8">
        <v>0</v>
      </c>
      <c r="Z614" s="8">
        <v>0</v>
      </c>
      <c r="AA614" s="8">
        <v>0</v>
      </c>
      <c r="AB614" s="8">
        <v>0</v>
      </c>
      <c r="AC614" s="19">
        <f t="shared" si="54"/>
        <v>0</v>
      </c>
      <c r="AD614" s="19">
        <f t="shared" si="55"/>
        <v>0</v>
      </c>
      <c r="AE614" s="19">
        <f t="shared" si="56"/>
        <v>0</v>
      </c>
      <c r="AF614" s="19">
        <f t="shared" si="57"/>
        <v>0</v>
      </c>
      <c r="AG614" s="19">
        <f t="shared" si="58"/>
        <v>0</v>
      </c>
      <c r="AH614" s="19">
        <f t="shared" si="59"/>
        <v>0</v>
      </c>
    </row>
    <row r="615" spans="1:34">
      <c r="A615" s="8" t="s">
        <v>681</v>
      </c>
      <c r="B615" s="8" t="s">
        <v>1992</v>
      </c>
      <c r="C615" s="8" t="s">
        <v>70</v>
      </c>
      <c r="D615" s="8" t="s">
        <v>5</v>
      </c>
      <c r="E615" s="8" t="s">
        <v>43</v>
      </c>
      <c r="F615" s="8" t="s">
        <v>13</v>
      </c>
      <c r="G615" s="8" t="s">
        <v>3</v>
      </c>
      <c r="H615" s="8" t="s">
        <v>710</v>
      </c>
      <c r="I615" s="8" t="s">
        <v>43</v>
      </c>
      <c r="J615" s="8" t="s">
        <v>41</v>
      </c>
      <c r="K615" s="8" t="s">
        <v>5696</v>
      </c>
      <c r="L615" s="8" t="s">
        <v>110</v>
      </c>
      <c r="M615" s="11" t="s">
        <v>3371</v>
      </c>
      <c r="N615" s="8">
        <v>7</v>
      </c>
      <c r="O615" s="8">
        <v>6</v>
      </c>
      <c r="P615" s="8">
        <v>1</v>
      </c>
      <c r="Q615" s="8">
        <v>3</v>
      </c>
      <c r="R615" s="8">
        <v>3</v>
      </c>
      <c r="S615" s="8">
        <v>2</v>
      </c>
      <c r="T615" s="8">
        <v>2</v>
      </c>
      <c r="U615" s="8">
        <v>1</v>
      </c>
      <c r="V615" s="8">
        <v>0</v>
      </c>
      <c r="W615" s="8">
        <v>1</v>
      </c>
      <c r="X615" s="8">
        <v>1</v>
      </c>
      <c r="Y615" s="8">
        <v>0</v>
      </c>
      <c r="Z615" s="8">
        <v>0</v>
      </c>
      <c r="AA615" s="8">
        <v>0</v>
      </c>
      <c r="AB615" s="8">
        <v>0</v>
      </c>
      <c r="AC615" s="19">
        <f t="shared" si="54"/>
        <v>0</v>
      </c>
      <c r="AD615" s="19">
        <f t="shared" si="55"/>
        <v>0</v>
      </c>
      <c r="AE615" s="19">
        <f t="shared" si="56"/>
        <v>1</v>
      </c>
      <c r="AF615" s="19">
        <f t="shared" si="57"/>
        <v>0</v>
      </c>
      <c r="AG615" s="19">
        <f t="shared" si="58"/>
        <v>0</v>
      </c>
      <c r="AH615" s="19">
        <f t="shared" si="59"/>
        <v>0</v>
      </c>
    </row>
    <row r="616" spans="1:34">
      <c r="A616" s="8" t="s">
        <v>682</v>
      </c>
      <c r="B616" s="8" t="s">
        <v>1992</v>
      </c>
      <c r="C616" s="8" t="s">
        <v>13</v>
      </c>
      <c r="D616" s="8" t="s">
        <v>5</v>
      </c>
      <c r="E616" s="8" t="s">
        <v>126</v>
      </c>
      <c r="F616" s="8" t="s">
        <v>5</v>
      </c>
      <c r="G616" s="8" t="s">
        <v>11</v>
      </c>
      <c r="H616" s="8" t="s">
        <v>5711</v>
      </c>
      <c r="I616" s="8" t="s">
        <v>43</v>
      </c>
      <c r="J616" s="8" t="s">
        <v>43</v>
      </c>
      <c r="K616" s="8" t="s">
        <v>5696</v>
      </c>
      <c r="L616" s="8" t="s">
        <v>110</v>
      </c>
      <c r="M616" s="11" t="s">
        <v>1919</v>
      </c>
      <c r="N616" s="8">
        <v>1</v>
      </c>
      <c r="O616" s="8">
        <v>1</v>
      </c>
      <c r="P616" s="8">
        <v>0</v>
      </c>
      <c r="Q616" s="8">
        <v>0</v>
      </c>
      <c r="R616" s="8">
        <v>0</v>
      </c>
      <c r="S616" s="8">
        <v>0</v>
      </c>
      <c r="T616" s="8">
        <v>0</v>
      </c>
      <c r="U616" s="8">
        <v>1</v>
      </c>
      <c r="V616" s="8">
        <v>1</v>
      </c>
      <c r="W616" s="8">
        <v>0</v>
      </c>
      <c r="X616" s="8">
        <v>0</v>
      </c>
      <c r="Y616" s="8">
        <v>0</v>
      </c>
      <c r="Z616" s="8">
        <v>0</v>
      </c>
      <c r="AA616" s="8">
        <v>0</v>
      </c>
      <c r="AB616" s="8">
        <v>0</v>
      </c>
      <c r="AC616" s="19">
        <f t="shared" si="54"/>
        <v>0</v>
      </c>
      <c r="AD616" s="19">
        <f t="shared" si="55"/>
        <v>0</v>
      </c>
      <c r="AE616" s="19">
        <f t="shared" si="56"/>
        <v>0</v>
      </c>
      <c r="AF616" s="19">
        <f t="shared" si="57"/>
        <v>0</v>
      </c>
      <c r="AG616" s="19">
        <f t="shared" si="58"/>
        <v>0</v>
      </c>
      <c r="AH616" s="19">
        <f t="shared" si="59"/>
        <v>0</v>
      </c>
    </row>
    <row r="617" spans="1:34">
      <c r="A617" s="8" t="s">
        <v>925</v>
      </c>
      <c r="B617" s="8" t="s">
        <v>3375</v>
      </c>
      <c r="C617" s="8" t="s">
        <v>304</v>
      </c>
      <c r="D617" s="8" t="s">
        <v>8</v>
      </c>
      <c r="E617" s="8" t="s">
        <v>68</v>
      </c>
      <c r="F617" s="8" t="s">
        <v>5</v>
      </c>
      <c r="G617" s="8" t="s">
        <v>5</v>
      </c>
      <c r="H617" s="8" t="s">
        <v>802</v>
      </c>
      <c r="I617" s="8" t="s">
        <v>41</v>
      </c>
      <c r="J617" s="8" t="s">
        <v>43</v>
      </c>
      <c r="K617" s="8" t="s">
        <v>41</v>
      </c>
      <c r="L617" s="8" t="s">
        <v>110</v>
      </c>
      <c r="M617" s="11" t="s">
        <v>3376</v>
      </c>
      <c r="N617" s="8">
        <v>60</v>
      </c>
      <c r="O617" s="8">
        <v>32</v>
      </c>
      <c r="P617" s="8">
        <v>28</v>
      </c>
      <c r="Q617" s="8">
        <v>8</v>
      </c>
      <c r="R617" s="8">
        <v>6</v>
      </c>
      <c r="S617" s="8">
        <v>24</v>
      </c>
      <c r="T617" s="8">
        <v>14</v>
      </c>
      <c r="U617" s="8">
        <v>11</v>
      </c>
      <c r="V617" s="8">
        <v>5</v>
      </c>
      <c r="W617" s="8">
        <v>13</v>
      </c>
      <c r="X617" s="8">
        <v>6</v>
      </c>
      <c r="Y617" s="8">
        <v>4</v>
      </c>
      <c r="Z617" s="8">
        <v>1</v>
      </c>
      <c r="AA617" s="8">
        <v>0</v>
      </c>
      <c r="AB617" s="8">
        <v>0</v>
      </c>
      <c r="AC617" s="19">
        <f t="shared" si="54"/>
        <v>2</v>
      </c>
      <c r="AD617" s="19">
        <f t="shared" si="55"/>
        <v>10</v>
      </c>
      <c r="AE617" s="19">
        <f t="shared" si="56"/>
        <v>6</v>
      </c>
      <c r="AF617" s="19">
        <f t="shared" si="57"/>
        <v>7</v>
      </c>
      <c r="AG617" s="19">
        <f t="shared" si="58"/>
        <v>3</v>
      </c>
      <c r="AH617" s="19">
        <f t="shared" si="59"/>
        <v>0</v>
      </c>
    </row>
    <row r="618" spans="1:34">
      <c r="A618" s="8" t="s">
        <v>937</v>
      </c>
      <c r="B618" s="8" t="s">
        <v>3378</v>
      </c>
      <c r="C618" s="8" t="s">
        <v>304</v>
      </c>
      <c r="D618" s="8" t="s">
        <v>3</v>
      </c>
      <c r="E618" s="8" t="s">
        <v>68</v>
      </c>
      <c r="F618" s="8" t="s">
        <v>3</v>
      </c>
      <c r="G618" s="8" t="s">
        <v>3</v>
      </c>
      <c r="H618" s="8" t="s">
        <v>431</v>
      </c>
      <c r="I618" s="8" t="s">
        <v>41</v>
      </c>
      <c r="J618" s="8" t="s">
        <v>41</v>
      </c>
      <c r="K618" s="8" t="s">
        <v>41</v>
      </c>
      <c r="L618" s="8" t="s">
        <v>110</v>
      </c>
      <c r="M618" s="11" t="s">
        <v>3379</v>
      </c>
      <c r="N618" s="8">
        <v>265</v>
      </c>
      <c r="O618" s="8">
        <v>152</v>
      </c>
      <c r="P618" s="8">
        <v>113</v>
      </c>
      <c r="Q618" s="8">
        <v>64</v>
      </c>
      <c r="R618" s="8">
        <v>38</v>
      </c>
      <c r="S618" s="8">
        <v>72</v>
      </c>
      <c r="T618" s="8">
        <v>45</v>
      </c>
      <c r="U618" s="8">
        <v>52</v>
      </c>
      <c r="V618" s="8">
        <v>26</v>
      </c>
      <c r="W618" s="8">
        <v>45</v>
      </c>
      <c r="X618" s="8">
        <v>23</v>
      </c>
      <c r="Y618" s="8">
        <v>32</v>
      </c>
      <c r="Z618" s="8">
        <v>20</v>
      </c>
      <c r="AA618" s="8">
        <v>0</v>
      </c>
      <c r="AB618" s="8">
        <v>0</v>
      </c>
      <c r="AC618" s="19">
        <f t="shared" si="54"/>
        <v>26</v>
      </c>
      <c r="AD618" s="19">
        <f t="shared" si="55"/>
        <v>27</v>
      </c>
      <c r="AE618" s="19">
        <f t="shared" si="56"/>
        <v>26</v>
      </c>
      <c r="AF618" s="19">
        <f t="shared" si="57"/>
        <v>22</v>
      </c>
      <c r="AG618" s="19">
        <f t="shared" si="58"/>
        <v>12</v>
      </c>
      <c r="AH618" s="19">
        <f t="shared" si="59"/>
        <v>0</v>
      </c>
    </row>
    <row r="619" spans="1:34">
      <c r="A619" s="8" t="s">
        <v>683</v>
      </c>
      <c r="B619" s="8" t="s">
        <v>3381</v>
      </c>
      <c r="C619" s="8" t="s">
        <v>954</v>
      </c>
      <c r="D619" s="8" t="s">
        <v>16</v>
      </c>
      <c r="E619" s="8" t="s">
        <v>80</v>
      </c>
      <c r="F619" s="8" t="s">
        <v>5</v>
      </c>
      <c r="G619" s="8" t="s">
        <v>6</v>
      </c>
      <c r="H619" s="8" t="s">
        <v>3382</v>
      </c>
      <c r="I619" s="8" t="s">
        <v>41</v>
      </c>
      <c r="J619" s="8" t="s">
        <v>43</v>
      </c>
      <c r="K619" s="8" t="s">
        <v>41</v>
      </c>
      <c r="L619" s="8" t="s">
        <v>110</v>
      </c>
      <c r="M619" s="11" t="s">
        <v>5661</v>
      </c>
      <c r="N619" s="8">
        <v>35</v>
      </c>
      <c r="O619" s="8">
        <v>27</v>
      </c>
      <c r="P619" s="8">
        <v>8</v>
      </c>
      <c r="Q619" s="8">
        <v>5</v>
      </c>
      <c r="R619" s="8">
        <v>3</v>
      </c>
      <c r="S619" s="8">
        <v>8</v>
      </c>
      <c r="T619" s="8">
        <v>5</v>
      </c>
      <c r="U619" s="8">
        <v>8</v>
      </c>
      <c r="V619" s="8">
        <v>5</v>
      </c>
      <c r="W619" s="8">
        <v>10</v>
      </c>
      <c r="X619" s="8">
        <v>10</v>
      </c>
      <c r="Y619" s="8">
        <v>4</v>
      </c>
      <c r="Z619" s="8">
        <v>4</v>
      </c>
      <c r="AA619" s="8">
        <v>0</v>
      </c>
      <c r="AB619" s="8">
        <v>0</v>
      </c>
      <c r="AC619" s="19">
        <f t="shared" si="54"/>
        <v>2</v>
      </c>
      <c r="AD619" s="19">
        <f t="shared" si="55"/>
        <v>3</v>
      </c>
      <c r="AE619" s="19">
        <f t="shared" si="56"/>
        <v>3</v>
      </c>
      <c r="AF619" s="19">
        <f t="shared" si="57"/>
        <v>0</v>
      </c>
      <c r="AG619" s="19">
        <f t="shared" si="58"/>
        <v>0</v>
      </c>
      <c r="AH619" s="19">
        <f t="shared" si="59"/>
        <v>0</v>
      </c>
    </row>
    <row r="620" spans="1:34">
      <c r="A620" s="8" t="s">
        <v>584</v>
      </c>
      <c r="B620" s="8" t="s">
        <v>1992</v>
      </c>
      <c r="C620" s="8" t="s">
        <v>9</v>
      </c>
      <c r="D620" s="8" t="s">
        <v>7</v>
      </c>
      <c r="E620" s="8" t="s">
        <v>110</v>
      </c>
      <c r="F620" s="8" t="s">
        <v>5</v>
      </c>
      <c r="G620" s="8" t="s">
        <v>5</v>
      </c>
      <c r="H620" s="8" t="s">
        <v>780</v>
      </c>
      <c r="I620" s="8" t="s">
        <v>43</v>
      </c>
      <c r="J620" s="8" t="s">
        <v>41</v>
      </c>
      <c r="K620" s="8" t="s">
        <v>5696</v>
      </c>
      <c r="L620" s="8" t="s">
        <v>110</v>
      </c>
      <c r="M620" s="11" t="s">
        <v>3383</v>
      </c>
      <c r="N620" s="8">
        <v>3</v>
      </c>
      <c r="O620" s="8">
        <v>2</v>
      </c>
      <c r="P620" s="8">
        <v>1</v>
      </c>
      <c r="Q620" s="8">
        <v>2</v>
      </c>
      <c r="R620" s="8">
        <v>1</v>
      </c>
      <c r="S620" s="8">
        <v>0</v>
      </c>
      <c r="T620" s="8">
        <v>0</v>
      </c>
      <c r="U620" s="8">
        <v>0</v>
      </c>
      <c r="V620" s="8">
        <v>0</v>
      </c>
      <c r="W620" s="8">
        <v>0</v>
      </c>
      <c r="X620" s="8">
        <v>0</v>
      </c>
      <c r="Y620" s="8">
        <v>1</v>
      </c>
      <c r="Z620" s="8">
        <v>1</v>
      </c>
      <c r="AA620" s="8">
        <v>0</v>
      </c>
      <c r="AB620" s="8">
        <v>0</v>
      </c>
      <c r="AC620" s="19">
        <f t="shared" si="54"/>
        <v>1</v>
      </c>
      <c r="AD620" s="19">
        <f t="shared" si="55"/>
        <v>0</v>
      </c>
      <c r="AE620" s="19">
        <f t="shared" si="56"/>
        <v>0</v>
      </c>
      <c r="AF620" s="19">
        <f t="shared" si="57"/>
        <v>0</v>
      </c>
      <c r="AG620" s="19">
        <f t="shared" si="58"/>
        <v>0</v>
      </c>
      <c r="AH620" s="19">
        <f t="shared" si="59"/>
        <v>0</v>
      </c>
    </row>
    <row r="621" spans="1:34">
      <c r="A621" s="8" t="s">
        <v>1069</v>
      </c>
      <c r="B621" s="8" t="s">
        <v>3387</v>
      </c>
      <c r="C621" s="8" t="s">
        <v>754</v>
      </c>
      <c r="D621" s="8" t="s">
        <v>3</v>
      </c>
      <c r="E621" s="8" t="s">
        <v>68</v>
      </c>
      <c r="F621" s="8" t="s">
        <v>4</v>
      </c>
      <c r="G621" s="8" t="s">
        <v>9</v>
      </c>
      <c r="H621" s="8" t="s">
        <v>686</v>
      </c>
      <c r="I621" s="8" t="s">
        <v>41</v>
      </c>
      <c r="J621" s="8" t="s">
        <v>41</v>
      </c>
      <c r="K621" s="8" t="s">
        <v>41</v>
      </c>
      <c r="L621" s="8" t="s">
        <v>110</v>
      </c>
      <c r="M621" s="11" t="s">
        <v>3388</v>
      </c>
      <c r="N621" s="8">
        <v>184</v>
      </c>
      <c r="O621" s="8">
        <v>110</v>
      </c>
      <c r="P621" s="8">
        <v>74</v>
      </c>
      <c r="Q621" s="8">
        <v>17</v>
      </c>
      <c r="R621" s="8">
        <v>9</v>
      </c>
      <c r="S621" s="8">
        <v>21</v>
      </c>
      <c r="T621" s="8">
        <v>17</v>
      </c>
      <c r="U621" s="8">
        <v>54</v>
      </c>
      <c r="V621" s="8">
        <v>32</v>
      </c>
      <c r="W621" s="8">
        <v>55</v>
      </c>
      <c r="X621" s="8">
        <v>31</v>
      </c>
      <c r="Y621" s="8">
        <v>37</v>
      </c>
      <c r="Z621" s="8">
        <v>21</v>
      </c>
      <c r="AA621" s="8">
        <v>0</v>
      </c>
      <c r="AB621" s="8">
        <v>0</v>
      </c>
      <c r="AC621" s="19">
        <f t="shared" si="54"/>
        <v>8</v>
      </c>
      <c r="AD621" s="19">
        <f t="shared" si="55"/>
        <v>4</v>
      </c>
      <c r="AE621" s="19">
        <f t="shared" si="56"/>
        <v>22</v>
      </c>
      <c r="AF621" s="19">
        <f t="shared" si="57"/>
        <v>24</v>
      </c>
      <c r="AG621" s="19">
        <f t="shared" si="58"/>
        <v>16</v>
      </c>
      <c r="AH621" s="19">
        <f t="shared" si="59"/>
        <v>0</v>
      </c>
    </row>
    <row r="622" spans="1:34">
      <c r="A622" s="8" t="s">
        <v>48</v>
      </c>
      <c r="B622" s="8" t="s">
        <v>1992</v>
      </c>
      <c r="C622" s="8" t="s">
        <v>13</v>
      </c>
      <c r="D622" s="8" t="s">
        <v>8</v>
      </c>
      <c r="E622" s="8" t="s">
        <v>126</v>
      </c>
      <c r="F622" s="8" t="s">
        <v>7</v>
      </c>
      <c r="G622" s="8" t="s">
        <v>5</v>
      </c>
      <c r="H622" s="8" t="s">
        <v>253</v>
      </c>
      <c r="I622" s="8" t="s">
        <v>43</v>
      </c>
      <c r="J622" s="8" t="s">
        <v>41</v>
      </c>
      <c r="K622" s="8" t="s">
        <v>5696</v>
      </c>
      <c r="L622" s="8" t="s">
        <v>110</v>
      </c>
      <c r="M622" s="11" t="s">
        <v>1921</v>
      </c>
      <c r="N622" s="8">
        <v>2</v>
      </c>
      <c r="O622" s="8">
        <v>1</v>
      </c>
      <c r="P622" s="8">
        <v>1</v>
      </c>
      <c r="Q622" s="8">
        <v>0</v>
      </c>
      <c r="R622" s="8">
        <v>0</v>
      </c>
      <c r="S622" s="8">
        <v>0</v>
      </c>
      <c r="T622" s="8">
        <v>0</v>
      </c>
      <c r="U622" s="8">
        <v>0</v>
      </c>
      <c r="V622" s="8">
        <v>0</v>
      </c>
      <c r="W622" s="8">
        <v>2</v>
      </c>
      <c r="X622" s="8">
        <v>1</v>
      </c>
      <c r="Y622" s="8">
        <v>0</v>
      </c>
      <c r="Z622" s="8">
        <v>0</v>
      </c>
      <c r="AA622" s="8">
        <v>0</v>
      </c>
      <c r="AB622" s="8">
        <v>0</v>
      </c>
      <c r="AC622" s="19">
        <f t="shared" si="54"/>
        <v>0</v>
      </c>
      <c r="AD622" s="19">
        <f t="shared" si="55"/>
        <v>0</v>
      </c>
      <c r="AE622" s="19">
        <f t="shared" si="56"/>
        <v>0</v>
      </c>
      <c r="AF622" s="19">
        <f t="shared" si="57"/>
        <v>1</v>
      </c>
      <c r="AG622" s="19">
        <f t="shared" si="58"/>
        <v>0</v>
      </c>
      <c r="AH622" s="19">
        <f t="shared" si="59"/>
        <v>0</v>
      </c>
    </row>
    <row r="623" spans="1:34">
      <c r="A623" s="8" t="s">
        <v>685</v>
      </c>
      <c r="B623" s="8" t="s">
        <v>1992</v>
      </c>
      <c r="C623" s="8" t="s">
        <v>18</v>
      </c>
      <c r="D623" s="8" t="s">
        <v>7</v>
      </c>
      <c r="E623" s="8" t="s">
        <v>80</v>
      </c>
      <c r="F623" s="8" t="s">
        <v>16</v>
      </c>
      <c r="G623" s="8" t="s">
        <v>3</v>
      </c>
      <c r="H623" s="8" t="s">
        <v>477</v>
      </c>
      <c r="I623" s="8" t="s">
        <v>43</v>
      </c>
      <c r="J623" s="8" t="s">
        <v>41</v>
      </c>
      <c r="K623" s="8" t="s">
        <v>5696</v>
      </c>
      <c r="L623" s="8" t="s">
        <v>110</v>
      </c>
      <c r="M623" s="11" t="s">
        <v>3391</v>
      </c>
      <c r="N623" s="8">
        <v>0</v>
      </c>
      <c r="O623" s="8">
        <v>0</v>
      </c>
      <c r="P623" s="8">
        <v>0</v>
      </c>
      <c r="Q623" s="8">
        <v>0</v>
      </c>
      <c r="R623" s="8">
        <v>0</v>
      </c>
      <c r="S623" s="8">
        <v>0</v>
      </c>
      <c r="T623" s="8">
        <v>0</v>
      </c>
      <c r="U623" s="8">
        <v>0</v>
      </c>
      <c r="V623" s="8">
        <v>0</v>
      </c>
      <c r="W623" s="8">
        <v>0</v>
      </c>
      <c r="X623" s="8">
        <v>0</v>
      </c>
      <c r="Y623" s="8">
        <v>0</v>
      </c>
      <c r="Z623" s="8">
        <v>0</v>
      </c>
      <c r="AA623" s="8">
        <v>0</v>
      </c>
      <c r="AB623" s="8">
        <v>0</v>
      </c>
      <c r="AC623" s="19">
        <f t="shared" si="54"/>
        <v>0</v>
      </c>
      <c r="AD623" s="19">
        <f t="shared" si="55"/>
        <v>0</v>
      </c>
      <c r="AE623" s="19">
        <f t="shared" si="56"/>
        <v>0</v>
      </c>
      <c r="AF623" s="19">
        <f t="shared" si="57"/>
        <v>0</v>
      </c>
      <c r="AG623" s="19">
        <f t="shared" si="58"/>
        <v>0</v>
      </c>
      <c r="AH623" s="19">
        <f t="shared" si="59"/>
        <v>0</v>
      </c>
    </row>
    <row r="624" spans="1:34">
      <c r="A624" s="8" t="s">
        <v>674</v>
      </c>
      <c r="B624" s="8" t="s">
        <v>1992</v>
      </c>
      <c r="C624" s="8" t="s">
        <v>957</v>
      </c>
      <c r="D624" s="8" t="s">
        <v>6</v>
      </c>
      <c r="E624" s="8" t="s">
        <v>41</v>
      </c>
      <c r="F624" s="8" t="s">
        <v>12</v>
      </c>
      <c r="G624" s="8" t="s">
        <v>3</v>
      </c>
      <c r="H624" s="8" t="s">
        <v>89</v>
      </c>
      <c r="I624" s="8" t="s">
        <v>43</v>
      </c>
      <c r="J624" s="8" t="s">
        <v>41</v>
      </c>
      <c r="K624" s="8" t="s">
        <v>5696</v>
      </c>
      <c r="L624" s="8" t="s">
        <v>110</v>
      </c>
      <c r="M624" s="11" t="s">
        <v>4300</v>
      </c>
      <c r="N624" s="8">
        <v>6</v>
      </c>
      <c r="O624" s="8">
        <v>5</v>
      </c>
      <c r="P624" s="8">
        <v>1</v>
      </c>
      <c r="Q624" s="8">
        <v>0</v>
      </c>
      <c r="R624" s="8">
        <v>0</v>
      </c>
      <c r="S624" s="8">
        <v>3</v>
      </c>
      <c r="T624" s="8">
        <v>3</v>
      </c>
      <c r="U624" s="8">
        <v>0</v>
      </c>
      <c r="V624" s="8">
        <v>0</v>
      </c>
      <c r="W624" s="8">
        <v>3</v>
      </c>
      <c r="X624" s="8">
        <v>2</v>
      </c>
      <c r="Y624" s="8">
        <v>0</v>
      </c>
      <c r="Z624" s="8">
        <v>0</v>
      </c>
      <c r="AA624" s="8">
        <v>0</v>
      </c>
      <c r="AB624" s="8">
        <v>0</v>
      </c>
      <c r="AC624" s="19">
        <f t="shared" si="54"/>
        <v>0</v>
      </c>
      <c r="AD624" s="19">
        <f t="shared" si="55"/>
        <v>0</v>
      </c>
      <c r="AE624" s="19">
        <f t="shared" si="56"/>
        <v>0</v>
      </c>
      <c r="AF624" s="19">
        <f t="shared" si="57"/>
        <v>1</v>
      </c>
      <c r="AG624" s="19">
        <f t="shared" si="58"/>
        <v>0</v>
      </c>
      <c r="AH624" s="19">
        <f t="shared" si="59"/>
        <v>0</v>
      </c>
    </row>
    <row r="625" spans="1:34">
      <c r="A625" s="8" t="s">
        <v>689</v>
      </c>
      <c r="B625" s="8" t="s">
        <v>1992</v>
      </c>
      <c r="C625" s="8" t="s">
        <v>4</v>
      </c>
      <c r="D625" s="8" t="s">
        <v>7</v>
      </c>
      <c r="E625" s="8" t="s">
        <v>41</v>
      </c>
      <c r="F625" s="8" t="s">
        <v>9</v>
      </c>
      <c r="G625" s="8" t="s">
        <v>3</v>
      </c>
      <c r="H625" s="8" t="s">
        <v>336</v>
      </c>
      <c r="I625" s="8" t="s">
        <v>43</v>
      </c>
      <c r="J625" s="8" t="s">
        <v>41</v>
      </c>
      <c r="K625" s="8" t="s">
        <v>5696</v>
      </c>
      <c r="L625" s="8" t="s">
        <v>110</v>
      </c>
      <c r="M625" s="11" t="s">
        <v>3395</v>
      </c>
      <c r="N625" s="8">
        <v>18</v>
      </c>
      <c r="O625" s="8">
        <v>10</v>
      </c>
      <c r="P625" s="8">
        <v>8</v>
      </c>
      <c r="Q625" s="8">
        <v>1</v>
      </c>
      <c r="R625" s="8">
        <v>1</v>
      </c>
      <c r="S625" s="8">
        <v>5</v>
      </c>
      <c r="T625" s="8">
        <v>3</v>
      </c>
      <c r="U625" s="8">
        <v>3</v>
      </c>
      <c r="V625" s="8">
        <v>2</v>
      </c>
      <c r="W625" s="8">
        <v>2</v>
      </c>
      <c r="X625" s="8">
        <v>0</v>
      </c>
      <c r="Y625" s="8">
        <v>7</v>
      </c>
      <c r="Z625" s="8">
        <v>4</v>
      </c>
      <c r="AA625" s="8">
        <v>0</v>
      </c>
      <c r="AB625" s="8">
        <v>0</v>
      </c>
      <c r="AC625" s="19">
        <f t="shared" si="54"/>
        <v>0</v>
      </c>
      <c r="AD625" s="19">
        <f t="shared" si="55"/>
        <v>2</v>
      </c>
      <c r="AE625" s="19">
        <f t="shared" si="56"/>
        <v>1</v>
      </c>
      <c r="AF625" s="19">
        <f t="shared" si="57"/>
        <v>2</v>
      </c>
      <c r="AG625" s="19">
        <f t="shared" si="58"/>
        <v>3</v>
      </c>
      <c r="AH625" s="19">
        <f t="shared" si="59"/>
        <v>0</v>
      </c>
    </row>
    <row r="626" spans="1:34">
      <c r="A626" s="8" t="s">
        <v>266</v>
      </c>
      <c r="B626" s="8" t="s">
        <v>1992</v>
      </c>
      <c r="C626" s="8" t="s">
        <v>107</v>
      </c>
      <c r="D626" s="8" t="s">
        <v>13</v>
      </c>
      <c r="E626" s="8" t="s">
        <v>80</v>
      </c>
      <c r="F626" s="8" t="s">
        <v>13</v>
      </c>
      <c r="G626" s="8" t="s">
        <v>5</v>
      </c>
      <c r="H626" s="8" t="s">
        <v>1790</v>
      </c>
      <c r="I626" s="8" t="s">
        <v>43</v>
      </c>
      <c r="J626" s="8" t="s">
        <v>41</v>
      </c>
      <c r="K626" s="8" t="s">
        <v>5696</v>
      </c>
      <c r="L626" s="8" t="s">
        <v>110</v>
      </c>
      <c r="M626" s="11" t="s">
        <v>3516</v>
      </c>
      <c r="N626" s="8">
        <v>0</v>
      </c>
      <c r="O626" s="8">
        <v>0</v>
      </c>
      <c r="P626" s="8">
        <v>0</v>
      </c>
      <c r="Q626" s="8">
        <v>0</v>
      </c>
      <c r="R626" s="8">
        <v>0</v>
      </c>
      <c r="S626" s="8">
        <v>0</v>
      </c>
      <c r="T626" s="8">
        <v>0</v>
      </c>
      <c r="U626" s="8">
        <v>0</v>
      </c>
      <c r="V626" s="8">
        <v>0</v>
      </c>
      <c r="W626" s="8">
        <v>0</v>
      </c>
      <c r="X626" s="8">
        <v>0</v>
      </c>
      <c r="Y626" s="8">
        <v>0</v>
      </c>
      <c r="Z626" s="8">
        <v>0</v>
      </c>
      <c r="AA626" s="8">
        <v>0</v>
      </c>
      <c r="AB626" s="8">
        <v>0</v>
      </c>
      <c r="AC626" s="19">
        <f t="shared" si="54"/>
        <v>0</v>
      </c>
      <c r="AD626" s="19">
        <f t="shared" si="55"/>
        <v>0</v>
      </c>
      <c r="AE626" s="19">
        <f t="shared" si="56"/>
        <v>0</v>
      </c>
      <c r="AF626" s="19">
        <f t="shared" si="57"/>
        <v>0</v>
      </c>
      <c r="AG626" s="19">
        <f t="shared" si="58"/>
        <v>0</v>
      </c>
      <c r="AH626" s="19">
        <f t="shared" si="59"/>
        <v>0</v>
      </c>
    </row>
    <row r="627" spans="1:34">
      <c r="A627" s="8" t="s">
        <v>690</v>
      </c>
      <c r="B627" s="8" t="s">
        <v>1992</v>
      </c>
      <c r="C627" s="8" t="s">
        <v>9</v>
      </c>
      <c r="D627" s="8" t="s">
        <v>6</v>
      </c>
      <c r="E627" s="8" t="s">
        <v>110</v>
      </c>
      <c r="F627" s="8" t="s">
        <v>4</v>
      </c>
      <c r="G627" s="8" t="s">
        <v>6</v>
      </c>
      <c r="H627" s="8" t="s">
        <v>629</v>
      </c>
      <c r="I627" s="8" t="s">
        <v>43</v>
      </c>
      <c r="J627" s="8" t="s">
        <v>41</v>
      </c>
      <c r="K627" s="8" t="s">
        <v>5696</v>
      </c>
      <c r="L627" s="8" t="s">
        <v>110</v>
      </c>
      <c r="M627" s="11" t="s">
        <v>1894</v>
      </c>
      <c r="N627" s="8">
        <v>15</v>
      </c>
      <c r="O627" s="8">
        <v>7</v>
      </c>
      <c r="P627" s="8">
        <v>8</v>
      </c>
      <c r="Q627" s="8">
        <v>3</v>
      </c>
      <c r="R627" s="8">
        <v>2</v>
      </c>
      <c r="S627" s="8">
        <v>1</v>
      </c>
      <c r="T627" s="8">
        <v>0</v>
      </c>
      <c r="U627" s="8">
        <v>3</v>
      </c>
      <c r="V627" s="8">
        <v>1</v>
      </c>
      <c r="W627" s="8">
        <v>5</v>
      </c>
      <c r="X627" s="8">
        <v>1</v>
      </c>
      <c r="Y627" s="8">
        <v>3</v>
      </c>
      <c r="Z627" s="8">
        <v>3</v>
      </c>
      <c r="AA627" s="8">
        <v>0</v>
      </c>
      <c r="AB627" s="8">
        <v>0</v>
      </c>
      <c r="AC627" s="19">
        <f t="shared" si="54"/>
        <v>1</v>
      </c>
      <c r="AD627" s="19">
        <f t="shared" si="55"/>
        <v>1</v>
      </c>
      <c r="AE627" s="19">
        <f t="shared" si="56"/>
        <v>2</v>
      </c>
      <c r="AF627" s="19">
        <f t="shared" si="57"/>
        <v>4</v>
      </c>
      <c r="AG627" s="19">
        <f t="shared" si="58"/>
        <v>0</v>
      </c>
      <c r="AH627" s="19">
        <f t="shared" si="59"/>
        <v>0</v>
      </c>
    </row>
    <row r="628" spans="1:34">
      <c r="A628" s="8" t="s">
        <v>691</v>
      </c>
      <c r="B628" s="8" t="s">
        <v>1992</v>
      </c>
      <c r="C628" s="8" t="s">
        <v>9</v>
      </c>
      <c r="D628" s="8" t="s">
        <v>6</v>
      </c>
      <c r="E628" s="8" t="s">
        <v>110</v>
      </c>
      <c r="F628" s="8" t="s">
        <v>4</v>
      </c>
      <c r="G628" s="8" t="s">
        <v>3</v>
      </c>
      <c r="H628" s="8" t="s">
        <v>1914</v>
      </c>
      <c r="I628" s="8" t="s">
        <v>43</v>
      </c>
      <c r="J628" s="8" t="s">
        <v>41</v>
      </c>
      <c r="K628" s="8" t="s">
        <v>5696</v>
      </c>
      <c r="L628" s="8" t="s">
        <v>110</v>
      </c>
      <c r="M628" s="11" t="s">
        <v>1913</v>
      </c>
      <c r="N628" s="8">
        <v>17</v>
      </c>
      <c r="O628" s="8">
        <v>12</v>
      </c>
      <c r="P628" s="8">
        <v>5</v>
      </c>
      <c r="Q628" s="8">
        <v>5</v>
      </c>
      <c r="R628" s="8">
        <v>5</v>
      </c>
      <c r="S628" s="8">
        <v>5</v>
      </c>
      <c r="T628" s="8">
        <v>3</v>
      </c>
      <c r="U628" s="8">
        <v>4</v>
      </c>
      <c r="V628" s="8">
        <v>3</v>
      </c>
      <c r="W628" s="8">
        <v>3</v>
      </c>
      <c r="X628" s="8">
        <v>1</v>
      </c>
      <c r="Y628" s="8">
        <v>0</v>
      </c>
      <c r="Z628" s="8">
        <v>0</v>
      </c>
      <c r="AA628" s="8">
        <v>0</v>
      </c>
      <c r="AB628" s="8">
        <v>0</v>
      </c>
      <c r="AC628" s="19">
        <f t="shared" si="54"/>
        <v>0</v>
      </c>
      <c r="AD628" s="19">
        <f t="shared" si="55"/>
        <v>2</v>
      </c>
      <c r="AE628" s="19">
        <f t="shared" si="56"/>
        <v>1</v>
      </c>
      <c r="AF628" s="19">
        <f t="shared" si="57"/>
        <v>2</v>
      </c>
      <c r="AG628" s="19">
        <f t="shared" si="58"/>
        <v>0</v>
      </c>
      <c r="AH628" s="19">
        <f t="shared" si="59"/>
        <v>0</v>
      </c>
    </row>
    <row r="629" spans="1:34">
      <c r="A629" s="8" t="s">
        <v>692</v>
      </c>
      <c r="B629" s="8" t="s">
        <v>3399</v>
      </c>
      <c r="C629" s="8" t="s">
        <v>955</v>
      </c>
      <c r="D629" s="8" t="s">
        <v>4</v>
      </c>
      <c r="E629" s="8" t="s">
        <v>41</v>
      </c>
      <c r="F629" s="8" t="s">
        <v>754</v>
      </c>
      <c r="G629" s="8" t="s">
        <v>5</v>
      </c>
      <c r="H629" s="8" t="s">
        <v>3401</v>
      </c>
      <c r="I629" s="8" t="s">
        <v>41</v>
      </c>
      <c r="J629" s="8" t="s">
        <v>43</v>
      </c>
      <c r="K629" s="8" t="s">
        <v>41</v>
      </c>
      <c r="L629" s="8" t="s">
        <v>110</v>
      </c>
      <c r="M629" s="11" t="s">
        <v>3400</v>
      </c>
      <c r="N629" s="8">
        <v>12</v>
      </c>
      <c r="O629" s="8">
        <v>9</v>
      </c>
      <c r="P629" s="8">
        <v>3</v>
      </c>
      <c r="Q629" s="8">
        <v>4</v>
      </c>
      <c r="R629" s="8">
        <v>2</v>
      </c>
      <c r="S629" s="8">
        <v>0</v>
      </c>
      <c r="T629" s="8">
        <v>0</v>
      </c>
      <c r="U629" s="8">
        <v>0</v>
      </c>
      <c r="V629" s="8">
        <v>0</v>
      </c>
      <c r="W629" s="8">
        <v>8</v>
      </c>
      <c r="X629" s="8">
        <v>7</v>
      </c>
      <c r="Y629" s="8">
        <v>0</v>
      </c>
      <c r="Z629" s="8">
        <v>0</v>
      </c>
      <c r="AA629" s="8">
        <v>0</v>
      </c>
      <c r="AB629" s="8">
        <v>0</v>
      </c>
      <c r="AC629" s="19">
        <f t="shared" si="54"/>
        <v>2</v>
      </c>
      <c r="AD629" s="19">
        <f t="shared" si="55"/>
        <v>0</v>
      </c>
      <c r="AE629" s="19">
        <f t="shared" si="56"/>
        <v>0</v>
      </c>
      <c r="AF629" s="19">
        <f t="shared" si="57"/>
        <v>1</v>
      </c>
      <c r="AG629" s="19">
        <f t="shared" si="58"/>
        <v>0</v>
      </c>
      <c r="AH629" s="19">
        <f t="shared" si="59"/>
        <v>0</v>
      </c>
    </row>
    <row r="630" spans="1:34">
      <c r="A630" s="8" t="s">
        <v>693</v>
      </c>
      <c r="B630" s="8" t="s">
        <v>3402</v>
      </c>
      <c r="C630" s="8" t="s">
        <v>959</v>
      </c>
      <c r="D630" s="8" t="s">
        <v>6</v>
      </c>
      <c r="E630" s="8" t="s">
        <v>68</v>
      </c>
      <c r="F630" s="8" t="s">
        <v>6</v>
      </c>
      <c r="G630" s="8" t="s">
        <v>3</v>
      </c>
      <c r="H630" s="8" t="s">
        <v>835</v>
      </c>
      <c r="I630" s="8" t="s">
        <v>41</v>
      </c>
      <c r="J630" s="8" t="s">
        <v>43</v>
      </c>
      <c r="K630" s="8" t="s">
        <v>41</v>
      </c>
      <c r="L630" s="8" t="s">
        <v>110</v>
      </c>
      <c r="M630" s="11" t="s">
        <v>3403</v>
      </c>
      <c r="N630" s="8">
        <v>22</v>
      </c>
      <c r="O630" s="8">
        <v>12</v>
      </c>
      <c r="P630" s="8">
        <v>10</v>
      </c>
      <c r="Q630" s="8">
        <v>5</v>
      </c>
      <c r="R630" s="8">
        <v>2</v>
      </c>
      <c r="S630" s="8">
        <v>8</v>
      </c>
      <c r="T630" s="8">
        <v>4</v>
      </c>
      <c r="U630" s="8">
        <v>3</v>
      </c>
      <c r="V630" s="8">
        <v>2</v>
      </c>
      <c r="W630" s="8">
        <v>5</v>
      </c>
      <c r="X630" s="8">
        <v>4</v>
      </c>
      <c r="Y630" s="8">
        <v>1</v>
      </c>
      <c r="Z630" s="8">
        <v>0</v>
      </c>
      <c r="AA630" s="8">
        <v>0</v>
      </c>
      <c r="AB630" s="8">
        <v>0</v>
      </c>
      <c r="AC630" s="19">
        <f t="shared" si="54"/>
        <v>3</v>
      </c>
      <c r="AD630" s="19">
        <f t="shared" si="55"/>
        <v>4</v>
      </c>
      <c r="AE630" s="19">
        <f t="shared" si="56"/>
        <v>1</v>
      </c>
      <c r="AF630" s="19">
        <f t="shared" si="57"/>
        <v>1</v>
      </c>
      <c r="AG630" s="19">
        <f t="shared" si="58"/>
        <v>1</v>
      </c>
      <c r="AH630" s="19">
        <f t="shared" si="59"/>
        <v>0</v>
      </c>
    </row>
    <row r="631" spans="1:34">
      <c r="A631" s="8" t="s">
        <v>694</v>
      </c>
      <c r="B631" s="8" t="s">
        <v>3405</v>
      </c>
      <c r="C631" s="8" t="s">
        <v>17</v>
      </c>
      <c r="D631" s="8" t="s">
        <v>4</v>
      </c>
      <c r="E631" s="8" t="s">
        <v>80</v>
      </c>
      <c r="F631" s="8" t="s">
        <v>3</v>
      </c>
      <c r="G631" s="8" t="s">
        <v>4</v>
      </c>
      <c r="H631" s="8" t="s">
        <v>46</v>
      </c>
      <c r="I631" s="8" t="s">
        <v>41</v>
      </c>
      <c r="J631" s="8" t="s">
        <v>43</v>
      </c>
      <c r="K631" s="8" t="s">
        <v>41</v>
      </c>
      <c r="L631" s="8" t="s">
        <v>110</v>
      </c>
      <c r="M631" s="11" t="s">
        <v>3406</v>
      </c>
      <c r="N631" s="8">
        <v>40</v>
      </c>
      <c r="O631" s="8">
        <v>22</v>
      </c>
      <c r="P631" s="8">
        <v>18</v>
      </c>
      <c r="Q631" s="8">
        <v>7</v>
      </c>
      <c r="R631" s="8">
        <v>5</v>
      </c>
      <c r="S631" s="8">
        <v>8</v>
      </c>
      <c r="T631" s="8">
        <v>3</v>
      </c>
      <c r="U631" s="8">
        <v>11</v>
      </c>
      <c r="V631" s="8">
        <v>6</v>
      </c>
      <c r="W631" s="8">
        <v>8</v>
      </c>
      <c r="X631" s="8">
        <v>2</v>
      </c>
      <c r="Y631" s="8">
        <v>6</v>
      </c>
      <c r="Z631" s="8">
        <v>6</v>
      </c>
      <c r="AA631" s="8">
        <v>0</v>
      </c>
      <c r="AB631" s="8">
        <v>0</v>
      </c>
      <c r="AC631" s="19">
        <f t="shared" si="54"/>
        <v>2</v>
      </c>
      <c r="AD631" s="19">
        <f t="shared" si="55"/>
        <v>5</v>
      </c>
      <c r="AE631" s="19">
        <f t="shared" si="56"/>
        <v>5</v>
      </c>
      <c r="AF631" s="19">
        <f t="shared" si="57"/>
        <v>6</v>
      </c>
      <c r="AG631" s="19">
        <f t="shared" si="58"/>
        <v>0</v>
      </c>
      <c r="AH631" s="19">
        <f t="shared" si="59"/>
        <v>0</v>
      </c>
    </row>
    <row r="632" spans="1:34">
      <c r="A632" s="8" t="s">
        <v>695</v>
      </c>
      <c r="B632" s="8" t="s">
        <v>3407</v>
      </c>
      <c r="C632" s="8" t="s">
        <v>958</v>
      </c>
      <c r="D632" s="8" t="s">
        <v>3</v>
      </c>
      <c r="E632" s="8" t="s">
        <v>80</v>
      </c>
      <c r="F632" s="8" t="s">
        <v>3</v>
      </c>
      <c r="G632" s="8" t="s">
        <v>7</v>
      </c>
      <c r="H632" s="8" t="s">
        <v>4277</v>
      </c>
      <c r="I632" s="8" t="s">
        <v>41</v>
      </c>
      <c r="J632" s="8" t="s">
        <v>43</v>
      </c>
      <c r="K632" s="8" t="s">
        <v>41</v>
      </c>
      <c r="L632" s="8" t="s">
        <v>110</v>
      </c>
      <c r="M632" s="11" t="s">
        <v>4095</v>
      </c>
      <c r="N632" s="8">
        <v>28</v>
      </c>
      <c r="O632" s="8">
        <v>19</v>
      </c>
      <c r="P632" s="8">
        <v>9</v>
      </c>
      <c r="Q632" s="8">
        <v>0</v>
      </c>
      <c r="R632" s="8">
        <v>0</v>
      </c>
      <c r="S632" s="8">
        <v>3</v>
      </c>
      <c r="T632" s="8">
        <v>2</v>
      </c>
      <c r="U632" s="8">
        <v>10</v>
      </c>
      <c r="V632" s="8">
        <v>9</v>
      </c>
      <c r="W632" s="8">
        <v>10</v>
      </c>
      <c r="X632" s="8">
        <v>6</v>
      </c>
      <c r="Y632" s="8">
        <v>5</v>
      </c>
      <c r="Z632" s="8">
        <v>2</v>
      </c>
      <c r="AA632" s="8">
        <v>0</v>
      </c>
      <c r="AB632" s="8">
        <v>0</v>
      </c>
      <c r="AC632" s="19">
        <f t="shared" si="54"/>
        <v>0</v>
      </c>
      <c r="AD632" s="19">
        <f t="shared" si="55"/>
        <v>1</v>
      </c>
      <c r="AE632" s="19">
        <f t="shared" si="56"/>
        <v>1</v>
      </c>
      <c r="AF632" s="19">
        <f t="shared" si="57"/>
        <v>4</v>
      </c>
      <c r="AG632" s="19">
        <f t="shared" si="58"/>
        <v>3</v>
      </c>
      <c r="AH632" s="19">
        <f t="shared" si="59"/>
        <v>0</v>
      </c>
    </row>
    <row r="633" spans="1:34">
      <c r="A633" s="8" t="s">
        <v>696</v>
      </c>
      <c r="B633" s="8" t="s">
        <v>3408</v>
      </c>
      <c r="C633" s="8" t="s">
        <v>107</v>
      </c>
      <c r="D633" s="8" t="s">
        <v>118</v>
      </c>
      <c r="E633" s="8" t="s">
        <v>80</v>
      </c>
      <c r="F633" s="8" t="s">
        <v>9</v>
      </c>
      <c r="G633" s="8" t="s">
        <v>6</v>
      </c>
      <c r="H633" s="8" t="s">
        <v>577</v>
      </c>
      <c r="I633" s="8" t="s">
        <v>41</v>
      </c>
      <c r="J633" s="8" t="s">
        <v>43</v>
      </c>
      <c r="K633" s="8" t="s">
        <v>41</v>
      </c>
      <c r="L633" s="8" t="s">
        <v>110</v>
      </c>
      <c r="M633" s="11" t="s">
        <v>3409</v>
      </c>
      <c r="N633" s="8">
        <v>9</v>
      </c>
      <c r="O633" s="8">
        <v>7</v>
      </c>
      <c r="P633" s="8">
        <v>2</v>
      </c>
      <c r="Q633" s="8">
        <v>3</v>
      </c>
      <c r="R633" s="8">
        <v>3</v>
      </c>
      <c r="S633" s="8">
        <v>4</v>
      </c>
      <c r="T633" s="8">
        <v>2</v>
      </c>
      <c r="U633" s="8">
        <v>0</v>
      </c>
      <c r="V633" s="8">
        <v>0</v>
      </c>
      <c r="W633" s="8">
        <v>2</v>
      </c>
      <c r="X633" s="8">
        <v>2</v>
      </c>
      <c r="Y633" s="8">
        <v>0</v>
      </c>
      <c r="Z633" s="8">
        <v>0</v>
      </c>
      <c r="AA633" s="8">
        <v>0</v>
      </c>
      <c r="AB633" s="8">
        <v>0</v>
      </c>
      <c r="AC633" s="19">
        <f t="shared" si="54"/>
        <v>0</v>
      </c>
      <c r="AD633" s="19">
        <f t="shared" si="55"/>
        <v>2</v>
      </c>
      <c r="AE633" s="19">
        <f t="shared" si="56"/>
        <v>0</v>
      </c>
      <c r="AF633" s="19">
        <f t="shared" si="57"/>
        <v>0</v>
      </c>
      <c r="AG633" s="19">
        <f t="shared" si="58"/>
        <v>0</v>
      </c>
      <c r="AH633" s="19">
        <f t="shared" si="59"/>
        <v>0</v>
      </c>
    </row>
    <row r="634" spans="1:34">
      <c r="A634" s="8" t="s">
        <v>926</v>
      </c>
      <c r="B634" s="8" t="s">
        <v>3411</v>
      </c>
      <c r="C634" s="8" t="s">
        <v>754</v>
      </c>
      <c r="D634" s="8" t="s">
        <v>3</v>
      </c>
      <c r="E634" s="8" t="s">
        <v>68</v>
      </c>
      <c r="F634" s="8" t="s">
        <v>4</v>
      </c>
      <c r="G634" s="8" t="s">
        <v>3</v>
      </c>
      <c r="H634" s="8" t="s">
        <v>2517</v>
      </c>
      <c r="I634" s="8" t="s">
        <v>41</v>
      </c>
      <c r="J634" s="8" t="s">
        <v>41</v>
      </c>
      <c r="K634" s="8" t="s">
        <v>41</v>
      </c>
      <c r="L634" s="8" t="s">
        <v>110</v>
      </c>
      <c r="M634" s="11" t="s">
        <v>3412</v>
      </c>
      <c r="N634" s="8">
        <v>38</v>
      </c>
      <c r="O634" s="8">
        <v>22</v>
      </c>
      <c r="P634" s="8">
        <v>16</v>
      </c>
      <c r="Q634" s="8">
        <v>6</v>
      </c>
      <c r="R634" s="8">
        <v>3</v>
      </c>
      <c r="S634" s="8">
        <v>6</v>
      </c>
      <c r="T634" s="8">
        <v>3</v>
      </c>
      <c r="U634" s="8">
        <v>7</v>
      </c>
      <c r="V634" s="8">
        <v>5</v>
      </c>
      <c r="W634" s="8">
        <v>12</v>
      </c>
      <c r="X634" s="8">
        <v>5</v>
      </c>
      <c r="Y634" s="8">
        <v>7</v>
      </c>
      <c r="Z634" s="8">
        <v>6</v>
      </c>
      <c r="AA634" s="8">
        <v>0</v>
      </c>
      <c r="AB634" s="8">
        <v>0</v>
      </c>
      <c r="AC634" s="19">
        <f t="shared" si="54"/>
        <v>3</v>
      </c>
      <c r="AD634" s="19">
        <f t="shared" si="55"/>
        <v>3</v>
      </c>
      <c r="AE634" s="19">
        <f t="shared" si="56"/>
        <v>2</v>
      </c>
      <c r="AF634" s="19">
        <f t="shared" si="57"/>
        <v>7</v>
      </c>
      <c r="AG634" s="19">
        <f t="shared" si="58"/>
        <v>1</v>
      </c>
      <c r="AH634" s="19">
        <f t="shared" si="59"/>
        <v>0</v>
      </c>
    </row>
    <row r="635" spans="1:34">
      <c r="A635" s="8" t="s">
        <v>697</v>
      </c>
      <c r="B635" s="8" t="s">
        <v>3413</v>
      </c>
      <c r="C635" s="8" t="s">
        <v>70</v>
      </c>
      <c r="D635" s="8" t="s">
        <v>13</v>
      </c>
      <c r="E635" s="8" t="s">
        <v>43</v>
      </c>
      <c r="F635" s="8" t="s">
        <v>118</v>
      </c>
      <c r="G635" s="8" t="s">
        <v>5</v>
      </c>
      <c r="H635" s="8" t="s">
        <v>42</v>
      </c>
      <c r="I635" s="8" t="s">
        <v>41</v>
      </c>
      <c r="J635" s="8" t="s">
        <v>43</v>
      </c>
      <c r="K635" s="8" t="s">
        <v>41</v>
      </c>
      <c r="L635" s="8" t="s">
        <v>110</v>
      </c>
      <c r="M635" s="11" t="s">
        <v>4764</v>
      </c>
      <c r="N635" s="8">
        <v>72</v>
      </c>
      <c r="O635" s="8">
        <v>48</v>
      </c>
      <c r="P635" s="8">
        <v>24</v>
      </c>
      <c r="Q635" s="8">
        <v>10</v>
      </c>
      <c r="R635" s="8">
        <v>4</v>
      </c>
      <c r="S635" s="8">
        <v>16</v>
      </c>
      <c r="T635" s="8">
        <v>11</v>
      </c>
      <c r="U635" s="8">
        <v>17</v>
      </c>
      <c r="V635" s="8">
        <v>11</v>
      </c>
      <c r="W635" s="8">
        <v>14</v>
      </c>
      <c r="X635" s="8">
        <v>9</v>
      </c>
      <c r="Y635" s="8">
        <v>15</v>
      </c>
      <c r="Z635" s="8">
        <v>13</v>
      </c>
      <c r="AA635" s="8">
        <v>0</v>
      </c>
      <c r="AB635" s="8">
        <v>0</v>
      </c>
      <c r="AC635" s="19">
        <f t="shared" si="54"/>
        <v>6</v>
      </c>
      <c r="AD635" s="19">
        <f t="shared" si="55"/>
        <v>5</v>
      </c>
      <c r="AE635" s="19">
        <f t="shared" si="56"/>
        <v>6</v>
      </c>
      <c r="AF635" s="19">
        <f t="shared" si="57"/>
        <v>5</v>
      </c>
      <c r="AG635" s="19">
        <f t="shared" si="58"/>
        <v>2</v>
      </c>
      <c r="AH635" s="19">
        <f t="shared" si="59"/>
        <v>0</v>
      </c>
    </row>
    <row r="636" spans="1:34">
      <c r="A636" s="8" t="s">
        <v>700</v>
      </c>
      <c r="B636" s="8" t="s">
        <v>1992</v>
      </c>
      <c r="C636" s="8" t="s">
        <v>958</v>
      </c>
      <c r="D636" s="8" t="s">
        <v>4</v>
      </c>
      <c r="E636" s="8" t="s">
        <v>80</v>
      </c>
      <c r="F636" s="8" t="s">
        <v>3</v>
      </c>
      <c r="G636" s="8" t="s">
        <v>16</v>
      </c>
      <c r="H636" s="8" t="s">
        <v>746</v>
      </c>
      <c r="I636" s="8" t="s">
        <v>43</v>
      </c>
      <c r="J636" s="8" t="s">
        <v>43</v>
      </c>
      <c r="K636" s="8" t="s">
        <v>5696</v>
      </c>
      <c r="L636" s="8" t="s">
        <v>110</v>
      </c>
      <c r="M636" s="11" t="s">
        <v>1935</v>
      </c>
      <c r="N636" s="8">
        <v>2</v>
      </c>
      <c r="O636" s="8">
        <v>1</v>
      </c>
      <c r="P636" s="8">
        <v>1</v>
      </c>
      <c r="Q636" s="8">
        <v>0</v>
      </c>
      <c r="R636" s="8">
        <v>0</v>
      </c>
      <c r="S636" s="8">
        <v>0</v>
      </c>
      <c r="T636" s="8">
        <v>0</v>
      </c>
      <c r="U636" s="8">
        <v>1</v>
      </c>
      <c r="V636" s="8">
        <v>0</v>
      </c>
      <c r="W636" s="8">
        <v>0</v>
      </c>
      <c r="X636" s="8">
        <v>0</v>
      </c>
      <c r="Y636" s="8">
        <v>1</v>
      </c>
      <c r="Z636" s="8">
        <v>1</v>
      </c>
      <c r="AA636" s="8">
        <v>0</v>
      </c>
      <c r="AB636" s="8">
        <v>0</v>
      </c>
      <c r="AC636" s="19">
        <f t="shared" si="54"/>
        <v>0</v>
      </c>
      <c r="AD636" s="19">
        <f t="shared" si="55"/>
        <v>0</v>
      </c>
      <c r="AE636" s="19">
        <f t="shared" si="56"/>
        <v>1</v>
      </c>
      <c r="AF636" s="19">
        <f t="shared" si="57"/>
        <v>0</v>
      </c>
      <c r="AG636" s="19">
        <f t="shared" si="58"/>
        <v>0</v>
      </c>
      <c r="AH636" s="19">
        <f t="shared" si="59"/>
        <v>0</v>
      </c>
    </row>
    <row r="637" spans="1:34">
      <c r="A637" s="8" t="s">
        <v>1164</v>
      </c>
      <c r="B637" s="8" t="s">
        <v>1992</v>
      </c>
      <c r="C637" s="8" t="s">
        <v>3</v>
      </c>
      <c r="D637" s="8" t="s">
        <v>5</v>
      </c>
      <c r="E637" s="8" t="s">
        <v>41</v>
      </c>
      <c r="F637" s="8" t="s">
        <v>3</v>
      </c>
      <c r="G637" s="8" t="s">
        <v>8</v>
      </c>
      <c r="H637" s="8" t="s">
        <v>729</v>
      </c>
      <c r="I637" s="8" t="s">
        <v>43</v>
      </c>
      <c r="J637" s="8" t="s">
        <v>41</v>
      </c>
      <c r="K637" s="8" t="s">
        <v>5696</v>
      </c>
      <c r="L637" s="8" t="s">
        <v>110</v>
      </c>
      <c r="M637" s="11" t="s">
        <v>3978</v>
      </c>
      <c r="N637" s="8">
        <v>0</v>
      </c>
      <c r="O637" s="8">
        <v>0</v>
      </c>
      <c r="P637" s="8">
        <v>0</v>
      </c>
      <c r="Q637" s="8">
        <v>0</v>
      </c>
      <c r="R637" s="8">
        <v>0</v>
      </c>
      <c r="S637" s="8">
        <v>0</v>
      </c>
      <c r="T637" s="8">
        <v>0</v>
      </c>
      <c r="U637" s="8">
        <v>0</v>
      </c>
      <c r="V637" s="8">
        <v>0</v>
      </c>
      <c r="W637" s="8">
        <v>0</v>
      </c>
      <c r="X637" s="8">
        <v>0</v>
      </c>
      <c r="Y637" s="8">
        <v>0</v>
      </c>
      <c r="Z637" s="8">
        <v>0</v>
      </c>
      <c r="AA637" s="8">
        <v>0</v>
      </c>
      <c r="AB637" s="8">
        <v>0</v>
      </c>
      <c r="AC637" s="19">
        <f t="shared" si="54"/>
        <v>0</v>
      </c>
      <c r="AD637" s="19">
        <f t="shared" si="55"/>
        <v>0</v>
      </c>
      <c r="AE637" s="19">
        <f t="shared" si="56"/>
        <v>0</v>
      </c>
      <c r="AF637" s="19">
        <f t="shared" si="57"/>
        <v>0</v>
      </c>
      <c r="AG637" s="19">
        <f t="shared" si="58"/>
        <v>0</v>
      </c>
      <c r="AH637" s="19">
        <f t="shared" si="59"/>
        <v>0</v>
      </c>
    </row>
    <row r="638" spans="1:34">
      <c r="A638" s="8" t="s">
        <v>702</v>
      </c>
      <c r="B638" s="8" t="s">
        <v>1992</v>
      </c>
      <c r="C638" s="8" t="s">
        <v>7</v>
      </c>
      <c r="D638" s="8" t="s">
        <v>3</v>
      </c>
      <c r="E638" s="8" t="s">
        <v>56</v>
      </c>
      <c r="F638" s="8" t="s">
        <v>3</v>
      </c>
      <c r="G638" s="8" t="s">
        <v>4</v>
      </c>
      <c r="H638" s="8" t="s">
        <v>707</v>
      </c>
      <c r="I638" s="8" t="s">
        <v>43</v>
      </c>
      <c r="J638" s="8" t="s">
        <v>41</v>
      </c>
      <c r="K638" s="8" t="s">
        <v>5696</v>
      </c>
      <c r="L638" s="8" t="s">
        <v>110</v>
      </c>
      <c r="M638" s="11" t="s">
        <v>3517</v>
      </c>
      <c r="N638" s="8">
        <v>10</v>
      </c>
      <c r="O638" s="8">
        <v>6</v>
      </c>
      <c r="P638" s="8">
        <v>4</v>
      </c>
      <c r="Q638" s="8">
        <v>3</v>
      </c>
      <c r="R638" s="8">
        <v>2</v>
      </c>
      <c r="S638" s="8">
        <v>0</v>
      </c>
      <c r="T638" s="8">
        <v>0</v>
      </c>
      <c r="U638" s="8">
        <v>1</v>
      </c>
      <c r="V638" s="8">
        <v>1</v>
      </c>
      <c r="W638" s="8">
        <v>4</v>
      </c>
      <c r="X638" s="8">
        <v>1</v>
      </c>
      <c r="Y638" s="8">
        <v>2</v>
      </c>
      <c r="Z638" s="8">
        <v>2</v>
      </c>
      <c r="AA638" s="8">
        <v>0</v>
      </c>
      <c r="AB638" s="8">
        <v>0</v>
      </c>
      <c r="AC638" s="19">
        <f t="shared" ref="AC638:AC686" si="60">+Q638-R638</f>
        <v>1</v>
      </c>
      <c r="AD638" s="19">
        <f t="shared" ref="AD638:AD691" si="61">+S638-T638</f>
        <v>0</v>
      </c>
      <c r="AE638" s="19">
        <f t="shared" ref="AE638:AE691" si="62">+U638-V638</f>
        <v>0</v>
      </c>
      <c r="AF638" s="19">
        <f t="shared" ref="AF638:AF691" si="63">+W638-X638</f>
        <v>3</v>
      </c>
      <c r="AG638" s="19">
        <f t="shared" ref="AG638:AG691" si="64">+Y638-Z638</f>
        <v>0</v>
      </c>
      <c r="AH638" s="19">
        <f t="shared" ref="AH638:AH691" si="65">+AA638-AB638</f>
        <v>0</v>
      </c>
    </row>
    <row r="639" spans="1:34">
      <c r="A639" s="8" t="s">
        <v>3967</v>
      </c>
      <c r="B639" s="8" t="s">
        <v>1992</v>
      </c>
      <c r="C639" s="8" t="s">
        <v>12</v>
      </c>
      <c r="D639" s="8" t="s">
        <v>3</v>
      </c>
      <c r="E639" s="8" t="s">
        <v>126</v>
      </c>
      <c r="F639" s="8" t="s">
        <v>4</v>
      </c>
      <c r="G639" s="8" t="s">
        <v>3</v>
      </c>
      <c r="H639" s="8" t="s">
        <v>3988</v>
      </c>
      <c r="I639" s="8" t="s">
        <v>43</v>
      </c>
      <c r="J639" s="8" t="s">
        <v>41</v>
      </c>
      <c r="K639" s="8" t="s">
        <v>5696</v>
      </c>
      <c r="L639" s="8" t="s">
        <v>110</v>
      </c>
      <c r="M639" s="11" t="s">
        <v>3979</v>
      </c>
      <c r="N639" s="8">
        <v>0</v>
      </c>
      <c r="O639" s="8">
        <v>0</v>
      </c>
      <c r="P639" s="8">
        <v>0</v>
      </c>
      <c r="Q639" s="8">
        <v>0</v>
      </c>
      <c r="R639" s="8">
        <v>0</v>
      </c>
      <c r="S639" s="8">
        <v>0</v>
      </c>
      <c r="T639" s="8">
        <v>0</v>
      </c>
      <c r="U639" s="8">
        <v>0</v>
      </c>
      <c r="V639" s="8">
        <v>0</v>
      </c>
      <c r="W639" s="8">
        <v>0</v>
      </c>
      <c r="X639" s="8">
        <v>0</v>
      </c>
      <c r="Y639" s="8">
        <v>0</v>
      </c>
      <c r="Z639" s="8">
        <v>0</v>
      </c>
      <c r="AA639" s="8">
        <v>0</v>
      </c>
      <c r="AB639" s="8">
        <v>0</v>
      </c>
      <c r="AC639" s="19">
        <f t="shared" si="60"/>
        <v>0</v>
      </c>
      <c r="AD639" s="19">
        <f t="shared" si="61"/>
        <v>0</v>
      </c>
      <c r="AE639" s="19">
        <f t="shared" si="62"/>
        <v>0</v>
      </c>
      <c r="AF639" s="19">
        <f t="shared" si="63"/>
        <v>0</v>
      </c>
      <c r="AG639" s="19">
        <f t="shared" si="64"/>
        <v>0</v>
      </c>
      <c r="AH639" s="19">
        <f t="shared" si="65"/>
        <v>0</v>
      </c>
    </row>
    <row r="640" spans="1:34">
      <c r="A640" s="8" t="s">
        <v>704</v>
      </c>
      <c r="B640" s="8" t="s">
        <v>1992</v>
      </c>
      <c r="C640" s="8" t="s">
        <v>9</v>
      </c>
      <c r="D640" s="8" t="s">
        <v>9</v>
      </c>
      <c r="E640" s="8" t="s">
        <v>110</v>
      </c>
      <c r="F640" s="8" t="s">
        <v>9</v>
      </c>
      <c r="G640" s="8" t="s">
        <v>3</v>
      </c>
      <c r="H640" s="8" t="s">
        <v>1925</v>
      </c>
      <c r="I640" s="8" t="s">
        <v>43</v>
      </c>
      <c r="J640" s="8" t="s">
        <v>41</v>
      </c>
      <c r="K640" s="8" t="s">
        <v>5696</v>
      </c>
      <c r="L640" s="8" t="s">
        <v>110</v>
      </c>
      <c r="M640" s="11" t="s">
        <v>1924</v>
      </c>
      <c r="N640" s="8">
        <v>21</v>
      </c>
      <c r="O640" s="8">
        <v>13</v>
      </c>
      <c r="P640" s="8">
        <v>8</v>
      </c>
      <c r="Q640" s="8">
        <v>4</v>
      </c>
      <c r="R640" s="8">
        <v>0</v>
      </c>
      <c r="S640" s="8">
        <v>5</v>
      </c>
      <c r="T640" s="8">
        <v>3</v>
      </c>
      <c r="U640" s="8">
        <v>10</v>
      </c>
      <c r="V640" s="8">
        <v>9</v>
      </c>
      <c r="W640" s="8">
        <v>2</v>
      </c>
      <c r="X640" s="8">
        <v>1</v>
      </c>
      <c r="Y640" s="8">
        <v>0</v>
      </c>
      <c r="Z640" s="8">
        <v>0</v>
      </c>
      <c r="AA640" s="8">
        <v>0</v>
      </c>
      <c r="AB640" s="8">
        <v>0</v>
      </c>
      <c r="AC640" s="19">
        <f t="shared" si="60"/>
        <v>4</v>
      </c>
      <c r="AD640" s="19">
        <f t="shared" si="61"/>
        <v>2</v>
      </c>
      <c r="AE640" s="19">
        <f t="shared" si="62"/>
        <v>1</v>
      </c>
      <c r="AF640" s="19">
        <f t="shared" si="63"/>
        <v>1</v>
      </c>
      <c r="AG640" s="19">
        <f t="shared" si="64"/>
        <v>0</v>
      </c>
      <c r="AH640" s="19">
        <f t="shared" si="65"/>
        <v>0</v>
      </c>
    </row>
    <row r="641" spans="1:34">
      <c r="A641" s="8" t="s">
        <v>705</v>
      </c>
      <c r="B641" s="8" t="s">
        <v>1992</v>
      </c>
      <c r="C641" s="8" t="s">
        <v>9</v>
      </c>
      <c r="D641" s="8" t="s">
        <v>4</v>
      </c>
      <c r="E641" s="8" t="s">
        <v>110</v>
      </c>
      <c r="F641" s="8" t="s">
        <v>3</v>
      </c>
      <c r="G641" s="8" t="s">
        <v>5</v>
      </c>
      <c r="H641" s="8" t="s">
        <v>211</v>
      </c>
      <c r="I641" s="8" t="s">
        <v>43</v>
      </c>
      <c r="J641" s="8" t="s">
        <v>41</v>
      </c>
      <c r="K641" s="8" t="s">
        <v>5696</v>
      </c>
      <c r="L641" s="8" t="s">
        <v>110</v>
      </c>
      <c r="M641" s="11" t="s">
        <v>1911</v>
      </c>
      <c r="N641" s="8">
        <v>3</v>
      </c>
      <c r="O641" s="8">
        <v>1</v>
      </c>
      <c r="P641" s="8">
        <v>2</v>
      </c>
      <c r="Q641" s="8">
        <v>1</v>
      </c>
      <c r="R641" s="8">
        <v>0</v>
      </c>
      <c r="S641" s="8">
        <v>1</v>
      </c>
      <c r="T641" s="8">
        <v>1</v>
      </c>
      <c r="U641" s="8">
        <v>0</v>
      </c>
      <c r="V641" s="8">
        <v>0</v>
      </c>
      <c r="W641" s="8">
        <v>1</v>
      </c>
      <c r="X641" s="8">
        <v>0</v>
      </c>
      <c r="Y641" s="8">
        <v>0</v>
      </c>
      <c r="Z641" s="8">
        <v>0</v>
      </c>
      <c r="AA641" s="8">
        <v>0</v>
      </c>
      <c r="AB641" s="8">
        <v>0</v>
      </c>
      <c r="AC641" s="19">
        <f t="shared" si="60"/>
        <v>1</v>
      </c>
      <c r="AD641" s="19">
        <f t="shared" si="61"/>
        <v>0</v>
      </c>
      <c r="AE641" s="19">
        <f t="shared" si="62"/>
        <v>0</v>
      </c>
      <c r="AF641" s="19">
        <f t="shared" si="63"/>
        <v>1</v>
      </c>
      <c r="AG641" s="19">
        <f t="shared" si="64"/>
        <v>0</v>
      </c>
      <c r="AH641" s="19">
        <f t="shared" si="65"/>
        <v>0</v>
      </c>
    </row>
    <row r="642" spans="1:34">
      <c r="A642" s="8" t="s">
        <v>706</v>
      </c>
      <c r="B642" s="8" t="s">
        <v>3420</v>
      </c>
      <c r="C642" s="8" t="s">
        <v>8</v>
      </c>
      <c r="D642" s="8" t="s">
        <v>9</v>
      </c>
      <c r="E642" s="8" t="s">
        <v>68</v>
      </c>
      <c r="F642" s="8" t="s">
        <v>3</v>
      </c>
      <c r="G642" s="8" t="s">
        <v>4</v>
      </c>
      <c r="H642" s="8" t="s">
        <v>874</v>
      </c>
      <c r="I642" s="8" t="s">
        <v>41</v>
      </c>
      <c r="J642" s="8" t="s">
        <v>43</v>
      </c>
      <c r="K642" s="8" t="s">
        <v>41</v>
      </c>
      <c r="L642" s="8" t="s">
        <v>110</v>
      </c>
      <c r="M642" s="11" t="s">
        <v>3421</v>
      </c>
      <c r="N642" s="8">
        <v>81</v>
      </c>
      <c r="O642" s="8">
        <v>36</v>
      </c>
      <c r="P642" s="8">
        <v>45</v>
      </c>
      <c r="Q642" s="8">
        <v>12</v>
      </c>
      <c r="R642" s="8">
        <v>4</v>
      </c>
      <c r="S642" s="8">
        <v>16</v>
      </c>
      <c r="T642" s="8">
        <v>5</v>
      </c>
      <c r="U642" s="8">
        <v>23</v>
      </c>
      <c r="V642" s="8">
        <v>10</v>
      </c>
      <c r="W642" s="8">
        <v>18</v>
      </c>
      <c r="X642" s="8">
        <v>9</v>
      </c>
      <c r="Y642" s="8">
        <v>12</v>
      </c>
      <c r="Z642" s="8">
        <v>8</v>
      </c>
      <c r="AA642" s="8">
        <v>0</v>
      </c>
      <c r="AB642" s="8">
        <v>0</v>
      </c>
      <c r="AC642" s="19">
        <f t="shared" si="60"/>
        <v>8</v>
      </c>
      <c r="AD642" s="19">
        <f t="shared" si="61"/>
        <v>11</v>
      </c>
      <c r="AE642" s="19">
        <f t="shared" si="62"/>
        <v>13</v>
      </c>
      <c r="AF642" s="19">
        <f t="shared" si="63"/>
        <v>9</v>
      </c>
      <c r="AG642" s="19">
        <f t="shared" si="64"/>
        <v>4</v>
      </c>
      <c r="AH642" s="19">
        <f t="shared" si="65"/>
        <v>0</v>
      </c>
    </row>
    <row r="643" spans="1:34">
      <c r="A643" s="8" t="s">
        <v>688</v>
      </c>
      <c r="B643" s="8" t="s">
        <v>3423</v>
      </c>
      <c r="C643" s="8" t="s">
        <v>8</v>
      </c>
      <c r="D643" s="8" t="s">
        <v>9</v>
      </c>
      <c r="E643" s="8" t="s">
        <v>68</v>
      </c>
      <c r="F643" s="8" t="s">
        <v>3</v>
      </c>
      <c r="G643" s="8" t="s">
        <v>4</v>
      </c>
      <c r="H643" s="8" t="s">
        <v>3425</v>
      </c>
      <c r="I643" s="8" t="s">
        <v>41</v>
      </c>
      <c r="J643" s="8" t="s">
        <v>43</v>
      </c>
      <c r="K643" s="8" t="s">
        <v>41</v>
      </c>
      <c r="L643" s="8" t="s">
        <v>110</v>
      </c>
      <c r="M643" s="11" t="s">
        <v>3424</v>
      </c>
      <c r="N643" s="8">
        <v>112</v>
      </c>
      <c r="O643" s="8">
        <v>60</v>
      </c>
      <c r="P643" s="8">
        <v>52</v>
      </c>
      <c r="Q643" s="8">
        <v>17</v>
      </c>
      <c r="R643" s="8">
        <v>6</v>
      </c>
      <c r="S643" s="8">
        <v>21</v>
      </c>
      <c r="T643" s="8">
        <v>8</v>
      </c>
      <c r="U643" s="8">
        <v>28</v>
      </c>
      <c r="V643" s="8">
        <v>18</v>
      </c>
      <c r="W643" s="8">
        <v>34</v>
      </c>
      <c r="X643" s="8">
        <v>20</v>
      </c>
      <c r="Y643" s="8">
        <v>12</v>
      </c>
      <c r="Z643" s="8">
        <v>8</v>
      </c>
      <c r="AA643" s="8">
        <v>0</v>
      </c>
      <c r="AB643" s="8">
        <v>0</v>
      </c>
      <c r="AC643" s="19">
        <f t="shared" si="60"/>
        <v>11</v>
      </c>
      <c r="AD643" s="19">
        <f t="shared" si="61"/>
        <v>13</v>
      </c>
      <c r="AE643" s="19">
        <f t="shared" si="62"/>
        <v>10</v>
      </c>
      <c r="AF643" s="19">
        <f t="shared" si="63"/>
        <v>14</v>
      </c>
      <c r="AG643" s="19">
        <f t="shared" si="64"/>
        <v>4</v>
      </c>
      <c r="AH643" s="19">
        <f t="shared" si="65"/>
        <v>0</v>
      </c>
    </row>
    <row r="644" spans="1:34">
      <c r="A644" s="8" t="s">
        <v>708</v>
      </c>
      <c r="B644" s="8" t="s">
        <v>3428</v>
      </c>
      <c r="C644" s="8" t="s">
        <v>957</v>
      </c>
      <c r="D644" s="8" t="s">
        <v>4</v>
      </c>
      <c r="E644" s="8" t="s">
        <v>41</v>
      </c>
      <c r="F644" s="8" t="s">
        <v>3</v>
      </c>
      <c r="G644" s="8" t="s">
        <v>12</v>
      </c>
      <c r="H644" s="8" t="s">
        <v>121</v>
      </c>
      <c r="I644" s="8" t="s">
        <v>41</v>
      </c>
      <c r="J644" s="8" t="s">
        <v>41</v>
      </c>
      <c r="K644" s="8" t="s">
        <v>41</v>
      </c>
      <c r="L644" s="8" t="s">
        <v>110</v>
      </c>
      <c r="M644" s="11" t="s">
        <v>4096</v>
      </c>
      <c r="N644" s="8">
        <v>167</v>
      </c>
      <c r="O644" s="8">
        <v>75</v>
      </c>
      <c r="P644" s="8">
        <v>92</v>
      </c>
      <c r="Q644" s="8">
        <v>34</v>
      </c>
      <c r="R644" s="8">
        <v>17</v>
      </c>
      <c r="S644" s="8">
        <v>34</v>
      </c>
      <c r="T644" s="8">
        <v>20</v>
      </c>
      <c r="U644" s="8">
        <v>29</v>
      </c>
      <c r="V644" s="8">
        <v>10</v>
      </c>
      <c r="W644" s="8">
        <v>40</v>
      </c>
      <c r="X644" s="8">
        <v>17</v>
      </c>
      <c r="Y644" s="8">
        <v>30</v>
      </c>
      <c r="Z644" s="8">
        <v>11</v>
      </c>
      <c r="AA644" s="8">
        <v>0</v>
      </c>
      <c r="AB644" s="8">
        <v>0</v>
      </c>
      <c r="AC644" s="19">
        <f t="shared" si="60"/>
        <v>17</v>
      </c>
      <c r="AD644" s="19">
        <f t="shared" si="61"/>
        <v>14</v>
      </c>
      <c r="AE644" s="19">
        <f t="shared" si="62"/>
        <v>19</v>
      </c>
      <c r="AF644" s="19">
        <f t="shared" si="63"/>
        <v>23</v>
      </c>
      <c r="AG644" s="19">
        <f t="shared" si="64"/>
        <v>19</v>
      </c>
      <c r="AH644" s="19">
        <f t="shared" si="65"/>
        <v>0</v>
      </c>
    </row>
    <row r="645" spans="1:34">
      <c r="A645" s="8" t="s">
        <v>709</v>
      </c>
      <c r="B645" s="8" t="s">
        <v>3430</v>
      </c>
      <c r="C645" s="8" t="s">
        <v>17</v>
      </c>
      <c r="D645" s="8" t="s">
        <v>7</v>
      </c>
      <c r="E645" s="8" t="s">
        <v>80</v>
      </c>
      <c r="F645" s="8" t="s">
        <v>3</v>
      </c>
      <c r="G645" s="8" t="s">
        <v>3</v>
      </c>
      <c r="H645" s="8" t="s">
        <v>1199</v>
      </c>
      <c r="I645" s="8" t="s">
        <v>41</v>
      </c>
      <c r="J645" s="8" t="s">
        <v>41</v>
      </c>
      <c r="K645" s="8" t="s">
        <v>41</v>
      </c>
      <c r="L645" s="8" t="s">
        <v>110</v>
      </c>
      <c r="M645" s="11" t="s">
        <v>3518</v>
      </c>
      <c r="N645" s="8">
        <v>6</v>
      </c>
      <c r="O645" s="8">
        <v>2</v>
      </c>
      <c r="P645" s="8">
        <v>4</v>
      </c>
      <c r="Q645" s="8">
        <v>1</v>
      </c>
      <c r="R645" s="8">
        <v>1</v>
      </c>
      <c r="S645" s="8">
        <v>3</v>
      </c>
      <c r="T645" s="8">
        <v>1</v>
      </c>
      <c r="U645" s="8">
        <v>0</v>
      </c>
      <c r="V645" s="8">
        <v>0</v>
      </c>
      <c r="W645" s="8">
        <v>2</v>
      </c>
      <c r="X645" s="8">
        <v>0</v>
      </c>
      <c r="Y645" s="8">
        <v>0</v>
      </c>
      <c r="Z645" s="8">
        <v>0</v>
      </c>
      <c r="AA645" s="8">
        <v>0</v>
      </c>
      <c r="AB645" s="8">
        <v>0</v>
      </c>
      <c r="AC645" s="19">
        <f t="shared" si="60"/>
        <v>0</v>
      </c>
      <c r="AD645" s="19">
        <f t="shared" si="61"/>
        <v>2</v>
      </c>
      <c r="AE645" s="19">
        <f t="shared" si="62"/>
        <v>0</v>
      </c>
      <c r="AF645" s="19">
        <f t="shared" si="63"/>
        <v>2</v>
      </c>
      <c r="AG645" s="19">
        <f t="shared" si="64"/>
        <v>0</v>
      </c>
      <c r="AH645" s="19">
        <f t="shared" si="65"/>
        <v>0</v>
      </c>
    </row>
    <row r="646" spans="1:34">
      <c r="A646" s="8" t="s">
        <v>393</v>
      </c>
      <c r="B646" s="8" t="s">
        <v>3431</v>
      </c>
      <c r="C646" s="8" t="s">
        <v>954</v>
      </c>
      <c r="D646" s="8" t="s">
        <v>17</v>
      </c>
      <c r="E646" s="8" t="s">
        <v>80</v>
      </c>
      <c r="F646" s="8" t="s">
        <v>5</v>
      </c>
      <c r="G646" s="8" t="s">
        <v>3</v>
      </c>
      <c r="H646" s="8" t="s">
        <v>1186</v>
      </c>
      <c r="I646" s="8" t="s">
        <v>41</v>
      </c>
      <c r="J646" s="8" t="s">
        <v>41</v>
      </c>
      <c r="K646" s="8" t="s">
        <v>41</v>
      </c>
      <c r="L646" s="8" t="s">
        <v>110</v>
      </c>
      <c r="M646" s="11" t="s">
        <v>5725</v>
      </c>
      <c r="N646" s="8">
        <v>25</v>
      </c>
      <c r="O646" s="8">
        <v>12</v>
      </c>
      <c r="P646" s="8">
        <v>13</v>
      </c>
      <c r="Q646" s="8">
        <v>2</v>
      </c>
      <c r="R646" s="8">
        <v>1</v>
      </c>
      <c r="S646" s="8">
        <v>5</v>
      </c>
      <c r="T646" s="8">
        <v>2</v>
      </c>
      <c r="U646" s="8">
        <v>11</v>
      </c>
      <c r="V646" s="8">
        <v>5</v>
      </c>
      <c r="W646" s="8">
        <v>7</v>
      </c>
      <c r="X646" s="8">
        <v>4</v>
      </c>
      <c r="Y646" s="8">
        <v>0</v>
      </c>
      <c r="Z646" s="8">
        <v>0</v>
      </c>
      <c r="AA646" s="8">
        <v>0</v>
      </c>
      <c r="AB646" s="8">
        <v>0</v>
      </c>
      <c r="AC646" s="19">
        <f t="shared" si="60"/>
        <v>1</v>
      </c>
      <c r="AD646" s="19">
        <f t="shared" si="61"/>
        <v>3</v>
      </c>
      <c r="AE646" s="19">
        <f t="shared" si="62"/>
        <v>6</v>
      </c>
      <c r="AF646" s="19">
        <f t="shared" si="63"/>
        <v>3</v>
      </c>
      <c r="AG646" s="19">
        <f t="shared" si="64"/>
        <v>0</v>
      </c>
      <c r="AH646" s="19">
        <f t="shared" si="65"/>
        <v>0</v>
      </c>
    </row>
    <row r="647" spans="1:34">
      <c r="A647" s="8" t="s">
        <v>3519</v>
      </c>
      <c r="B647" s="8" t="s">
        <v>1992</v>
      </c>
      <c r="C647" s="8" t="s">
        <v>17</v>
      </c>
      <c r="D647" s="8" t="s">
        <v>3</v>
      </c>
      <c r="E647" s="8" t="s">
        <v>80</v>
      </c>
      <c r="F647" s="8" t="s">
        <v>3</v>
      </c>
      <c r="G647" s="8" t="s">
        <v>11</v>
      </c>
      <c r="H647" s="8" t="s">
        <v>3520</v>
      </c>
      <c r="I647" s="8" t="s">
        <v>43</v>
      </c>
      <c r="J647" s="8" t="s">
        <v>41</v>
      </c>
      <c r="K647" s="8" t="s">
        <v>41</v>
      </c>
      <c r="L647" s="8" t="s">
        <v>110</v>
      </c>
      <c r="M647" s="11" t="s">
        <v>3521</v>
      </c>
      <c r="N647" s="8">
        <v>8</v>
      </c>
      <c r="O647" s="8">
        <v>5</v>
      </c>
      <c r="P647" s="8">
        <v>3</v>
      </c>
      <c r="Q647" s="8">
        <v>5</v>
      </c>
      <c r="R647" s="8">
        <v>2</v>
      </c>
      <c r="S647" s="8">
        <v>0</v>
      </c>
      <c r="T647" s="8">
        <v>0</v>
      </c>
      <c r="U647" s="8">
        <v>0</v>
      </c>
      <c r="V647" s="8">
        <v>0</v>
      </c>
      <c r="W647" s="8">
        <v>1</v>
      </c>
      <c r="X647" s="8">
        <v>1</v>
      </c>
      <c r="Y647" s="8">
        <v>2</v>
      </c>
      <c r="Z647" s="8">
        <v>2</v>
      </c>
      <c r="AA647" s="8">
        <v>0</v>
      </c>
      <c r="AB647" s="8">
        <v>0</v>
      </c>
      <c r="AC647" s="19">
        <f t="shared" si="60"/>
        <v>3</v>
      </c>
      <c r="AD647" s="19">
        <f t="shared" si="61"/>
        <v>0</v>
      </c>
      <c r="AE647" s="19">
        <f t="shared" si="62"/>
        <v>0</v>
      </c>
      <c r="AF647" s="19">
        <f t="shared" si="63"/>
        <v>0</v>
      </c>
      <c r="AG647" s="19">
        <f t="shared" si="64"/>
        <v>0</v>
      </c>
      <c r="AH647" s="19">
        <f t="shared" si="65"/>
        <v>0</v>
      </c>
    </row>
    <row r="648" spans="1:34">
      <c r="A648" s="8" t="s">
        <v>714</v>
      </c>
      <c r="B648" s="8" t="s">
        <v>1992</v>
      </c>
      <c r="C648" s="8" t="s">
        <v>957</v>
      </c>
      <c r="D648" s="8" t="s">
        <v>6</v>
      </c>
      <c r="E648" s="8" t="s">
        <v>41</v>
      </c>
      <c r="F648" s="8" t="s">
        <v>12</v>
      </c>
      <c r="G648" s="8" t="s">
        <v>4</v>
      </c>
      <c r="H648" s="8" t="s">
        <v>89</v>
      </c>
      <c r="I648" s="8" t="s">
        <v>43</v>
      </c>
      <c r="J648" s="8" t="s">
        <v>43</v>
      </c>
      <c r="K648" s="8" t="s">
        <v>5696</v>
      </c>
      <c r="L648" s="8" t="s">
        <v>110</v>
      </c>
      <c r="M648" s="11" t="s">
        <v>5494</v>
      </c>
      <c r="N648" s="8">
        <v>0</v>
      </c>
      <c r="O648" s="8">
        <v>0</v>
      </c>
      <c r="P648" s="8">
        <v>0</v>
      </c>
      <c r="Q648" s="8">
        <v>0</v>
      </c>
      <c r="R648" s="8">
        <v>0</v>
      </c>
      <c r="S648" s="8">
        <v>0</v>
      </c>
      <c r="T648" s="8">
        <v>0</v>
      </c>
      <c r="U648" s="8">
        <v>0</v>
      </c>
      <c r="V648" s="8">
        <v>0</v>
      </c>
      <c r="W648" s="8">
        <v>0</v>
      </c>
      <c r="X648" s="8">
        <v>0</v>
      </c>
      <c r="Y648" s="8">
        <v>0</v>
      </c>
      <c r="Z648" s="8">
        <v>0</v>
      </c>
      <c r="AA648" s="8">
        <v>0</v>
      </c>
      <c r="AB648" s="8">
        <v>0</v>
      </c>
      <c r="AC648" s="19">
        <f t="shared" si="60"/>
        <v>0</v>
      </c>
      <c r="AD648" s="19">
        <f t="shared" si="61"/>
        <v>0</v>
      </c>
      <c r="AE648" s="19">
        <f t="shared" si="62"/>
        <v>0</v>
      </c>
      <c r="AF648" s="19">
        <f t="shared" si="63"/>
        <v>0</v>
      </c>
      <c r="AG648" s="19">
        <f t="shared" si="64"/>
        <v>0</v>
      </c>
      <c r="AH648" s="19">
        <f t="shared" si="65"/>
        <v>0</v>
      </c>
    </row>
    <row r="649" spans="1:34">
      <c r="A649" s="8" t="s">
        <v>320</v>
      </c>
      <c r="B649" s="8" t="s">
        <v>1992</v>
      </c>
      <c r="C649" s="8" t="s">
        <v>13</v>
      </c>
      <c r="D649" s="8" t="s">
        <v>5</v>
      </c>
      <c r="E649" s="8" t="s">
        <v>126</v>
      </c>
      <c r="F649" s="8" t="s">
        <v>5</v>
      </c>
      <c r="G649" s="8" t="s">
        <v>11</v>
      </c>
      <c r="H649" s="8" t="s">
        <v>3697</v>
      </c>
      <c r="I649" s="8" t="s">
        <v>43</v>
      </c>
      <c r="J649" s="8" t="s">
        <v>43</v>
      </c>
      <c r="K649" s="8"/>
      <c r="L649" s="8" t="s">
        <v>110</v>
      </c>
      <c r="M649" s="11" t="s">
        <v>3694</v>
      </c>
      <c r="N649" s="8">
        <v>0</v>
      </c>
      <c r="O649" s="8">
        <v>0</v>
      </c>
      <c r="P649" s="8">
        <v>0</v>
      </c>
      <c r="Q649" s="8">
        <v>0</v>
      </c>
      <c r="R649" s="8">
        <v>0</v>
      </c>
      <c r="S649" s="8">
        <v>0</v>
      </c>
      <c r="T649" s="8">
        <v>0</v>
      </c>
      <c r="U649" s="8">
        <v>0</v>
      </c>
      <c r="V649" s="8">
        <v>0</v>
      </c>
      <c r="W649" s="8">
        <v>0</v>
      </c>
      <c r="X649" s="8">
        <v>0</v>
      </c>
      <c r="Y649" s="8">
        <v>0</v>
      </c>
      <c r="Z649" s="8">
        <v>0</v>
      </c>
      <c r="AA649" s="8">
        <v>0</v>
      </c>
      <c r="AB649" s="8">
        <v>0</v>
      </c>
      <c r="AC649" s="19">
        <f t="shared" si="60"/>
        <v>0</v>
      </c>
      <c r="AD649" s="19">
        <f t="shared" si="61"/>
        <v>0</v>
      </c>
      <c r="AE649" s="19">
        <f t="shared" si="62"/>
        <v>0</v>
      </c>
      <c r="AF649" s="19">
        <f t="shared" si="63"/>
        <v>0</v>
      </c>
      <c r="AG649" s="19">
        <f t="shared" si="64"/>
        <v>0</v>
      </c>
      <c r="AH649" s="19">
        <f t="shared" si="65"/>
        <v>0</v>
      </c>
    </row>
    <row r="650" spans="1:34">
      <c r="A650" s="8" t="s">
        <v>313</v>
      </c>
      <c r="B650" s="8" t="s">
        <v>1992</v>
      </c>
      <c r="C650" s="8" t="s">
        <v>754</v>
      </c>
      <c r="D650" s="8" t="s">
        <v>6</v>
      </c>
      <c r="E650" s="8" t="s">
        <v>68</v>
      </c>
      <c r="F650" s="8" t="s">
        <v>8</v>
      </c>
      <c r="G650" s="8" t="s">
        <v>4</v>
      </c>
      <c r="H650" s="8" t="s">
        <v>217</v>
      </c>
      <c r="I650" s="8" t="s">
        <v>43</v>
      </c>
      <c r="J650" s="8" t="s">
        <v>41</v>
      </c>
      <c r="K650" s="8"/>
      <c r="L650" s="8" t="s">
        <v>110</v>
      </c>
      <c r="M650" s="11" t="s">
        <v>4704</v>
      </c>
      <c r="N650" s="8">
        <v>2</v>
      </c>
      <c r="O650" s="8">
        <v>0</v>
      </c>
      <c r="P650" s="8">
        <v>2</v>
      </c>
      <c r="Q650" s="8">
        <v>0</v>
      </c>
      <c r="R650" s="8">
        <v>0</v>
      </c>
      <c r="S650" s="8">
        <v>0</v>
      </c>
      <c r="T650" s="8">
        <v>0</v>
      </c>
      <c r="U650" s="8">
        <v>0</v>
      </c>
      <c r="V650" s="8">
        <v>0</v>
      </c>
      <c r="W650" s="8">
        <v>2</v>
      </c>
      <c r="X650" s="8">
        <v>0</v>
      </c>
      <c r="Y650" s="8">
        <v>0</v>
      </c>
      <c r="Z650" s="8">
        <v>0</v>
      </c>
      <c r="AA650" s="8">
        <v>0</v>
      </c>
      <c r="AB650" s="8">
        <v>0</v>
      </c>
      <c r="AC650" s="19">
        <f t="shared" si="60"/>
        <v>0</v>
      </c>
      <c r="AD650" s="19">
        <f t="shared" si="61"/>
        <v>0</v>
      </c>
      <c r="AE650" s="19">
        <f t="shared" si="62"/>
        <v>0</v>
      </c>
      <c r="AF650" s="19">
        <f t="shared" si="63"/>
        <v>2</v>
      </c>
      <c r="AG650" s="19">
        <f t="shared" si="64"/>
        <v>0</v>
      </c>
      <c r="AH650" s="19">
        <f t="shared" si="65"/>
        <v>0</v>
      </c>
    </row>
    <row r="651" spans="1:34">
      <c r="A651" s="8" t="s">
        <v>715</v>
      </c>
      <c r="B651" s="8" t="s">
        <v>1992</v>
      </c>
      <c r="C651" s="8" t="s">
        <v>957</v>
      </c>
      <c r="D651" s="8" t="s">
        <v>5</v>
      </c>
      <c r="E651" s="8" t="s">
        <v>41</v>
      </c>
      <c r="F651" s="8" t="s">
        <v>4</v>
      </c>
      <c r="G651" s="8" t="s">
        <v>5</v>
      </c>
      <c r="H651" s="8" t="s">
        <v>789</v>
      </c>
      <c r="I651" s="8" t="s">
        <v>43</v>
      </c>
      <c r="J651" s="8" t="s">
        <v>41</v>
      </c>
      <c r="K651" s="8"/>
      <c r="L651" s="8" t="s">
        <v>110</v>
      </c>
      <c r="M651" s="11" t="s">
        <v>4301</v>
      </c>
      <c r="N651" s="8">
        <v>3</v>
      </c>
      <c r="O651" s="8">
        <v>1</v>
      </c>
      <c r="P651" s="8">
        <v>2</v>
      </c>
      <c r="Q651" s="8">
        <v>0</v>
      </c>
      <c r="R651" s="8">
        <v>0</v>
      </c>
      <c r="S651" s="8">
        <v>0</v>
      </c>
      <c r="T651" s="8">
        <v>0</v>
      </c>
      <c r="U651" s="8">
        <v>0</v>
      </c>
      <c r="V651" s="8">
        <v>0</v>
      </c>
      <c r="W651" s="8">
        <v>3</v>
      </c>
      <c r="X651" s="8">
        <v>1</v>
      </c>
      <c r="Y651" s="8">
        <v>0</v>
      </c>
      <c r="Z651" s="8">
        <v>0</v>
      </c>
      <c r="AA651" s="8">
        <v>0</v>
      </c>
      <c r="AB651" s="8">
        <v>0</v>
      </c>
      <c r="AC651" s="19">
        <f t="shared" si="60"/>
        <v>0</v>
      </c>
      <c r="AD651" s="19">
        <f t="shared" si="61"/>
        <v>0</v>
      </c>
      <c r="AE651" s="19">
        <f t="shared" si="62"/>
        <v>0</v>
      </c>
      <c r="AF651" s="19">
        <f t="shared" si="63"/>
        <v>2</v>
      </c>
      <c r="AG651" s="19">
        <f t="shared" si="64"/>
        <v>0</v>
      </c>
      <c r="AH651" s="19">
        <f t="shared" si="65"/>
        <v>0</v>
      </c>
    </row>
    <row r="652" spans="1:34">
      <c r="A652" s="8" t="s">
        <v>3522</v>
      </c>
      <c r="B652" s="8" t="s">
        <v>3523</v>
      </c>
      <c r="C652" s="8" t="s">
        <v>70</v>
      </c>
      <c r="D652" s="8" t="s">
        <v>6</v>
      </c>
      <c r="E652" s="8" t="s">
        <v>43</v>
      </c>
      <c r="F652" s="8" t="s">
        <v>13</v>
      </c>
      <c r="G652" s="8" t="s">
        <v>12</v>
      </c>
      <c r="H652" s="8" t="s">
        <v>211</v>
      </c>
      <c r="I652" s="8" t="s">
        <v>41</v>
      </c>
      <c r="J652" s="8" t="s">
        <v>43</v>
      </c>
      <c r="K652" s="8"/>
      <c r="L652" s="8" t="s">
        <v>110</v>
      </c>
      <c r="M652" s="11" t="s">
        <v>3524</v>
      </c>
      <c r="N652" s="8">
        <v>39</v>
      </c>
      <c r="O652" s="8">
        <v>27</v>
      </c>
      <c r="P652" s="8">
        <v>12</v>
      </c>
      <c r="Q652" s="8">
        <v>5</v>
      </c>
      <c r="R652" s="8">
        <v>4</v>
      </c>
      <c r="S652" s="8">
        <v>13</v>
      </c>
      <c r="T652" s="8">
        <v>9</v>
      </c>
      <c r="U652" s="8">
        <v>4</v>
      </c>
      <c r="V652" s="8">
        <v>4</v>
      </c>
      <c r="W652" s="8">
        <v>12</v>
      </c>
      <c r="X652" s="8">
        <v>6</v>
      </c>
      <c r="Y652" s="8">
        <v>5</v>
      </c>
      <c r="Z652" s="8">
        <v>4</v>
      </c>
      <c r="AA652" s="8">
        <v>0</v>
      </c>
      <c r="AB652" s="8">
        <v>0</v>
      </c>
      <c r="AC652" s="19">
        <f t="shared" si="60"/>
        <v>1</v>
      </c>
      <c r="AD652" s="19">
        <f t="shared" si="61"/>
        <v>4</v>
      </c>
      <c r="AE652" s="19">
        <f t="shared" si="62"/>
        <v>0</v>
      </c>
      <c r="AF652" s="19">
        <f t="shared" si="63"/>
        <v>6</v>
      </c>
      <c r="AG652" s="19">
        <f t="shared" si="64"/>
        <v>1</v>
      </c>
      <c r="AH652" s="19">
        <f t="shared" si="65"/>
        <v>0</v>
      </c>
    </row>
    <row r="653" spans="1:34">
      <c r="A653" s="8" t="s">
        <v>3525</v>
      </c>
      <c r="B653" s="8" t="s">
        <v>3526</v>
      </c>
      <c r="C653" s="8" t="s">
        <v>958</v>
      </c>
      <c r="D653" s="8" t="s">
        <v>5</v>
      </c>
      <c r="E653" s="8" t="s">
        <v>80</v>
      </c>
      <c r="F653" s="8" t="s">
        <v>3</v>
      </c>
      <c r="G653" s="8" t="s">
        <v>6</v>
      </c>
      <c r="H653" s="8" t="s">
        <v>807</v>
      </c>
      <c r="I653" s="8" t="s">
        <v>41</v>
      </c>
      <c r="J653" s="8" t="s">
        <v>43</v>
      </c>
      <c r="K653" s="8"/>
      <c r="L653" s="8" t="s">
        <v>110</v>
      </c>
      <c r="M653" s="11" t="s">
        <v>3527</v>
      </c>
      <c r="N653" s="8">
        <v>74</v>
      </c>
      <c r="O653" s="8">
        <v>43</v>
      </c>
      <c r="P653" s="8">
        <v>31</v>
      </c>
      <c r="Q653" s="8">
        <v>19</v>
      </c>
      <c r="R653" s="8">
        <v>10</v>
      </c>
      <c r="S653" s="8">
        <v>11</v>
      </c>
      <c r="T653" s="8">
        <v>8</v>
      </c>
      <c r="U653" s="8">
        <v>17</v>
      </c>
      <c r="V653" s="8">
        <v>8</v>
      </c>
      <c r="W653" s="8">
        <v>18</v>
      </c>
      <c r="X653" s="8">
        <v>12</v>
      </c>
      <c r="Y653" s="8">
        <v>9</v>
      </c>
      <c r="Z653" s="8">
        <v>5</v>
      </c>
      <c r="AA653" s="8">
        <v>0</v>
      </c>
      <c r="AB653" s="8">
        <v>0</v>
      </c>
      <c r="AC653" s="19">
        <f t="shared" si="60"/>
        <v>9</v>
      </c>
      <c r="AD653" s="19">
        <f t="shared" si="61"/>
        <v>3</v>
      </c>
      <c r="AE653" s="19">
        <f t="shared" si="62"/>
        <v>9</v>
      </c>
      <c r="AF653" s="19">
        <f t="shared" si="63"/>
        <v>6</v>
      </c>
      <c r="AG653" s="19">
        <f t="shared" si="64"/>
        <v>4</v>
      </c>
      <c r="AH653" s="19">
        <f t="shared" si="65"/>
        <v>0</v>
      </c>
    </row>
    <row r="654" spans="1:34">
      <c r="A654" s="8" t="s">
        <v>3528</v>
      </c>
      <c r="B654" s="8" t="s">
        <v>3529</v>
      </c>
      <c r="C654" s="8" t="s">
        <v>754</v>
      </c>
      <c r="D654" s="8" t="s">
        <v>8</v>
      </c>
      <c r="E654" s="8" t="s">
        <v>68</v>
      </c>
      <c r="F654" s="8" t="s">
        <v>4</v>
      </c>
      <c r="G654" s="8" t="s">
        <v>7</v>
      </c>
      <c r="H654" s="8" t="s">
        <v>3530</v>
      </c>
      <c r="I654" s="8" t="s">
        <v>41</v>
      </c>
      <c r="J654" s="8" t="s">
        <v>41</v>
      </c>
      <c r="K654" s="8"/>
      <c r="L654" s="8" t="s">
        <v>110</v>
      </c>
      <c r="M654" s="11" t="s">
        <v>3531</v>
      </c>
      <c r="N654" s="8">
        <v>28</v>
      </c>
      <c r="O654" s="8">
        <v>18</v>
      </c>
      <c r="P654" s="8">
        <v>10</v>
      </c>
      <c r="Q654" s="8">
        <v>15</v>
      </c>
      <c r="R654" s="8">
        <v>9</v>
      </c>
      <c r="S654" s="8">
        <v>6</v>
      </c>
      <c r="T654" s="8">
        <v>2</v>
      </c>
      <c r="U654" s="8">
        <v>5</v>
      </c>
      <c r="V654" s="8">
        <v>5</v>
      </c>
      <c r="W654" s="8">
        <v>2</v>
      </c>
      <c r="X654" s="8">
        <v>2</v>
      </c>
      <c r="Y654" s="8">
        <v>0</v>
      </c>
      <c r="Z654" s="8">
        <v>0</v>
      </c>
      <c r="AA654" s="8">
        <v>0</v>
      </c>
      <c r="AB654" s="8">
        <v>0</v>
      </c>
      <c r="AC654" s="19">
        <f t="shared" si="60"/>
        <v>6</v>
      </c>
      <c r="AD654" s="19">
        <f t="shared" si="61"/>
        <v>4</v>
      </c>
      <c r="AE654" s="19">
        <f t="shared" si="62"/>
        <v>0</v>
      </c>
      <c r="AF654" s="19">
        <f t="shared" si="63"/>
        <v>0</v>
      </c>
      <c r="AG654" s="19">
        <f t="shared" si="64"/>
        <v>0</v>
      </c>
      <c r="AH654" s="19">
        <f t="shared" si="65"/>
        <v>0</v>
      </c>
    </row>
    <row r="655" spans="1:34">
      <c r="A655" s="8" t="s">
        <v>3532</v>
      </c>
      <c r="B655" s="8" t="s">
        <v>1992</v>
      </c>
      <c r="C655" s="8" t="s">
        <v>957</v>
      </c>
      <c r="D655" s="8" t="s">
        <v>5</v>
      </c>
      <c r="E655" s="8" t="s">
        <v>41</v>
      </c>
      <c r="F655" s="8" t="s">
        <v>4</v>
      </c>
      <c r="G655" s="8" t="s">
        <v>5</v>
      </c>
      <c r="H655" s="8" t="s">
        <v>4325</v>
      </c>
      <c r="I655" s="8" t="s">
        <v>43</v>
      </c>
      <c r="J655" s="8" t="s">
        <v>41</v>
      </c>
      <c r="K655" s="8"/>
      <c r="L655" s="8" t="s">
        <v>110</v>
      </c>
      <c r="M655" s="11" t="s">
        <v>3533</v>
      </c>
      <c r="N655" s="8">
        <v>0</v>
      </c>
      <c r="O655" s="8">
        <v>0</v>
      </c>
      <c r="P655" s="8">
        <v>0</v>
      </c>
      <c r="Q655" s="8">
        <v>0</v>
      </c>
      <c r="R655" s="8">
        <v>0</v>
      </c>
      <c r="S655" s="8">
        <v>0</v>
      </c>
      <c r="T655" s="8">
        <v>0</v>
      </c>
      <c r="U655" s="8">
        <v>0</v>
      </c>
      <c r="V655" s="8">
        <v>0</v>
      </c>
      <c r="W655" s="8">
        <v>0</v>
      </c>
      <c r="X655" s="8">
        <v>0</v>
      </c>
      <c r="Y655" s="8">
        <v>0</v>
      </c>
      <c r="Z655" s="8">
        <v>0</v>
      </c>
      <c r="AA655" s="8">
        <v>0</v>
      </c>
      <c r="AB655" s="8">
        <v>0</v>
      </c>
      <c r="AC655" s="19">
        <f t="shared" si="60"/>
        <v>0</v>
      </c>
      <c r="AD655" s="19">
        <f t="shared" si="61"/>
        <v>0</v>
      </c>
      <c r="AE655" s="19">
        <f t="shared" si="62"/>
        <v>0</v>
      </c>
      <c r="AF655" s="19">
        <f t="shared" si="63"/>
        <v>0</v>
      </c>
      <c r="AG655" s="19">
        <f t="shared" si="64"/>
        <v>0</v>
      </c>
      <c r="AH655" s="19">
        <f t="shared" si="65"/>
        <v>0</v>
      </c>
    </row>
    <row r="656" spans="1:34">
      <c r="A656" s="8" t="s">
        <v>3534</v>
      </c>
      <c r="B656" s="8" t="s">
        <v>1992</v>
      </c>
      <c r="C656" s="8" t="s">
        <v>5</v>
      </c>
      <c r="D656" s="8" t="s">
        <v>6</v>
      </c>
      <c r="E656" s="8" t="s">
        <v>43</v>
      </c>
      <c r="F656" s="8" t="s">
        <v>3</v>
      </c>
      <c r="G656" s="8" t="s">
        <v>4</v>
      </c>
      <c r="H656" s="8" t="s">
        <v>3535</v>
      </c>
      <c r="I656" s="8" t="s">
        <v>43</v>
      </c>
      <c r="J656" s="8" t="s">
        <v>41</v>
      </c>
      <c r="K656" s="8"/>
      <c r="L656" s="8" t="s">
        <v>110</v>
      </c>
      <c r="M656" s="11" t="s">
        <v>4501</v>
      </c>
      <c r="N656" s="8">
        <v>7</v>
      </c>
      <c r="O656" s="8">
        <v>0</v>
      </c>
      <c r="P656" s="8">
        <v>7</v>
      </c>
      <c r="Q656" s="8">
        <v>6</v>
      </c>
      <c r="R656" s="8">
        <v>0</v>
      </c>
      <c r="S656" s="8">
        <v>1</v>
      </c>
      <c r="T656" s="8">
        <v>0</v>
      </c>
      <c r="U656" s="8">
        <v>0</v>
      </c>
      <c r="V656" s="8">
        <v>0</v>
      </c>
      <c r="W656" s="8">
        <v>0</v>
      </c>
      <c r="X656" s="8">
        <v>0</v>
      </c>
      <c r="Y656" s="8">
        <v>0</v>
      </c>
      <c r="Z656" s="8">
        <v>0</v>
      </c>
      <c r="AA656" s="8">
        <v>0</v>
      </c>
      <c r="AB656" s="8">
        <v>0</v>
      </c>
      <c r="AC656" s="19">
        <f t="shared" si="60"/>
        <v>6</v>
      </c>
      <c r="AD656" s="19">
        <f t="shared" si="61"/>
        <v>1</v>
      </c>
      <c r="AE656" s="19">
        <f t="shared" si="62"/>
        <v>0</v>
      </c>
      <c r="AF656" s="19">
        <f t="shared" si="63"/>
        <v>0</v>
      </c>
      <c r="AG656" s="19">
        <f t="shared" si="64"/>
        <v>0</v>
      </c>
      <c r="AH656" s="19">
        <f t="shared" si="65"/>
        <v>0</v>
      </c>
    </row>
    <row r="657" spans="1:34">
      <c r="A657" s="8" t="s">
        <v>3695</v>
      </c>
      <c r="B657" s="8" t="s">
        <v>1992</v>
      </c>
      <c r="C657" s="8" t="s">
        <v>957</v>
      </c>
      <c r="D657" s="8" t="s">
        <v>5</v>
      </c>
      <c r="E657" s="8" t="s">
        <v>41</v>
      </c>
      <c r="F657" s="8" t="s">
        <v>4</v>
      </c>
      <c r="G657" s="8" t="s">
        <v>5</v>
      </c>
      <c r="H657" s="8" t="s">
        <v>3698</v>
      </c>
      <c r="I657" s="8" t="s">
        <v>43</v>
      </c>
      <c r="J657" s="8" t="s">
        <v>41</v>
      </c>
      <c r="K657" s="8"/>
      <c r="L657" s="8" t="s">
        <v>110</v>
      </c>
      <c r="M657" s="11" t="s">
        <v>4502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  <c r="S657" s="8">
        <v>0</v>
      </c>
      <c r="T657" s="8">
        <v>0</v>
      </c>
      <c r="U657" s="8">
        <v>0</v>
      </c>
      <c r="V657" s="8">
        <v>0</v>
      </c>
      <c r="W657" s="8">
        <v>0</v>
      </c>
      <c r="X657" s="8">
        <v>0</v>
      </c>
      <c r="Y657" s="8">
        <v>0</v>
      </c>
      <c r="Z657" s="8">
        <v>0</v>
      </c>
      <c r="AA657" s="8">
        <v>0</v>
      </c>
      <c r="AB657" s="8">
        <v>0</v>
      </c>
      <c r="AC657" s="19">
        <f t="shared" si="60"/>
        <v>0</v>
      </c>
      <c r="AD657" s="19">
        <f t="shared" si="61"/>
        <v>0</v>
      </c>
      <c r="AE657" s="19">
        <f t="shared" si="62"/>
        <v>0</v>
      </c>
      <c r="AF657" s="19">
        <f t="shared" si="63"/>
        <v>0</v>
      </c>
      <c r="AG657" s="19">
        <f t="shared" si="64"/>
        <v>0</v>
      </c>
      <c r="AH657" s="19">
        <f t="shared" si="65"/>
        <v>0</v>
      </c>
    </row>
    <row r="658" spans="1:34">
      <c r="A658" s="8" t="s">
        <v>3696</v>
      </c>
      <c r="B658" s="8" t="s">
        <v>1992</v>
      </c>
      <c r="C658" s="8" t="s">
        <v>3</v>
      </c>
      <c r="D658" s="8" t="s">
        <v>5</v>
      </c>
      <c r="E658" s="8" t="s">
        <v>41</v>
      </c>
      <c r="F658" s="8" t="s">
        <v>3</v>
      </c>
      <c r="G658" s="8" t="s">
        <v>8</v>
      </c>
      <c r="H658" s="8" t="s">
        <v>729</v>
      </c>
      <c r="I658" s="8" t="s">
        <v>43</v>
      </c>
      <c r="J658" s="8" t="s">
        <v>41</v>
      </c>
      <c r="K658" s="8"/>
      <c r="L658" s="8" t="s">
        <v>110</v>
      </c>
      <c r="M658" s="11" t="s">
        <v>3765</v>
      </c>
      <c r="N658" s="8">
        <v>1</v>
      </c>
      <c r="O658" s="8">
        <v>0</v>
      </c>
      <c r="P658" s="8">
        <v>1</v>
      </c>
      <c r="Q658" s="8">
        <v>0</v>
      </c>
      <c r="R658" s="8">
        <v>0</v>
      </c>
      <c r="S658" s="8">
        <v>0</v>
      </c>
      <c r="T658" s="8">
        <v>0</v>
      </c>
      <c r="U658" s="8">
        <v>0</v>
      </c>
      <c r="V658" s="8">
        <v>0</v>
      </c>
      <c r="W658" s="8">
        <v>1</v>
      </c>
      <c r="X658" s="8">
        <v>0</v>
      </c>
      <c r="Y658" s="8">
        <v>0</v>
      </c>
      <c r="Z658" s="8">
        <v>0</v>
      </c>
      <c r="AA658" s="8">
        <v>0</v>
      </c>
      <c r="AB658" s="8">
        <v>0</v>
      </c>
      <c r="AC658" s="19">
        <f t="shared" si="60"/>
        <v>0</v>
      </c>
      <c r="AD658" s="19">
        <f t="shared" si="61"/>
        <v>0</v>
      </c>
      <c r="AE658" s="19">
        <f t="shared" si="62"/>
        <v>0</v>
      </c>
      <c r="AF658" s="19">
        <f t="shared" si="63"/>
        <v>1</v>
      </c>
      <c r="AG658" s="19">
        <f t="shared" si="64"/>
        <v>0</v>
      </c>
      <c r="AH658" s="19">
        <f t="shared" si="65"/>
        <v>0</v>
      </c>
    </row>
    <row r="659" spans="1:34">
      <c r="A659" s="8" t="s">
        <v>3766</v>
      </c>
      <c r="B659" s="8" t="s">
        <v>1992</v>
      </c>
      <c r="C659" s="8" t="s">
        <v>11</v>
      </c>
      <c r="D659" s="8" t="s">
        <v>6</v>
      </c>
      <c r="E659" s="8" t="s">
        <v>126</v>
      </c>
      <c r="F659" s="8" t="s">
        <v>3</v>
      </c>
      <c r="G659" s="8" t="s">
        <v>3</v>
      </c>
      <c r="H659" s="8" t="s">
        <v>3768</v>
      </c>
      <c r="I659" s="8" t="s">
        <v>43</v>
      </c>
      <c r="J659" s="8" t="s">
        <v>41</v>
      </c>
      <c r="K659" s="8"/>
      <c r="L659" s="8" t="s">
        <v>110</v>
      </c>
      <c r="M659" s="11" t="s">
        <v>3767</v>
      </c>
      <c r="N659" s="8">
        <v>32</v>
      </c>
      <c r="O659" s="8">
        <v>23</v>
      </c>
      <c r="P659" s="8">
        <v>9</v>
      </c>
      <c r="Q659" s="8">
        <v>8</v>
      </c>
      <c r="R659" s="8">
        <v>5</v>
      </c>
      <c r="S659" s="8">
        <v>11</v>
      </c>
      <c r="T659" s="8">
        <v>9</v>
      </c>
      <c r="U659" s="8">
        <v>5</v>
      </c>
      <c r="V659" s="8">
        <v>4</v>
      </c>
      <c r="W659" s="8">
        <v>6</v>
      </c>
      <c r="X659" s="8">
        <v>4</v>
      </c>
      <c r="Y659" s="8">
        <v>2</v>
      </c>
      <c r="Z659" s="8">
        <v>1</v>
      </c>
      <c r="AA659" s="8">
        <v>0</v>
      </c>
      <c r="AB659" s="8">
        <v>0</v>
      </c>
      <c r="AC659" s="19">
        <f t="shared" si="60"/>
        <v>3</v>
      </c>
      <c r="AD659" s="19">
        <f t="shared" si="61"/>
        <v>2</v>
      </c>
      <c r="AE659" s="19">
        <f t="shared" si="62"/>
        <v>1</v>
      </c>
      <c r="AF659" s="19">
        <f t="shared" si="63"/>
        <v>2</v>
      </c>
      <c r="AG659" s="19">
        <f t="shared" si="64"/>
        <v>1</v>
      </c>
      <c r="AH659" s="19">
        <f t="shared" si="65"/>
        <v>0</v>
      </c>
    </row>
    <row r="660" spans="1:34">
      <c r="A660" s="8" t="s">
        <v>3536</v>
      </c>
      <c r="B660" s="8" t="s">
        <v>1992</v>
      </c>
      <c r="C660" s="8" t="s">
        <v>3</v>
      </c>
      <c r="D660" s="8" t="s">
        <v>3</v>
      </c>
      <c r="E660" s="8" t="s">
        <v>41</v>
      </c>
      <c r="F660" s="8" t="s">
        <v>3</v>
      </c>
      <c r="G660" s="8" t="s">
        <v>16</v>
      </c>
      <c r="H660" s="8" t="s">
        <v>1723</v>
      </c>
      <c r="I660" s="8" t="s">
        <v>43</v>
      </c>
      <c r="J660" s="8" t="s">
        <v>41</v>
      </c>
      <c r="K660" s="8"/>
      <c r="L660" s="8" t="s">
        <v>110</v>
      </c>
      <c r="M660" s="11" t="s">
        <v>3537</v>
      </c>
      <c r="N660" s="8">
        <v>16</v>
      </c>
      <c r="O660" s="8">
        <v>14</v>
      </c>
      <c r="P660" s="8">
        <v>2</v>
      </c>
      <c r="Q660" s="8">
        <v>6</v>
      </c>
      <c r="R660" s="8">
        <v>6</v>
      </c>
      <c r="S660" s="8">
        <v>5</v>
      </c>
      <c r="T660" s="8">
        <v>4</v>
      </c>
      <c r="U660" s="8">
        <v>3</v>
      </c>
      <c r="V660" s="8">
        <v>3</v>
      </c>
      <c r="W660" s="8">
        <v>2</v>
      </c>
      <c r="X660" s="8">
        <v>1</v>
      </c>
      <c r="Y660" s="8">
        <v>0</v>
      </c>
      <c r="Z660" s="8">
        <v>0</v>
      </c>
      <c r="AA660" s="8">
        <v>0</v>
      </c>
      <c r="AB660" s="8">
        <v>0</v>
      </c>
      <c r="AC660" s="19">
        <f t="shared" si="60"/>
        <v>0</v>
      </c>
      <c r="AD660" s="19">
        <f t="shared" si="61"/>
        <v>1</v>
      </c>
      <c r="AE660" s="19">
        <f t="shared" si="62"/>
        <v>0</v>
      </c>
      <c r="AF660" s="19">
        <f t="shared" si="63"/>
        <v>1</v>
      </c>
      <c r="AG660" s="19">
        <f t="shared" si="64"/>
        <v>0</v>
      </c>
      <c r="AH660" s="19">
        <f t="shared" si="65"/>
        <v>0</v>
      </c>
    </row>
    <row r="661" spans="1:34">
      <c r="A661" s="8" t="s">
        <v>3538</v>
      </c>
      <c r="B661" s="8" t="s">
        <v>1992</v>
      </c>
      <c r="C661" s="8" t="s">
        <v>956</v>
      </c>
      <c r="D661" s="8" t="s">
        <v>7</v>
      </c>
      <c r="E661" s="8" t="s">
        <v>41</v>
      </c>
      <c r="F661" s="8" t="s">
        <v>118</v>
      </c>
      <c r="G661" s="8" t="s">
        <v>3</v>
      </c>
      <c r="H661" s="8" t="s">
        <v>238</v>
      </c>
      <c r="I661" s="8" t="s">
        <v>43</v>
      </c>
      <c r="J661" s="8" t="s">
        <v>41</v>
      </c>
      <c r="K661" s="8"/>
      <c r="L661" s="8" t="s">
        <v>110</v>
      </c>
      <c r="M661" s="11" t="s">
        <v>3539</v>
      </c>
      <c r="N661" s="8">
        <v>0</v>
      </c>
      <c r="O661" s="8">
        <v>0</v>
      </c>
      <c r="P661" s="8">
        <v>0</v>
      </c>
      <c r="Q661" s="8">
        <v>0</v>
      </c>
      <c r="R661" s="8">
        <v>0</v>
      </c>
      <c r="S661" s="8">
        <v>0</v>
      </c>
      <c r="T661" s="8">
        <v>0</v>
      </c>
      <c r="U661" s="8">
        <v>0</v>
      </c>
      <c r="V661" s="8">
        <v>0</v>
      </c>
      <c r="W661" s="8">
        <v>0</v>
      </c>
      <c r="X661" s="8">
        <v>0</v>
      </c>
      <c r="Y661" s="8">
        <v>0</v>
      </c>
      <c r="Z661" s="8">
        <v>0</v>
      </c>
      <c r="AA661" s="8">
        <v>0</v>
      </c>
      <c r="AB661" s="8">
        <v>0</v>
      </c>
      <c r="AC661" s="19">
        <f t="shared" si="60"/>
        <v>0</v>
      </c>
      <c r="AD661" s="19">
        <f t="shared" si="61"/>
        <v>0</v>
      </c>
      <c r="AE661" s="19">
        <f t="shared" si="62"/>
        <v>0</v>
      </c>
      <c r="AF661" s="19">
        <f t="shared" si="63"/>
        <v>0</v>
      </c>
      <c r="AG661" s="19">
        <f t="shared" si="64"/>
        <v>0</v>
      </c>
      <c r="AH661" s="19">
        <f t="shared" si="65"/>
        <v>0</v>
      </c>
    </row>
    <row r="662" spans="1:34">
      <c r="A662" s="8" t="s">
        <v>3540</v>
      </c>
      <c r="B662" s="8" t="s">
        <v>1992</v>
      </c>
      <c r="C662" s="8" t="s">
        <v>13</v>
      </c>
      <c r="D662" s="8" t="s">
        <v>8</v>
      </c>
      <c r="E662" s="8" t="s">
        <v>126</v>
      </c>
      <c r="F662" s="8" t="s">
        <v>7</v>
      </c>
      <c r="G662" s="8" t="s">
        <v>5</v>
      </c>
      <c r="H662" s="8" t="s">
        <v>3541</v>
      </c>
      <c r="I662" s="8" t="s">
        <v>43</v>
      </c>
      <c r="J662" s="8" t="s">
        <v>41</v>
      </c>
      <c r="K662" s="8"/>
      <c r="L662" s="8" t="s">
        <v>110</v>
      </c>
      <c r="M662" s="11" t="s">
        <v>3542</v>
      </c>
      <c r="N662" s="8">
        <v>12</v>
      </c>
      <c r="O662" s="8">
        <v>5</v>
      </c>
      <c r="P662" s="8">
        <v>7</v>
      </c>
      <c r="Q662" s="8">
        <v>1</v>
      </c>
      <c r="R662" s="8">
        <v>0</v>
      </c>
      <c r="S662" s="8">
        <v>4</v>
      </c>
      <c r="T662" s="8">
        <v>2</v>
      </c>
      <c r="U662" s="8">
        <v>4</v>
      </c>
      <c r="V662" s="8">
        <v>2</v>
      </c>
      <c r="W662" s="8">
        <v>3</v>
      </c>
      <c r="X662" s="8">
        <v>1</v>
      </c>
      <c r="Y662" s="8">
        <v>0</v>
      </c>
      <c r="Z662" s="8">
        <v>0</v>
      </c>
      <c r="AA662" s="8">
        <v>0</v>
      </c>
      <c r="AB662" s="8">
        <v>0</v>
      </c>
      <c r="AC662" s="19">
        <f t="shared" si="60"/>
        <v>1</v>
      </c>
      <c r="AD662" s="19">
        <f t="shared" si="61"/>
        <v>2</v>
      </c>
      <c r="AE662" s="19">
        <f t="shared" si="62"/>
        <v>2</v>
      </c>
      <c r="AF662" s="19">
        <f t="shared" si="63"/>
        <v>2</v>
      </c>
      <c r="AG662" s="19">
        <f t="shared" si="64"/>
        <v>0</v>
      </c>
      <c r="AH662" s="19">
        <f t="shared" si="65"/>
        <v>0</v>
      </c>
    </row>
    <row r="663" spans="1:34">
      <c r="A663" s="8" t="s">
        <v>3745</v>
      </c>
      <c r="B663" s="8" t="s">
        <v>3746</v>
      </c>
      <c r="C663" s="8" t="s">
        <v>7</v>
      </c>
      <c r="D663" s="8" t="s">
        <v>7</v>
      </c>
      <c r="E663" s="8" t="s">
        <v>56</v>
      </c>
      <c r="F663" s="8" t="s">
        <v>4</v>
      </c>
      <c r="G663" s="8" t="s">
        <v>4</v>
      </c>
      <c r="H663" s="8" t="s">
        <v>230</v>
      </c>
      <c r="I663" s="8" t="s">
        <v>41</v>
      </c>
      <c r="J663" s="8" t="s">
        <v>43</v>
      </c>
      <c r="K663" s="8"/>
      <c r="L663" s="8" t="s">
        <v>110</v>
      </c>
      <c r="M663" s="11" t="s">
        <v>3747</v>
      </c>
      <c r="N663" s="8">
        <v>29</v>
      </c>
      <c r="O663" s="8">
        <v>19</v>
      </c>
      <c r="P663" s="8">
        <v>10</v>
      </c>
      <c r="Q663" s="8">
        <v>5</v>
      </c>
      <c r="R663" s="8">
        <v>4</v>
      </c>
      <c r="S663" s="8">
        <v>9</v>
      </c>
      <c r="T663" s="8">
        <v>4</v>
      </c>
      <c r="U663" s="8">
        <v>2</v>
      </c>
      <c r="V663" s="8">
        <v>2</v>
      </c>
      <c r="W663" s="8">
        <v>8</v>
      </c>
      <c r="X663" s="8">
        <v>6</v>
      </c>
      <c r="Y663" s="8">
        <v>5</v>
      </c>
      <c r="Z663" s="8">
        <v>3</v>
      </c>
      <c r="AA663" s="8">
        <v>0</v>
      </c>
      <c r="AB663" s="8">
        <v>0</v>
      </c>
      <c r="AC663" s="19">
        <f t="shared" si="60"/>
        <v>1</v>
      </c>
      <c r="AD663" s="19">
        <f t="shared" si="61"/>
        <v>5</v>
      </c>
      <c r="AE663" s="19">
        <f t="shared" si="62"/>
        <v>0</v>
      </c>
      <c r="AF663" s="19">
        <f t="shared" si="63"/>
        <v>2</v>
      </c>
      <c r="AG663" s="19">
        <f t="shared" si="64"/>
        <v>2</v>
      </c>
      <c r="AH663" s="19">
        <f t="shared" si="65"/>
        <v>0</v>
      </c>
    </row>
    <row r="664" spans="1:34">
      <c r="A664" s="8" t="s">
        <v>3748</v>
      </c>
      <c r="B664" s="8" t="s">
        <v>3749</v>
      </c>
      <c r="C664" s="8" t="s">
        <v>4</v>
      </c>
      <c r="D664" s="8" t="s">
        <v>3</v>
      </c>
      <c r="E664" s="8" t="s">
        <v>41</v>
      </c>
      <c r="F664" s="8" t="s">
        <v>6</v>
      </c>
      <c r="G664" s="8" t="s">
        <v>3</v>
      </c>
      <c r="H664" s="8" t="s">
        <v>3760</v>
      </c>
      <c r="I664" s="8" t="s">
        <v>41</v>
      </c>
      <c r="J664" s="8" t="s">
        <v>41</v>
      </c>
      <c r="K664" s="8"/>
      <c r="L664" s="8" t="s">
        <v>110</v>
      </c>
      <c r="M664" s="11" t="s">
        <v>3750</v>
      </c>
      <c r="N664" s="8">
        <v>17</v>
      </c>
      <c r="O664" s="8">
        <v>8</v>
      </c>
      <c r="P664" s="8">
        <v>9</v>
      </c>
      <c r="Q664" s="8">
        <v>2</v>
      </c>
      <c r="R664" s="8">
        <v>2</v>
      </c>
      <c r="S664" s="8">
        <v>2</v>
      </c>
      <c r="T664" s="8">
        <v>0</v>
      </c>
      <c r="U664" s="8">
        <v>3</v>
      </c>
      <c r="V664" s="8">
        <v>2</v>
      </c>
      <c r="W664" s="8">
        <v>5</v>
      </c>
      <c r="X664" s="8">
        <v>2</v>
      </c>
      <c r="Y664" s="8">
        <v>5</v>
      </c>
      <c r="Z664" s="8">
        <v>2</v>
      </c>
      <c r="AA664" s="8">
        <v>0</v>
      </c>
      <c r="AB664" s="8">
        <v>0</v>
      </c>
      <c r="AC664" s="19">
        <f t="shared" si="60"/>
        <v>0</v>
      </c>
      <c r="AD664" s="19">
        <f t="shared" si="61"/>
        <v>2</v>
      </c>
      <c r="AE664" s="19">
        <f t="shared" si="62"/>
        <v>1</v>
      </c>
      <c r="AF664" s="19">
        <f t="shared" si="63"/>
        <v>3</v>
      </c>
      <c r="AG664" s="19">
        <f t="shared" si="64"/>
        <v>3</v>
      </c>
      <c r="AH664" s="19">
        <f t="shared" si="65"/>
        <v>0</v>
      </c>
    </row>
    <row r="665" spans="1:34">
      <c r="A665" s="8" t="s">
        <v>3751</v>
      </c>
      <c r="B665" s="8" t="s">
        <v>3752</v>
      </c>
      <c r="C665" s="8" t="s">
        <v>304</v>
      </c>
      <c r="D665" s="8" t="s">
        <v>7</v>
      </c>
      <c r="E665" s="8" t="s">
        <v>68</v>
      </c>
      <c r="F665" s="8" t="s">
        <v>5</v>
      </c>
      <c r="G665" s="8" t="s">
        <v>3</v>
      </c>
      <c r="H665" s="8" t="s">
        <v>749</v>
      </c>
      <c r="I665" s="8" t="s">
        <v>41</v>
      </c>
      <c r="J665" s="8" t="s">
        <v>41</v>
      </c>
      <c r="K665" s="8"/>
      <c r="L665" s="8" t="s">
        <v>110</v>
      </c>
      <c r="M665" s="11" t="s">
        <v>3753</v>
      </c>
      <c r="N665" s="8">
        <v>54</v>
      </c>
      <c r="O665" s="8">
        <v>23</v>
      </c>
      <c r="P665" s="8">
        <v>31</v>
      </c>
      <c r="Q665" s="8">
        <v>4</v>
      </c>
      <c r="R665" s="8">
        <v>3</v>
      </c>
      <c r="S665" s="8">
        <v>15</v>
      </c>
      <c r="T665" s="8">
        <v>3</v>
      </c>
      <c r="U665" s="8">
        <v>5</v>
      </c>
      <c r="V665" s="8">
        <v>3</v>
      </c>
      <c r="W665" s="8">
        <v>17</v>
      </c>
      <c r="X665" s="8">
        <v>8</v>
      </c>
      <c r="Y665" s="8">
        <v>13</v>
      </c>
      <c r="Z665" s="8">
        <v>6</v>
      </c>
      <c r="AA665" s="8">
        <v>0</v>
      </c>
      <c r="AB665" s="8">
        <v>0</v>
      </c>
      <c r="AC665" s="19">
        <f t="shared" si="60"/>
        <v>1</v>
      </c>
      <c r="AD665" s="19">
        <f t="shared" si="61"/>
        <v>12</v>
      </c>
      <c r="AE665" s="19">
        <f t="shared" si="62"/>
        <v>2</v>
      </c>
      <c r="AF665" s="19">
        <f t="shared" si="63"/>
        <v>9</v>
      </c>
      <c r="AG665" s="19">
        <f t="shared" si="64"/>
        <v>7</v>
      </c>
      <c r="AH665" s="19">
        <f t="shared" si="65"/>
        <v>0</v>
      </c>
    </row>
    <row r="666" spans="1:34">
      <c r="A666" s="8" t="s">
        <v>3754</v>
      </c>
      <c r="B666" s="8" t="s">
        <v>3755</v>
      </c>
      <c r="C666" s="8" t="s">
        <v>9</v>
      </c>
      <c r="D666" s="8" t="s">
        <v>3</v>
      </c>
      <c r="E666" s="8" t="s">
        <v>110</v>
      </c>
      <c r="F666" s="8" t="s">
        <v>3</v>
      </c>
      <c r="G666" s="8" t="s">
        <v>7</v>
      </c>
      <c r="H666" s="8" t="s">
        <v>3761</v>
      </c>
      <c r="I666" s="8" t="s">
        <v>41</v>
      </c>
      <c r="J666" s="8" t="s">
        <v>43</v>
      </c>
      <c r="K666" s="8"/>
      <c r="L666" s="8" t="s">
        <v>110</v>
      </c>
      <c r="M666" s="11" t="s">
        <v>3756</v>
      </c>
      <c r="N666" s="8">
        <v>14</v>
      </c>
      <c r="O666" s="8">
        <v>5</v>
      </c>
      <c r="P666" s="8">
        <v>9</v>
      </c>
      <c r="Q666" s="8">
        <v>2</v>
      </c>
      <c r="R666" s="8">
        <v>1</v>
      </c>
      <c r="S666" s="8">
        <v>1</v>
      </c>
      <c r="T666" s="8">
        <v>1</v>
      </c>
      <c r="U666" s="8">
        <v>7</v>
      </c>
      <c r="V666" s="8">
        <v>2</v>
      </c>
      <c r="W666" s="8">
        <v>2</v>
      </c>
      <c r="X666" s="8">
        <v>0</v>
      </c>
      <c r="Y666" s="8">
        <v>2</v>
      </c>
      <c r="Z666" s="8">
        <v>1</v>
      </c>
      <c r="AA666" s="8">
        <v>0</v>
      </c>
      <c r="AB666" s="8">
        <v>0</v>
      </c>
      <c r="AC666" s="19">
        <f t="shared" si="60"/>
        <v>1</v>
      </c>
      <c r="AD666" s="19">
        <f t="shared" si="61"/>
        <v>0</v>
      </c>
      <c r="AE666" s="19">
        <f t="shared" si="62"/>
        <v>5</v>
      </c>
      <c r="AF666" s="19">
        <f t="shared" si="63"/>
        <v>2</v>
      </c>
      <c r="AG666" s="19">
        <f t="shared" si="64"/>
        <v>1</v>
      </c>
      <c r="AH666" s="19">
        <f t="shared" si="65"/>
        <v>0</v>
      </c>
    </row>
    <row r="667" spans="1:34">
      <c r="A667" s="8" t="s">
        <v>3757</v>
      </c>
      <c r="B667" s="8" t="s">
        <v>3758</v>
      </c>
      <c r="C667" s="8" t="s">
        <v>9</v>
      </c>
      <c r="D667" s="8" t="s">
        <v>4</v>
      </c>
      <c r="E667" s="8" t="s">
        <v>110</v>
      </c>
      <c r="F667" s="8" t="s">
        <v>3</v>
      </c>
      <c r="G667" s="8" t="s">
        <v>5</v>
      </c>
      <c r="H667" s="8" t="s">
        <v>3762</v>
      </c>
      <c r="I667" s="8" t="s">
        <v>41</v>
      </c>
      <c r="J667" s="8" t="s">
        <v>41</v>
      </c>
      <c r="K667" s="8"/>
      <c r="L667" s="8" t="s">
        <v>110</v>
      </c>
      <c r="M667" s="11" t="s">
        <v>3759</v>
      </c>
      <c r="N667" s="8">
        <v>47</v>
      </c>
      <c r="O667" s="8">
        <v>22</v>
      </c>
      <c r="P667" s="8">
        <v>25</v>
      </c>
      <c r="Q667" s="8">
        <v>10</v>
      </c>
      <c r="R667" s="8">
        <v>4</v>
      </c>
      <c r="S667" s="8">
        <v>16</v>
      </c>
      <c r="T667" s="8">
        <v>7</v>
      </c>
      <c r="U667" s="8">
        <v>11</v>
      </c>
      <c r="V667" s="8">
        <v>5</v>
      </c>
      <c r="W667" s="8">
        <v>7</v>
      </c>
      <c r="X667" s="8">
        <v>4</v>
      </c>
      <c r="Y667" s="8">
        <v>3</v>
      </c>
      <c r="Z667" s="8">
        <v>2</v>
      </c>
      <c r="AA667" s="8">
        <v>0</v>
      </c>
      <c r="AB667" s="8">
        <v>0</v>
      </c>
      <c r="AC667" s="19">
        <f t="shared" si="60"/>
        <v>6</v>
      </c>
      <c r="AD667" s="19">
        <f t="shared" si="61"/>
        <v>9</v>
      </c>
      <c r="AE667" s="19">
        <f t="shared" si="62"/>
        <v>6</v>
      </c>
      <c r="AF667" s="19">
        <f t="shared" si="63"/>
        <v>3</v>
      </c>
      <c r="AG667" s="19">
        <f t="shared" si="64"/>
        <v>1</v>
      </c>
      <c r="AH667" s="19">
        <f t="shared" si="65"/>
        <v>0</v>
      </c>
    </row>
    <row r="668" spans="1:34">
      <c r="A668" s="8" t="s">
        <v>3968</v>
      </c>
      <c r="B668" s="8" t="s">
        <v>1992</v>
      </c>
      <c r="C668" s="8" t="s">
        <v>957</v>
      </c>
      <c r="D668" s="8" t="s">
        <v>6</v>
      </c>
      <c r="E668" s="8" t="s">
        <v>41</v>
      </c>
      <c r="F668" s="8" t="s">
        <v>12</v>
      </c>
      <c r="G668" s="8" t="s">
        <v>7</v>
      </c>
      <c r="H668" s="8" t="s">
        <v>5496</v>
      </c>
      <c r="I668" s="8" t="s">
        <v>43</v>
      </c>
      <c r="J668" s="8" t="s">
        <v>41</v>
      </c>
      <c r="K668" s="8"/>
      <c r="L668" s="8" t="s">
        <v>110</v>
      </c>
      <c r="M668" s="11" t="s">
        <v>3980</v>
      </c>
      <c r="N668" s="8">
        <v>0</v>
      </c>
      <c r="O668" s="8">
        <v>0</v>
      </c>
      <c r="P668" s="8">
        <v>0</v>
      </c>
      <c r="Q668" s="8">
        <v>0</v>
      </c>
      <c r="R668" s="8">
        <v>0</v>
      </c>
      <c r="S668" s="8">
        <v>0</v>
      </c>
      <c r="T668" s="8">
        <v>0</v>
      </c>
      <c r="U668" s="8">
        <v>0</v>
      </c>
      <c r="V668" s="8">
        <v>0</v>
      </c>
      <c r="W668" s="8">
        <v>0</v>
      </c>
      <c r="X668" s="8">
        <v>0</v>
      </c>
      <c r="Y668" s="8">
        <v>0</v>
      </c>
      <c r="Z668" s="8">
        <v>0</v>
      </c>
      <c r="AA668" s="8">
        <v>0</v>
      </c>
      <c r="AB668" s="8">
        <v>0</v>
      </c>
      <c r="AC668" s="19">
        <f t="shared" si="60"/>
        <v>0</v>
      </c>
      <c r="AD668" s="19">
        <f t="shared" si="61"/>
        <v>0</v>
      </c>
      <c r="AE668" s="19">
        <f t="shared" si="62"/>
        <v>0</v>
      </c>
      <c r="AF668" s="19">
        <f t="shared" si="63"/>
        <v>0</v>
      </c>
      <c r="AG668" s="19">
        <f t="shared" si="64"/>
        <v>0</v>
      </c>
      <c r="AH668" s="19">
        <f t="shared" si="65"/>
        <v>0</v>
      </c>
    </row>
    <row r="669" spans="1:34">
      <c r="A669" s="8" t="s">
        <v>3969</v>
      </c>
      <c r="B669" s="8" t="s">
        <v>1992</v>
      </c>
      <c r="C669" s="8" t="s">
        <v>13</v>
      </c>
      <c r="D669" s="8" t="s">
        <v>5</v>
      </c>
      <c r="E669" s="8" t="s">
        <v>126</v>
      </c>
      <c r="F669" s="8" t="s">
        <v>5</v>
      </c>
      <c r="G669" s="8" t="s">
        <v>6</v>
      </c>
      <c r="H669" s="8" t="s">
        <v>804</v>
      </c>
      <c r="I669" s="8" t="s">
        <v>43</v>
      </c>
      <c r="J669" s="8" t="s">
        <v>41</v>
      </c>
      <c r="K669" s="8"/>
      <c r="L669" s="8" t="s">
        <v>110</v>
      </c>
      <c r="M669" s="11" t="s">
        <v>3981</v>
      </c>
      <c r="N669" s="8">
        <v>0</v>
      </c>
      <c r="O669" s="8">
        <v>0</v>
      </c>
      <c r="P669" s="8">
        <v>0</v>
      </c>
      <c r="Q669" s="8">
        <v>0</v>
      </c>
      <c r="R669" s="8">
        <v>0</v>
      </c>
      <c r="S669" s="8">
        <v>0</v>
      </c>
      <c r="T669" s="8">
        <v>0</v>
      </c>
      <c r="U669" s="8">
        <v>0</v>
      </c>
      <c r="V669" s="8">
        <v>0</v>
      </c>
      <c r="W669" s="8">
        <v>0</v>
      </c>
      <c r="X669" s="8">
        <v>0</v>
      </c>
      <c r="Y669" s="8">
        <v>0</v>
      </c>
      <c r="Z669" s="8">
        <v>0</v>
      </c>
      <c r="AA669" s="8">
        <v>0</v>
      </c>
      <c r="AB669" s="8">
        <v>0</v>
      </c>
      <c r="AC669" s="19">
        <f t="shared" si="60"/>
        <v>0</v>
      </c>
      <c r="AD669" s="19">
        <f t="shared" si="61"/>
        <v>0</v>
      </c>
      <c r="AE669" s="19">
        <f t="shared" si="62"/>
        <v>0</v>
      </c>
      <c r="AF669" s="19">
        <f t="shared" si="63"/>
        <v>0</v>
      </c>
      <c r="AG669" s="19">
        <f t="shared" si="64"/>
        <v>0</v>
      </c>
      <c r="AH669" s="19">
        <f t="shared" si="65"/>
        <v>0</v>
      </c>
    </row>
    <row r="670" spans="1:34">
      <c r="A670" s="8" t="s">
        <v>3970</v>
      </c>
      <c r="B670" s="8" t="s">
        <v>1992</v>
      </c>
      <c r="C670" s="8" t="s">
        <v>3</v>
      </c>
      <c r="D670" s="8" t="s">
        <v>5</v>
      </c>
      <c r="E670" s="8" t="s">
        <v>41</v>
      </c>
      <c r="F670" s="8" t="s">
        <v>70</v>
      </c>
      <c r="G670" s="8" t="s">
        <v>4</v>
      </c>
      <c r="H670" s="8" t="s">
        <v>3989</v>
      </c>
      <c r="I670" s="8" t="s">
        <v>43</v>
      </c>
      <c r="J670" s="8" t="s">
        <v>41</v>
      </c>
      <c r="K670" s="8"/>
      <c r="L670" s="8" t="s">
        <v>110</v>
      </c>
      <c r="M670" s="11" t="s">
        <v>4041</v>
      </c>
      <c r="N670" s="8">
        <v>11</v>
      </c>
      <c r="O670" s="8">
        <v>7</v>
      </c>
      <c r="P670" s="8">
        <v>4</v>
      </c>
      <c r="Q670" s="8">
        <v>6</v>
      </c>
      <c r="R670" s="8">
        <v>4</v>
      </c>
      <c r="S670" s="8">
        <v>3</v>
      </c>
      <c r="T670" s="8">
        <v>2</v>
      </c>
      <c r="U670" s="8">
        <v>1</v>
      </c>
      <c r="V670" s="8">
        <v>1</v>
      </c>
      <c r="W670" s="8">
        <v>1</v>
      </c>
      <c r="X670" s="8">
        <v>0</v>
      </c>
      <c r="Y670" s="8">
        <v>0</v>
      </c>
      <c r="Z670" s="8">
        <v>0</v>
      </c>
      <c r="AA670" s="8">
        <v>0</v>
      </c>
      <c r="AB670" s="8">
        <v>0</v>
      </c>
      <c r="AC670" s="19">
        <f t="shared" si="60"/>
        <v>2</v>
      </c>
      <c r="AD670" s="19">
        <f t="shared" si="61"/>
        <v>1</v>
      </c>
      <c r="AE670" s="19">
        <f t="shared" si="62"/>
        <v>0</v>
      </c>
      <c r="AF670" s="19">
        <f t="shared" si="63"/>
        <v>1</v>
      </c>
      <c r="AG670" s="19">
        <f t="shared" si="64"/>
        <v>0</v>
      </c>
      <c r="AH670" s="19">
        <f t="shared" si="65"/>
        <v>0</v>
      </c>
    </row>
    <row r="671" spans="1:34">
      <c r="A671" s="8" t="s">
        <v>3971</v>
      </c>
      <c r="B671" s="8" t="s">
        <v>1992</v>
      </c>
      <c r="C671" s="8" t="s">
        <v>953</v>
      </c>
      <c r="D671" s="8" t="s">
        <v>5</v>
      </c>
      <c r="E671" s="8" t="s">
        <v>110</v>
      </c>
      <c r="F671" s="8" t="s">
        <v>13</v>
      </c>
      <c r="G671" s="8" t="s">
        <v>3</v>
      </c>
      <c r="H671" s="8" t="s">
        <v>453</v>
      </c>
      <c r="I671" s="8" t="s">
        <v>43</v>
      </c>
      <c r="J671" s="8" t="s">
        <v>43</v>
      </c>
      <c r="K671" s="8"/>
      <c r="L671" s="8" t="s">
        <v>110</v>
      </c>
      <c r="M671" s="11" t="s">
        <v>3982</v>
      </c>
      <c r="N671" s="8">
        <v>2</v>
      </c>
      <c r="O671" s="8">
        <v>0</v>
      </c>
      <c r="P671" s="8">
        <v>2</v>
      </c>
      <c r="Q671" s="8">
        <v>0</v>
      </c>
      <c r="R671" s="8">
        <v>0</v>
      </c>
      <c r="S671" s="8">
        <v>1</v>
      </c>
      <c r="T671" s="8">
        <v>0</v>
      </c>
      <c r="U671" s="8">
        <v>0</v>
      </c>
      <c r="V671" s="8">
        <v>0</v>
      </c>
      <c r="W671" s="8">
        <v>0</v>
      </c>
      <c r="X671" s="8">
        <v>0</v>
      </c>
      <c r="Y671" s="8">
        <v>1</v>
      </c>
      <c r="Z671" s="8">
        <v>0</v>
      </c>
      <c r="AA671" s="8">
        <v>0</v>
      </c>
      <c r="AB671" s="8">
        <v>0</v>
      </c>
      <c r="AC671" s="19">
        <f t="shared" si="60"/>
        <v>0</v>
      </c>
      <c r="AD671" s="19">
        <f t="shared" si="61"/>
        <v>1</v>
      </c>
      <c r="AE671" s="19">
        <f t="shared" si="62"/>
        <v>0</v>
      </c>
      <c r="AF671" s="19">
        <f t="shared" si="63"/>
        <v>0</v>
      </c>
      <c r="AG671" s="19">
        <f t="shared" si="64"/>
        <v>1</v>
      </c>
      <c r="AH671" s="19">
        <f t="shared" si="65"/>
        <v>0</v>
      </c>
    </row>
    <row r="672" spans="1:34">
      <c r="A672" s="8" t="s">
        <v>3792</v>
      </c>
      <c r="B672" s="8" t="s">
        <v>3793</v>
      </c>
      <c r="C672" s="8" t="s">
        <v>9</v>
      </c>
      <c r="D672" s="8" t="s">
        <v>3</v>
      </c>
      <c r="E672" s="8" t="s">
        <v>110</v>
      </c>
      <c r="F672" s="8" t="s">
        <v>12</v>
      </c>
      <c r="G672" s="8" t="s">
        <v>3</v>
      </c>
      <c r="H672" s="8" t="s">
        <v>54</v>
      </c>
      <c r="I672" s="8" t="s">
        <v>56</v>
      </c>
      <c r="J672" s="8" t="s">
        <v>41</v>
      </c>
      <c r="K672" s="8"/>
      <c r="L672" s="8" t="s">
        <v>110</v>
      </c>
      <c r="M672" s="11" t="s">
        <v>3794</v>
      </c>
      <c r="N672" s="8">
        <v>3</v>
      </c>
      <c r="O672" s="8">
        <v>3</v>
      </c>
      <c r="P672" s="8">
        <v>0</v>
      </c>
      <c r="Q672" s="8">
        <v>1</v>
      </c>
      <c r="R672" s="8">
        <v>1</v>
      </c>
      <c r="S672" s="8">
        <v>0</v>
      </c>
      <c r="T672" s="8">
        <v>0</v>
      </c>
      <c r="U672" s="8">
        <v>0</v>
      </c>
      <c r="V672" s="8">
        <v>0</v>
      </c>
      <c r="W672" s="8">
        <v>2</v>
      </c>
      <c r="X672" s="8">
        <v>2</v>
      </c>
      <c r="Y672" s="8">
        <v>0</v>
      </c>
      <c r="Z672" s="8">
        <v>0</v>
      </c>
      <c r="AA672" s="8">
        <v>0</v>
      </c>
      <c r="AB672" s="8">
        <v>0</v>
      </c>
      <c r="AC672" s="19">
        <f t="shared" si="60"/>
        <v>0</v>
      </c>
      <c r="AD672" s="19">
        <f t="shared" si="61"/>
        <v>0</v>
      </c>
      <c r="AE672" s="19">
        <f t="shared" si="62"/>
        <v>0</v>
      </c>
      <c r="AF672" s="19">
        <f t="shared" si="63"/>
        <v>0</v>
      </c>
      <c r="AG672" s="19">
        <f t="shared" si="64"/>
        <v>0</v>
      </c>
      <c r="AH672" s="19">
        <f t="shared" si="65"/>
        <v>0</v>
      </c>
    </row>
    <row r="673" spans="1:34">
      <c r="A673" s="8" t="s">
        <v>3972</v>
      </c>
      <c r="B673" s="8" t="s">
        <v>1992</v>
      </c>
      <c r="C673" s="8" t="s">
        <v>12</v>
      </c>
      <c r="D673" s="8" t="s">
        <v>8</v>
      </c>
      <c r="E673" s="8" t="s">
        <v>126</v>
      </c>
      <c r="F673" s="8" t="s">
        <v>4</v>
      </c>
      <c r="G673" s="8" t="s">
        <v>8</v>
      </c>
      <c r="H673" s="8" t="s">
        <v>800</v>
      </c>
      <c r="I673" s="8" t="s">
        <v>43</v>
      </c>
      <c r="J673" s="8" t="s">
        <v>43</v>
      </c>
      <c r="K673" s="8"/>
      <c r="L673" s="8" t="s">
        <v>110</v>
      </c>
      <c r="M673" s="11" t="s">
        <v>3983</v>
      </c>
      <c r="N673" s="8">
        <v>0</v>
      </c>
      <c r="O673" s="8">
        <v>0</v>
      </c>
      <c r="P673" s="8">
        <v>0</v>
      </c>
      <c r="Q673" s="8">
        <v>0</v>
      </c>
      <c r="R673" s="8">
        <v>0</v>
      </c>
      <c r="S673" s="8">
        <v>0</v>
      </c>
      <c r="T673" s="8">
        <v>0</v>
      </c>
      <c r="U673" s="8">
        <v>0</v>
      </c>
      <c r="V673" s="8">
        <v>0</v>
      </c>
      <c r="W673" s="8">
        <v>0</v>
      </c>
      <c r="X673" s="8">
        <v>0</v>
      </c>
      <c r="Y673" s="8">
        <v>0</v>
      </c>
      <c r="Z673" s="8">
        <v>0</v>
      </c>
      <c r="AA673" s="8">
        <v>0</v>
      </c>
      <c r="AB673" s="8">
        <v>0</v>
      </c>
      <c r="AC673" s="19">
        <f t="shared" si="60"/>
        <v>0</v>
      </c>
      <c r="AD673" s="19">
        <f t="shared" si="61"/>
        <v>0</v>
      </c>
      <c r="AE673" s="19">
        <f t="shared" si="62"/>
        <v>0</v>
      </c>
      <c r="AF673" s="19">
        <f t="shared" si="63"/>
        <v>0</v>
      </c>
      <c r="AG673" s="19">
        <f t="shared" si="64"/>
        <v>0</v>
      </c>
      <c r="AH673" s="19">
        <f t="shared" si="65"/>
        <v>0</v>
      </c>
    </row>
    <row r="674" spans="1:34">
      <c r="A674" s="8" t="s">
        <v>4097</v>
      </c>
      <c r="B674" s="8" t="s">
        <v>4098</v>
      </c>
      <c r="C674" s="8" t="s">
        <v>11</v>
      </c>
      <c r="D674" s="8" t="s">
        <v>3</v>
      </c>
      <c r="E674" s="8" t="s">
        <v>126</v>
      </c>
      <c r="F674" s="8" t="s">
        <v>13</v>
      </c>
      <c r="G674" s="8" t="s">
        <v>3</v>
      </c>
      <c r="H674" s="8" t="s">
        <v>2095</v>
      </c>
      <c r="I674" s="8" t="s">
        <v>41</v>
      </c>
      <c r="J674" s="8" t="s">
        <v>41</v>
      </c>
      <c r="K674" s="8"/>
      <c r="L674" s="8" t="s">
        <v>110</v>
      </c>
      <c r="M674" s="11" t="s">
        <v>4401</v>
      </c>
      <c r="N674" s="8">
        <v>93</v>
      </c>
      <c r="O674" s="8">
        <v>54</v>
      </c>
      <c r="P674" s="8">
        <v>39</v>
      </c>
      <c r="Q674" s="8">
        <v>14</v>
      </c>
      <c r="R674" s="8">
        <v>7</v>
      </c>
      <c r="S674" s="8">
        <v>19</v>
      </c>
      <c r="T674" s="8">
        <v>11</v>
      </c>
      <c r="U674" s="8">
        <v>8</v>
      </c>
      <c r="V674" s="8">
        <v>6</v>
      </c>
      <c r="W674" s="8">
        <v>31</v>
      </c>
      <c r="X674" s="8">
        <v>20</v>
      </c>
      <c r="Y674" s="8">
        <v>21</v>
      </c>
      <c r="Z674" s="8">
        <v>10</v>
      </c>
      <c r="AA674" s="8">
        <v>0</v>
      </c>
      <c r="AB674" s="8">
        <v>0</v>
      </c>
      <c r="AC674" s="19">
        <f t="shared" si="60"/>
        <v>7</v>
      </c>
      <c r="AD674" s="19">
        <f t="shared" si="61"/>
        <v>8</v>
      </c>
      <c r="AE674" s="19">
        <f t="shared" si="62"/>
        <v>2</v>
      </c>
      <c r="AF674" s="19">
        <f t="shared" si="63"/>
        <v>11</v>
      </c>
      <c r="AG674" s="19">
        <f t="shared" si="64"/>
        <v>11</v>
      </c>
      <c r="AH674" s="19">
        <f t="shared" si="65"/>
        <v>0</v>
      </c>
    </row>
    <row r="675" spans="1:34">
      <c r="A675" s="8" t="s">
        <v>4302</v>
      </c>
      <c r="B675" s="8" t="s">
        <v>1992</v>
      </c>
      <c r="C675" s="8" t="s">
        <v>13</v>
      </c>
      <c r="D675" s="8" t="s">
        <v>5</v>
      </c>
      <c r="E675" s="8" t="s">
        <v>126</v>
      </c>
      <c r="F675" s="8" t="s">
        <v>5</v>
      </c>
      <c r="G675" s="8" t="s">
        <v>12</v>
      </c>
      <c r="H675" s="8" t="s">
        <v>4751</v>
      </c>
      <c r="I675" s="8" t="s">
        <v>43</v>
      </c>
      <c r="J675" s="8" t="s">
        <v>41</v>
      </c>
      <c r="K675" s="8"/>
      <c r="L675" s="8" t="s">
        <v>110</v>
      </c>
      <c r="M675" s="11" t="s">
        <v>4303</v>
      </c>
      <c r="N675" s="8">
        <v>0</v>
      </c>
      <c r="O675" s="8">
        <v>0</v>
      </c>
      <c r="P675" s="8">
        <v>0</v>
      </c>
      <c r="Q675" s="8">
        <v>0</v>
      </c>
      <c r="R675" s="8">
        <v>0</v>
      </c>
      <c r="S675" s="8">
        <v>0</v>
      </c>
      <c r="T675" s="8">
        <v>0</v>
      </c>
      <c r="U675" s="8">
        <v>0</v>
      </c>
      <c r="V675" s="8">
        <v>0</v>
      </c>
      <c r="W675" s="8">
        <v>0</v>
      </c>
      <c r="X675" s="8">
        <v>0</v>
      </c>
      <c r="Y675" s="8">
        <v>0</v>
      </c>
      <c r="Z675" s="8">
        <v>0</v>
      </c>
      <c r="AA675" s="8">
        <v>0</v>
      </c>
      <c r="AB675" s="8">
        <v>0</v>
      </c>
      <c r="AC675" s="19">
        <f t="shared" si="60"/>
        <v>0</v>
      </c>
      <c r="AD675" s="19">
        <f t="shared" si="61"/>
        <v>0</v>
      </c>
      <c r="AE675" s="19">
        <f t="shared" si="62"/>
        <v>0</v>
      </c>
      <c r="AF675" s="19">
        <f t="shared" si="63"/>
        <v>0</v>
      </c>
      <c r="AG675" s="19">
        <f t="shared" si="64"/>
        <v>0</v>
      </c>
      <c r="AH675" s="19">
        <f t="shared" si="65"/>
        <v>0</v>
      </c>
    </row>
    <row r="676" spans="1:34">
      <c r="A676" s="8" t="s">
        <v>4304</v>
      </c>
      <c r="B676" s="8" t="s">
        <v>1992</v>
      </c>
      <c r="C676" s="8" t="s">
        <v>12</v>
      </c>
      <c r="D676" s="8" t="s">
        <v>3</v>
      </c>
      <c r="E676" s="8" t="s">
        <v>126</v>
      </c>
      <c r="F676" s="8" t="s">
        <v>4</v>
      </c>
      <c r="G676" s="8" t="s">
        <v>3</v>
      </c>
      <c r="H676" s="8" t="s">
        <v>798</v>
      </c>
      <c r="I676" s="8" t="s">
        <v>41</v>
      </c>
      <c r="J676" s="8" t="s">
        <v>41</v>
      </c>
      <c r="K676" s="8"/>
      <c r="L676" s="8" t="s">
        <v>110</v>
      </c>
      <c r="M676" s="11" t="s">
        <v>4305</v>
      </c>
      <c r="N676" s="8">
        <v>5</v>
      </c>
      <c r="O676" s="8">
        <v>2</v>
      </c>
      <c r="P676" s="8">
        <v>3</v>
      </c>
      <c r="Q676" s="8">
        <v>0</v>
      </c>
      <c r="R676" s="8">
        <v>0</v>
      </c>
      <c r="S676" s="8">
        <v>0</v>
      </c>
      <c r="T676" s="8">
        <v>0</v>
      </c>
      <c r="U676" s="8">
        <v>0</v>
      </c>
      <c r="V676" s="8">
        <v>0</v>
      </c>
      <c r="W676" s="8">
        <v>5</v>
      </c>
      <c r="X676" s="8">
        <v>2</v>
      </c>
      <c r="Y676" s="8">
        <v>0</v>
      </c>
      <c r="Z676" s="8">
        <v>0</v>
      </c>
      <c r="AA676" s="8">
        <v>0</v>
      </c>
      <c r="AB676" s="8">
        <v>0</v>
      </c>
      <c r="AC676" s="19">
        <f t="shared" si="60"/>
        <v>0</v>
      </c>
      <c r="AD676" s="19">
        <f t="shared" si="61"/>
        <v>0</v>
      </c>
      <c r="AE676" s="19">
        <f t="shared" si="62"/>
        <v>0</v>
      </c>
      <c r="AF676" s="19">
        <f t="shared" si="63"/>
        <v>3</v>
      </c>
      <c r="AG676" s="19">
        <f t="shared" si="64"/>
        <v>0</v>
      </c>
      <c r="AH676" s="19">
        <f t="shared" si="65"/>
        <v>0</v>
      </c>
    </row>
    <row r="677" spans="1:34">
      <c r="A677" s="8" t="s">
        <v>4306</v>
      </c>
      <c r="B677" s="8" t="s">
        <v>1992</v>
      </c>
      <c r="C677" s="8" t="s">
        <v>957</v>
      </c>
      <c r="D677" s="8" t="s">
        <v>5</v>
      </c>
      <c r="E677" s="8" t="s">
        <v>41</v>
      </c>
      <c r="F677" s="8" t="s">
        <v>4</v>
      </c>
      <c r="G677" s="8" t="s">
        <v>5</v>
      </c>
      <c r="H677" s="8" t="s">
        <v>4325</v>
      </c>
      <c r="I677" s="8" t="s">
        <v>43</v>
      </c>
      <c r="J677" s="8" t="s">
        <v>41</v>
      </c>
      <c r="K677" s="8"/>
      <c r="L677" s="8" t="s">
        <v>110</v>
      </c>
      <c r="M677" s="11" t="s">
        <v>679</v>
      </c>
      <c r="N677" s="8">
        <v>3</v>
      </c>
      <c r="O677" s="8">
        <v>3</v>
      </c>
      <c r="P677" s="8">
        <v>0</v>
      </c>
      <c r="Q677" s="8">
        <v>2</v>
      </c>
      <c r="R677" s="8">
        <v>2</v>
      </c>
      <c r="S677" s="8">
        <v>1</v>
      </c>
      <c r="T677" s="8">
        <v>1</v>
      </c>
      <c r="U677" s="8">
        <v>0</v>
      </c>
      <c r="V677" s="8">
        <v>0</v>
      </c>
      <c r="W677" s="8">
        <v>0</v>
      </c>
      <c r="X677" s="8">
        <v>0</v>
      </c>
      <c r="Y677" s="8">
        <v>0</v>
      </c>
      <c r="Z677" s="8">
        <v>0</v>
      </c>
      <c r="AA677" s="8">
        <v>0</v>
      </c>
      <c r="AB677" s="8">
        <v>0</v>
      </c>
      <c r="AC677" s="19">
        <f t="shared" si="60"/>
        <v>0</v>
      </c>
      <c r="AD677" s="19">
        <f t="shared" si="61"/>
        <v>0</v>
      </c>
      <c r="AE677" s="19">
        <f t="shared" si="62"/>
        <v>0</v>
      </c>
      <c r="AF677" s="19">
        <f t="shared" si="63"/>
        <v>0</v>
      </c>
      <c r="AG677" s="19">
        <f t="shared" si="64"/>
        <v>0</v>
      </c>
      <c r="AH677" s="19">
        <f t="shared" si="65"/>
        <v>0</v>
      </c>
    </row>
    <row r="678" spans="1:34">
      <c r="A678" s="8" t="s">
        <v>4307</v>
      </c>
      <c r="B678" s="8" t="s">
        <v>1992</v>
      </c>
      <c r="C678" s="8" t="s">
        <v>118</v>
      </c>
      <c r="D678" s="8" t="s">
        <v>5</v>
      </c>
      <c r="E678" s="8" t="s">
        <v>41</v>
      </c>
      <c r="F678" s="8" t="s">
        <v>388</v>
      </c>
      <c r="G678" s="8" t="s">
        <v>5</v>
      </c>
      <c r="H678" s="8" t="s">
        <v>422</v>
      </c>
      <c r="I678" s="8" t="s">
        <v>43</v>
      </c>
      <c r="J678" s="8" t="s">
        <v>41</v>
      </c>
      <c r="K678" s="8"/>
      <c r="L678" s="8" t="s">
        <v>110</v>
      </c>
      <c r="M678" s="11" t="s">
        <v>4308</v>
      </c>
      <c r="N678" s="8">
        <v>0</v>
      </c>
      <c r="O678" s="8">
        <v>0</v>
      </c>
      <c r="P678" s="8">
        <v>0</v>
      </c>
      <c r="Q678" s="8">
        <v>0</v>
      </c>
      <c r="R678" s="8">
        <v>0</v>
      </c>
      <c r="S678" s="8">
        <v>0</v>
      </c>
      <c r="T678" s="8">
        <v>0</v>
      </c>
      <c r="U678" s="8">
        <v>0</v>
      </c>
      <c r="V678" s="8">
        <v>0</v>
      </c>
      <c r="W678" s="8">
        <v>0</v>
      </c>
      <c r="X678" s="8">
        <v>0</v>
      </c>
      <c r="Y678" s="8">
        <v>0</v>
      </c>
      <c r="Z678" s="8">
        <v>0</v>
      </c>
      <c r="AA678" s="8">
        <v>0</v>
      </c>
      <c r="AB678" s="8">
        <v>0</v>
      </c>
      <c r="AC678" s="19">
        <f t="shared" si="60"/>
        <v>0</v>
      </c>
      <c r="AD678" s="19">
        <f t="shared" si="61"/>
        <v>0</v>
      </c>
      <c r="AE678" s="19">
        <f t="shared" si="62"/>
        <v>0</v>
      </c>
      <c r="AF678" s="19">
        <f t="shared" si="63"/>
        <v>0</v>
      </c>
      <c r="AG678" s="19">
        <f t="shared" si="64"/>
        <v>0</v>
      </c>
      <c r="AH678" s="19">
        <f t="shared" si="65"/>
        <v>0</v>
      </c>
    </row>
    <row r="679" spans="1:34">
      <c r="A679" s="8" t="s">
        <v>4309</v>
      </c>
      <c r="B679" s="8" t="s">
        <v>1992</v>
      </c>
      <c r="C679" s="8" t="s">
        <v>953</v>
      </c>
      <c r="D679" s="8" t="s">
        <v>4</v>
      </c>
      <c r="E679" s="8" t="s">
        <v>110</v>
      </c>
      <c r="F679" s="8" t="s">
        <v>13</v>
      </c>
      <c r="G679" s="8" t="s">
        <v>5</v>
      </c>
      <c r="H679" s="8" t="s">
        <v>4374</v>
      </c>
      <c r="I679" s="8" t="s">
        <v>41</v>
      </c>
      <c r="J679" s="8" t="s">
        <v>43</v>
      </c>
      <c r="K679" s="8"/>
      <c r="L679" s="8" t="s">
        <v>110</v>
      </c>
      <c r="M679" s="11" t="s">
        <v>4310</v>
      </c>
      <c r="N679" s="8">
        <v>1</v>
      </c>
      <c r="O679" s="8">
        <v>0</v>
      </c>
      <c r="P679" s="8">
        <v>1</v>
      </c>
      <c r="Q679" s="8">
        <v>0</v>
      </c>
      <c r="R679" s="8">
        <v>0</v>
      </c>
      <c r="S679" s="8">
        <v>0</v>
      </c>
      <c r="T679" s="8">
        <v>0</v>
      </c>
      <c r="U679" s="8">
        <v>0</v>
      </c>
      <c r="V679" s="8">
        <v>0</v>
      </c>
      <c r="W679" s="8">
        <v>1</v>
      </c>
      <c r="X679" s="8">
        <v>0</v>
      </c>
      <c r="Y679" s="8">
        <v>0</v>
      </c>
      <c r="Z679" s="8">
        <v>0</v>
      </c>
      <c r="AA679" s="8">
        <v>0</v>
      </c>
      <c r="AB679" s="8">
        <v>0</v>
      </c>
      <c r="AC679" s="19">
        <f t="shared" si="60"/>
        <v>0</v>
      </c>
      <c r="AD679" s="19">
        <f t="shared" si="61"/>
        <v>0</v>
      </c>
      <c r="AE679" s="19">
        <f t="shared" si="62"/>
        <v>0</v>
      </c>
      <c r="AF679" s="19">
        <f t="shared" si="63"/>
        <v>1</v>
      </c>
      <c r="AG679" s="19">
        <f t="shared" si="64"/>
        <v>0</v>
      </c>
      <c r="AH679" s="19">
        <f t="shared" si="65"/>
        <v>0</v>
      </c>
    </row>
    <row r="680" spans="1:34">
      <c r="A680" s="8" t="s">
        <v>4311</v>
      </c>
      <c r="B680" s="8" t="s">
        <v>1992</v>
      </c>
      <c r="C680" s="8" t="s">
        <v>9</v>
      </c>
      <c r="D680" s="8" t="s">
        <v>6</v>
      </c>
      <c r="E680" s="8" t="s">
        <v>110</v>
      </c>
      <c r="F680" s="8" t="s">
        <v>4</v>
      </c>
      <c r="G680" s="8" t="s">
        <v>7</v>
      </c>
      <c r="H680" s="8" t="s">
        <v>745</v>
      </c>
      <c r="I680" s="8" t="s">
        <v>43</v>
      </c>
      <c r="J680" s="8" t="s">
        <v>41</v>
      </c>
      <c r="K680" s="8"/>
      <c r="L680" s="8" t="s">
        <v>110</v>
      </c>
      <c r="M680" s="11" t="s">
        <v>4312</v>
      </c>
      <c r="N680" s="8">
        <v>0</v>
      </c>
      <c r="O680" s="8">
        <v>0</v>
      </c>
      <c r="P680" s="8">
        <v>0</v>
      </c>
      <c r="Q680" s="8">
        <v>0</v>
      </c>
      <c r="R680" s="8">
        <v>0</v>
      </c>
      <c r="S680" s="8">
        <v>0</v>
      </c>
      <c r="T680" s="8">
        <v>0</v>
      </c>
      <c r="U680" s="8">
        <v>0</v>
      </c>
      <c r="V680" s="8">
        <v>0</v>
      </c>
      <c r="W680" s="8">
        <v>0</v>
      </c>
      <c r="X680" s="8">
        <v>0</v>
      </c>
      <c r="Y680" s="8">
        <v>0</v>
      </c>
      <c r="Z680" s="8">
        <v>0</v>
      </c>
      <c r="AA680" s="8">
        <v>0</v>
      </c>
      <c r="AB680" s="8">
        <v>0</v>
      </c>
      <c r="AC680" s="19">
        <f t="shared" si="60"/>
        <v>0</v>
      </c>
      <c r="AD680" s="19">
        <f t="shared" si="61"/>
        <v>0</v>
      </c>
      <c r="AE680" s="19">
        <f t="shared" si="62"/>
        <v>0</v>
      </c>
      <c r="AF680" s="19">
        <f t="shared" si="63"/>
        <v>0</v>
      </c>
      <c r="AG680" s="19">
        <f t="shared" si="64"/>
        <v>0</v>
      </c>
      <c r="AH680" s="19">
        <f t="shared" si="65"/>
        <v>0</v>
      </c>
    </row>
    <row r="681" spans="1:34">
      <c r="A681" s="8" t="s">
        <v>4313</v>
      </c>
      <c r="B681" s="8" t="s">
        <v>1992</v>
      </c>
      <c r="C681" s="8" t="s">
        <v>957</v>
      </c>
      <c r="D681" s="8" t="s">
        <v>4</v>
      </c>
      <c r="E681" s="8" t="s">
        <v>41</v>
      </c>
      <c r="F681" s="8" t="s">
        <v>3</v>
      </c>
      <c r="G681" s="8" t="s">
        <v>12</v>
      </c>
      <c r="H681" s="8" t="s">
        <v>1721</v>
      </c>
      <c r="I681" s="8" t="s">
        <v>43</v>
      </c>
      <c r="J681" s="8" t="s">
        <v>41</v>
      </c>
      <c r="K681" s="8"/>
      <c r="L681" s="8" t="s">
        <v>110</v>
      </c>
      <c r="M681" s="11" t="s">
        <v>4314</v>
      </c>
      <c r="N681" s="8">
        <v>31</v>
      </c>
      <c r="O681" s="8">
        <v>15</v>
      </c>
      <c r="P681" s="8">
        <v>16</v>
      </c>
      <c r="Q681" s="8">
        <v>7</v>
      </c>
      <c r="R681" s="8">
        <v>3</v>
      </c>
      <c r="S681" s="8">
        <v>6</v>
      </c>
      <c r="T681" s="8">
        <v>3</v>
      </c>
      <c r="U681" s="8">
        <v>8</v>
      </c>
      <c r="V681" s="8">
        <v>5</v>
      </c>
      <c r="W681" s="8">
        <v>9</v>
      </c>
      <c r="X681" s="8">
        <v>4</v>
      </c>
      <c r="Y681" s="8">
        <v>1</v>
      </c>
      <c r="Z681" s="8">
        <v>0</v>
      </c>
      <c r="AA681" s="8">
        <v>0</v>
      </c>
      <c r="AB681" s="8">
        <v>0</v>
      </c>
      <c r="AC681" s="19">
        <f t="shared" si="60"/>
        <v>4</v>
      </c>
      <c r="AD681" s="19">
        <f t="shared" si="61"/>
        <v>3</v>
      </c>
      <c r="AE681" s="19">
        <f t="shared" si="62"/>
        <v>3</v>
      </c>
      <c r="AF681" s="19">
        <f t="shared" si="63"/>
        <v>5</v>
      </c>
      <c r="AG681" s="19">
        <f t="shared" si="64"/>
        <v>1</v>
      </c>
      <c r="AH681" s="19">
        <f t="shared" si="65"/>
        <v>0</v>
      </c>
    </row>
    <row r="682" spans="1:34">
      <c r="A682" s="8" t="s">
        <v>4315</v>
      </c>
      <c r="B682" s="8" t="s">
        <v>1992</v>
      </c>
      <c r="C682" s="8" t="s">
        <v>70</v>
      </c>
      <c r="D682" s="8" t="s">
        <v>118</v>
      </c>
      <c r="E682" s="8" t="s">
        <v>43</v>
      </c>
      <c r="F682" s="8" t="s">
        <v>13</v>
      </c>
      <c r="G682" s="8" t="s">
        <v>3</v>
      </c>
      <c r="H682" s="8" t="s">
        <v>305</v>
      </c>
      <c r="I682" s="8" t="s">
        <v>43</v>
      </c>
      <c r="J682" s="8" t="s">
        <v>41</v>
      </c>
      <c r="K682" s="8"/>
      <c r="L682" s="8" t="s">
        <v>110</v>
      </c>
      <c r="M682" s="11" t="s">
        <v>4316</v>
      </c>
      <c r="N682" s="8">
        <v>0</v>
      </c>
      <c r="O682" s="8">
        <v>0</v>
      </c>
      <c r="P682" s="8">
        <v>0</v>
      </c>
      <c r="Q682" s="8">
        <v>0</v>
      </c>
      <c r="R682" s="8">
        <v>0</v>
      </c>
      <c r="S682" s="8">
        <v>0</v>
      </c>
      <c r="T682" s="8">
        <v>0</v>
      </c>
      <c r="U682" s="8">
        <v>0</v>
      </c>
      <c r="V682" s="8">
        <v>0</v>
      </c>
      <c r="W682" s="8">
        <v>0</v>
      </c>
      <c r="X682" s="8">
        <v>0</v>
      </c>
      <c r="Y682" s="8">
        <v>0</v>
      </c>
      <c r="Z682" s="8">
        <v>0</v>
      </c>
      <c r="AA682" s="8">
        <v>0</v>
      </c>
      <c r="AB682" s="8">
        <v>0</v>
      </c>
      <c r="AC682" s="19">
        <f t="shared" si="60"/>
        <v>0</v>
      </c>
      <c r="AD682" s="19">
        <f t="shared" si="61"/>
        <v>0</v>
      </c>
      <c r="AE682" s="19">
        <f t="shared" si="62"/>
        <v>0</v>
      </c>
      <c r="AF682" s="19">
        <f t="shared" si="63"/>
        <v>0</v>
      </c>
      <c r="AG682" s="19">
        <f t="shared" si="64"/>
        <v>0</v>
      </c>
      <c r="AH682" s="19">
        <f t="shared" si="65"/>
        <v>0</v>
      </c>
    </row>
    <row r="683" spans="1:34">
      <c r="A683" s="8" t="s">
        <v>4402</v>
      </c>
      <c r="B683" s="8" t="s">
        <v>4403</v>
      </c>
      <c r="C683" s="8" t="s">
        <v>8</v>
      </c>
      <c r="D683" s="8" t="s">
        <v>12</v>
      </c>
      <c r="E683" s="8" t="s">
        <v>56</v>
      </c>
      <c r="F683" s="8" t="s">
        <v>7</v>
      </c>
      <c r="G683" s="8" t="s">
        <v>17</v>
      </c>
      <c r="H683" s="8" t="s">
        <v>4491</v>
      </c>
      <c r="I683" s="8" t="s">
        <v>41</v>
      </c>
      <c r="J683" s="8" t="s">
        <v>43</v>
      </c>
      <c r="K683" s="8"/>
      <c r="L683" s="8" t="s">
        <v>110</v>
      </c>
      <c r="M683" s="11" t="s">
        <v>4404</v>
      </c>
      <c r="N683" s="8">
        <v>8</v>
      </c>
      <c r="O683" s="8">
        <v>3</v>
      </c>
      <c r="P683" s="8">
        <v>5</v>
      </c>
      <c r="Q683" s="8">
        <v>5</v>
      </c>
      <c r="R683" s="8">
        <v>1</v>
      </c>
      <c r="S683" s="8">
        <v>0</v>
      </c>
      <c r="T683" s="8">
        <v>0</v>
      </c>
      <c r="U683" s="8">
        <v>1</v>
      </c>
      <c r="V683" s="8">
        <v>0</v>
      </c>
      <c r="W683" s="8">
        <v>1</v>
      </c>
      <c r="X683" s="8">
        <v>1</v>
      </c>
      <c r="Y683" s="8">
        <v>1</v>
      </c>
      <c r="Z683" s="8">
        <v>1</v>
      </c>
      <c r="AA683" s="8">
        <v>0</v>
      </c>
      <c r="AB683" s="8">
        <v>0</v>
      </c>
      <c r="AC683" s="19">
        <f t="shared" si="60"/>
        <v>4</v>
      </c>
      <c r="AD683" s="19">
        <f t="shared" si="61"/>
        <v>0</v>
      </c>
      <c r="AE683" s="19">
        <f t="shared" si="62"/>
        <v>1</v>
      </c>
      <c r="AF683" s="19">
        <f t="shared" si="63"/>
        <v>0</v>
      </c>
      <c r="AG683" s="19">
        <f t="shared" si="64"/>
        <v>0</v>
      </c>
      <c r="AH683" s="19">
        <f t="shared" si="65"/>
        <v>0</v>
      </c>
    </row>
    <row r="684" spans="1:34">
      <c r="A684" s="8" t="s">
        <v>4503</v>
      </c>
      <c r="B684" s="8" t="s">
        <v>1992</v>
      </c>
      <c r="C684" s="8" t="s">
        <v>958</v>
      </c>
      <c r="D684" s="8" t="s">
        <v>4</v>
      </c>
      <c r="E684" s="8" t="s">
        <v>80</v>
      </c>
      <c r="F684" s="8" t="s">
        <v>3</v>
      </c>
      <c r="G684" s="8" t="s">
        <v>16</v>
      </c>
      <c r="H684" s="8" t="s">
        <v>4547</v>
      </c>
      <c r="I684" s="8" t="s">
        <v>43</v>
      </c>
      <c r="J684" s="8" t="s">
        <v>43</v>
      </c>
      <c r="K684" s="8"/>
      <c r="L684" s="8" t="s">
        <v>110</v>
      </c>
      <c r="M684" s="11" t="s">
        <v>4504</v>
      </c>
      <c r="N684" s="8">
        <v>0</v>
      </c>
      <c r="O684" s="8">
        <v>0</v>
      </c>
      <c r="P684" s="8">
        <v>0</v>
      </c>
      <c r="Q684" s="8">
        <v>0</v>
      </c>
      <c r="R684" s="8">
        <v>0</v>
      </c>
      <c r="S684" s="8">
        <v>0</v>
      </c>
      <c r="T684" s="8">
        <v>0</v>
      </c>
      <c r="U684" s="8">
        <v>0</v>
      </c>
      <c r="V684" s="8">
        <v>0</v>
      </c>
      <c r="W684" s="8">
        <v>0</v>
      </c>
      <c r="X684" s="8">
        <v>0</v>
      </c>
      <c r="Y684" s="8">
        <v>0</v>
      </c>
      <c r="Z684" s="8">
        <v>0</v>
      </c>
      <c r="AA684" s="8">
        <v>0</v>
      </c>
      <c r="AB684" s="8">
        <v>0</v>
      </c>
      <c r="AC684" s="19">
        <f t="shared" si="60"/>
        <v>0</v>
      </c>
      <c r="AD684" s="19">
        <f t="shared" si="61"/>
        <v>0</v>
      </c>
      <c r="AE684" s="19">
        <f t="shared" si="62"/>
        <v>0</v>
      </c>
      <c r="AF684" s="19">
        <f t="shared" si="63"/>
        <v>0</v>
      </c>
      <c r="AG684" s="19">
        <f t="shared" si="64"/>
        <v>0</v>
      </c>
      <c r="AH684" s="19">
        <f t="shared" si="65"/>
        <v>0</v>
      </c>
    </row>
    <row r="685" spans="1:34">
      <c r="A685" s="8" t="s">
        <v>4505</v>
      </c>
      <c r="B685" s="8" t="s">
        <v>1992</v>
      </c>
      <c r="C685" s="8" t="s">
        <v>5</v>
      </c>
      <c r="D685" s="8" t="s">
        <v>6</v>
      </c>
      <c r="E685" s="8" t="s">
        <v>43</v>
      </c>
      <c r="F685" s="8" t="s">
        <v>3</v>
      </c>
      <c r="G685" s="8" t="s">
        <v>7</v>
      </c>
      <c r="H685" s="8" t="s">
        <v>4551</v>
      </c>
      <c r="I685" s="8" t="s">
        <v>43</v>
      </c>
      <c r="J685" s="8" t="s">
        <v>41</v>
      </c>
      <c r="K685" s="8"/>
      <c r="L685" s="8" t="s">
        <v>110</v>
      </c>
      <c r="M685" s="11" t="s">
        <v>4506</v>
      </c>
      <c r="N685" s="8">
        <v>6</v>
      </c>
      <c r="O685" s="8">
        <v>3</v>
      </c>
      <c r="P685" s="8">
        <v>3</v>
      </c>
      <c r="Q685" s="8">
        <v>0</v>
      </c>
      <c r="R685" s="8">
        <v>0</v>
      </c>
      <c r="S685" s="8">
        <v>3</v>
      </c>
      <c r="T685" s="8">
        <v>0</v>
      </c>
      <c r="U685" s="8">
        <v>0</v>
      </c>
      <c r="V685" s="8">
        <v>0</v>
      </c>
      <c r="W685" s="8">
        <v>2</v>
      </c>
      <c r="X685" s="8">
        <v>2</v>
      </c>
      <c r="Y685" s="8">
        <v>1</v>
      </c>
      <c r="Z685" s="8">
        <v>1</v>
      </c>
      <c r="AA685" s="8">
        <v>0</v>
      </c>
      <c r="AB685" s="8">
        <v>0</v>
      </c>
      <c r="AC685" s="19">
        <f t="shared" si="60"/>
        <v>0</v>
      </c>
      <c r="AD685" s="19">
        <f t="shared" si="61"/>
        <v>3</v>
      </c>
      <c r="AE685" s="19">
        <f t="shared" si="62"/>
        <v>0</v>
      </c>
      <c r="AF685" s="19">
        <f t="shared" si="63"/>
        <v>0</v>
      </c>
      <c r="AG685" s="19">
        <f t="shared" si="64"/>
        <v>0</v>
      </c>
      <c r="AH685" s="19">
        <f t="shared" si="65"/>
        <v>0</v>
      </c>
    </row>
    <row r="686" spans="1:34">
      <c r="A686" s="8" t="s">
        <v>4507</v>
      </c>
      <c r="B686" s="8" t="s">
        <v>1992</v>
      </c>
      <c r="C686" s="8" t="s">
        <v>957</v>
      </c>
      <c r="D686" s="8" t="s">
        <v>6</v>
      </c>
      <c r="E686" s="8" t="s">
        <v>41</v>
      </c>
      <c r="F686" s="8" t="s">
        <v>12</v>
      </c>
      <c r="G686" s="8" t="s">
        <v>5</v>
      </c>
      <c r="H686" s="8" t="s">
        <v>4553</v>
      </c>
      <c r="I686" s="8" t="s">
        <v>43</v>
      </c>
      <c r="J686" s="8" t="s">
        <v>41</v>
      </c>
      <c r="K686" s="8"/>
      <c r="L686" s="8" t="s">
        <v>110</v>
      </c>
      <c r="M686" s="11" t="s">
        <v>4508</v>
      </c>
      <c r="N686" s="8">
        <v>2</v>
      </c>
      <c r="O686" s="8">
        <v>0</v>
      </c>
      <c r="P686" s="8">
        <v>2</v>
      </c>
      <c r="Q686" s="8">
        <v>0</v>
      </c>
      <c r="R686" s="8">
        <v>0</v>
      </c>
      <c r="S686" s="8">
        <v>0</v>
      </c>
      <c r="T686" s="8">
        <v>0</v>
      </c>
      <c r="U686" s="8">
        <v>2</v>
      </c>
      <c r="V686" s="8">
        <v>0</v>
      </c>
      <c r="W686" s="8">
        <v>0</v>
      </c>
      <c r="X686" s="8">
        <v>0</v>
      </c>
      <c r="Y686" s="8">
        <v>0</v>
      </c>
      <c r="Z686" s="8">
        <v>0</v>
      </c>
      <c r="AA686" s="8">
        <v>0</v>
      </c>
      <c r="AB686" s="8">
        <v>0</v>
      </c>
      <c r="AC686" s="19">
        <f t="shared" si="60"/>
        <v>0</v>
      </c>
      <c r="AD686" s="19">
        <f t="shared" si="61"/>
        <v>0</v>
      </c>
      <c r="AE686" s="19">
        <f t="shared" si="62"/>
        <v>2</v>
      </c>
      <c r="AF686" s="19">
        <f t="shared" si="63"/>
        <v>0</v>
      </c>
      <c r="AG686" s="19">
        <f t="shared" si="64"/>
        <v>0</v>
      </c>
      <c r="AH686" s="19">
        <f t="shared" si="65"/>
        <v>0</v>
      </c>
    </row>
    <row r="687" spans="1:34">
      <c r="A687" s="8" t="s">
        <v>4705</v>
      </c>
      <c r="B687" s="8" t="s">
        <v>1992</v>
      </c>
      <c r="C687" s="8" t="s">
        <v>4</v>
      </c>
      <c r="D687" s="8" t="s">
        <v>7</v>
      </c>
      <c r="E687" s="8" t="s">
        <v>41</v>
      </c>
      <c r="F687" s="8" t="s">
        <v>9</v>
      </c>
      <c r="G687" s="8" t="s">
        <v>3</v>
      </c>
      <c r="H687" s="8" t="s">
        <v>4752</v>
      </c>
      <c r="I687" s="8" t="s">
        <v>43</v>
      </c>
      <c r="J687" s="8" t="s">
        <v>41</v>
      </c>
      <c r="K687" s="8"/>
      <c r="L687" s="8" t="s">
        <v>110</v>
      </c>
      <c r="M687" s="11" t="s">
        <v>4706</v>
      </c>
      <c r="N687" s="8">
        <v>0</v>
      </c>
      <c r="O687" s="8">
        <v>0</v>
      </c>
      <c r="P687" s="8">
        <v>0</v>
      </c>
      <c r="Q687" s="8">
        <v>0</v>
      </c>
      <c r="R687" s="8">
        <v>0</v>
      </c>
      <c r="S687" s="8">
        <v>0</v>
      </c>
      <c r="T687" s="8">
        <v>0</v>
      </c>
      <c r="U687" s="8">
        <v>0</v>
      </c>
      <c r="V687" s="8">
        <v>0</v>
      </c>
      <c r="W687" s="8">
        <v>0</v>
      </c>
      <c r="X687" s="8">
        <v>0</v>
      </c>
      <c r="Y687" s="8">
        <v>0</v>
      </c>
      <c r="Z687" s="8">
        <v>0</v>
      </c>
      <c r="AA687" s="8">
        <v>0</v>
      </c>
      <c r="AB687" s="8">
        <v>0</v>
      </c>
      <c r="AC687" s="19">
        <f>+Q687-R687</f>
        <v>0</v>
      </c>
      <c r="AD687" s="19">
        <f t="shared" si="61"/>
        <v>0</v>
      </c>
      <c r="AE687" s="19">
        <f t="shared" si="62"/>
        <v>0</v>
      </c>
      <c r="AF687" s="19">
        <f t="shared" si="63"/>
        <v>0</v>
      </c>
      <c r="AG687" s="19">
        <f t="shared" si="64"/>
        <v>0</v>
      </c>
      <c r="AH687" s="19">
        <f t="shared" si="65"/>
        <v>0</v>
      </c>
    </row>
    <row r="688" spans="1:34">
      <c r="A688" s="8" t="s">
        <v>4707</v>
      </c>
      <c r="B688" s="8" t="s">
        <v>1992</v>
      </c>
      <c r="C688" s="8" t="s">
        <v>13</v>
      </c>
      <c r="D688" s="8" t="s">
        <v>5</v>
      </c>
      <c r="E688" s="8" t="s">
        <v>126</v>
      </c>
      <c r="F688" s="8" t="s">
        <v>5</v>
      </c>
      <c r="G688" s="8" t="s">
        <v>11</v>
      </c>
      <c r="H688" s="8" t="s">
        <v>627</v>
      </c>
      <c r="I688" s="8" t="s">
        <v>43</v>
      </c>
      <c r="J688" s="8" t="s">
        <v>43</v>
      </c>
      <c r="K688" s="8"/>
      <c r="L688" s="8" t="s">
        <v>110</v>
      </c>
      <c r="M688" s="11" t="s">
        <v>4708</v>
      </c>
      <c r="N688" s="8">
        <v>0</v>
      </c>
      <c r="O688" s="8">
        <v>0</v>
      </c>
      <c r="P688" s="8">
        <v>0</v>
      </c>
      <c r="Q688" s="8">
        <v>0</v>
      </c>
      <c r="R688" s="8">
        <v>0</v>
      </c>
      <c r="S688" s="8">
        <v>0</v>
      </c>
      <c r="T688" s="8">
        <v>0</v>
      </c>
      <c r="U688" s="8">
        <v>0</v>
      </c>
      <c r="V688" s="8">
        <v>0</v>
      </c>
      <c r="W688" s="8">
        <v>0</v>
      </c>
      <c r="X688" s="8">
        <v>0</v>
      </c>
      <c r="Y688" s="8">
        <v>0</v>
      </c>
      <c r="Z688" s="8">
        <v>0</v>
      </c>
      <c r="AA688" s="8">
        <v>0</v>
      </c>
      <c r="AB688" s="8">
        <v>0</v>
      </c>
      <c r="AC688" s="19">
        <f t="shared" ref="AC688:AC691" si="66">+Q688-R688</f>
        <v>0</v>
      </c>
      <c r="AD688" s="19">
        <f t="shared" si="61"/>
        <v>0</v>
      </c>
      <c r="AE688" s="19">
        <f t="shared" si="62"/>
        <v>0</v>
      </c>
      <c r="AF688" s="19">
        <f t="shared" si="63"/>
        <v>0</v>
      </c>
      <c r="AG688" s="19">
        <f t="shared" si="64"/>
        <v>0</v>
      </c>
      <c r="AH688" s="19">
        <f t="shared" si="65"/>
        <v>0</v>
      </c>
    </row>
    <row r="689" spans="1:34">
      <c r="A689" s="8" t="s">
        <v>4759</v>
      </c>
      <c r="B689" s="8" t="s">
        <v>4760</v>
      </c>
      <c r="C689" s="8" t="s">
        <v>958</v>
      </c>
      <c r="D689" s="8" t="s">
        <v>4</v>
      </c>
      <c r="E689" s="8" t="s">
        <v>80</v>
      </c>
      <c r="F689" s="8" t="s">
        <v>3</v>
      </c>
      <c r="G689" s="8" t="s">
        <v>16</v>
      </c>
      <c r="H689" s="8" t="s">
        <v>502</v>
      </c>
      <c r="I689" s="8" t="s">
        <v>41</v>
      </c>
      <c r="J689" s="8" t="s">
        <v>43</v>
      </c>
      <c r="K689" s="8"/>
      <c r="L689" s="8" t="s">
        <v>110</v>
      </c>
      <c r="M689" s="11" t="s">
        <v>4765</v>
      </c>
      <c r="N689" s="8">
        <v>20</v>
      </c>
      <c r="O689" s="8">
        <v>14</v>
      </c>
      <c r="P689" s="8">
        <v>6</v>
      </c>
      <c r="Q689" s="8">
        <v>5</v>
      </c>
      <c r="R689" s="8">
        <v>3</v>
      </c>
      <c r="S689" s="8">
        <v>2</v>
      </c>
      <c r="T689" s="8">
        <v>0</v>
      </c>
      <c r="U689" s="8">
        <v>4</v>
      </c>
      <c r="V689" s="8">
        <v>4</v>
      </c>
      <c r="W689" s="8">
        <v>2</v>
      </c>
      <c r="X689" s="8">
        <v>2</v>
      </c>
      <c r="Y689" s="8">
        <v>7</v>
      </c>
      <c r="Z689" s="8">
        <v>5</v>
      </c>
      <c r="AA689" s="8">
        <v>0</v>
      </c>
      <c r="AB689" s="8">
        <v>0</v>
      </c>
      <c r="AC689" s="19">
        <f t="shared" si="66"/>
        <v>2</v>
      </c>
      <c r="AD689" s="19">
        <f t="shared" si="61"/>
        <v>2</v>
      </c>
      <c r="AE689" s="19">
        <f t="shared" si="62"/>
        <v>0</v>
      </c>
      <c r="AF689" s="19">
        <f t="shared" si="63"/>
        <v>0</v>
      </c>
      <c r="AG689" s="19">
        <f t="shared" si="64"/>
        <v>2</v>
      </c>
      <c r="AH689" s="19">
        <f t="shared" si="65"/>
        <v>0</v>
      </c>
    </row>
    <row r="690" spans="1:34">
      <c r="A690" s="8" t="s">
        <v>927</v>
      </c>
      <c r="B690" s="8" t="s">
        <v>4761</v>
      </c>
      <c r="C690" s="8" t="s">
        <v>959</v>
      </c>
      <c r="D690" s="8" t="s">
        <v>8</v>
      </c>
      <c r="E690" s="8" t="s">
        <v>68</v>
      </c>
      <c r="F690" s="8" t="s">
        <v>5</v>
      </c>
      <c r="G690" s="8" t="s">
        <v>4</v>
      </c>
      <c r="H690" s="8" t="s">
        <v>4768</v>
      </c>
      <c r="I690" s="8" t="s">
        <v>41</v>
      </c>
      <c r="J690" s="8" t="s">
        <v>43</v>
      </c>
      <c r="K690" s="8"/>
      <c r="L690" s="8" t="s">
        <v>110</v>
      </c>
      <c r="M690" s="11" t="s">
        <v>4766</v>
      </c>
      <c r="N690" s="8">
        <v>17</v>
      </c>
      <c r="O690" s="8">
        <v>9</v>
      </c>
      <c r="P690" s="8">
        <v>8</v>
      </c>
      <c r="Q690" s="8">
        <v>3</v>
      </c>
      <c r="R690" s="8">
        <v>2</v>
      </c>
      <c r="S690" s="8">
        <v>7</v>
      </c>
      <c r="T690" s="8">
        <v>4</v>
      </c>
      <c r="U690" s="8">
        <v>4</v>
      </c>
      <c r="V690" s="8">
        <v>2</v>
      </c>
      <c r="W690" s="8">
        <v>1</v>
      </c>
      <c r="X690" s="8">
        <v>0</v>
      </c>
      <c r="Y690" s="8">
        <v>2</v>
      </c>
      <c r="Z690" s="8">
        <v>1</v>
      </c>
      <c r="AA690" s="8">
        <v>0</v>
      </c>
      <c r="AB690" s="8">
        <v>0</v>
      </c>
      <c r="AC690" s="19">
        <f t="shared" si="66"/>
        <v>1</v>
      </c>
      <c r="AD690" s="19">
        <f t="shared" si="61"/>
        <v>3</v>
      </c>
      <c r="AE690" s="19">
        <f t="shared" si="62"/>
        <v>2</v>
      </c>
      <c r="AF690" s="19">
        <f t="shared" si="63"/>
        <v>1</v>
      </c>
      <c r="AG690" s="19">
        <f t="shared" si="64"/>
        <v>1</v>
      </c>
      <c r="AH690" s="19">
        <f t="shared" si="65"/>
        <v>0</v>
      </c>
    </row>
    <row r="691" spans="1:34">
      <c r="A691" s="8" t="s">
        <v>4946</v>
      </c>
      <c r="B691" s="8" t="s">
        <v>1992</v>
      </c>
      <c r="C691" s="8" t="s">
        <v>107</v>
      </c>
      <c r="D691" s="8" t="s">
        <v>7</v>
      </c>
      <c r="E691" s="8" t="s">
        <v>80</v>
      </c>
      <c r="F691" s="8" t="s">
        <v>11</v>
      </c>
      <c r="G691" s="8" t="s">
        <v>3</v>
      </c>
      <c r="H691" s="8" t="s">
        <v>54</v>
      </c>
      <c r="I691" s="8" t="s">
        <v>41</v>
      </c>
      <c r="J691" s="8" t="s">
        <v>43</v>
      </c>
      <c r="K691" s="8"/>
      <c r="L691" s="8" t="s">
        <v>110</v>
      </c>
      <c r="M691" s="11" t="s">
        <v>4947</v>
      </c>
      <c r="N691" s="8">
        <v>0</v>
      </c>
      <c r="O691" s="8">
        <v>0</v>
      </c>
      <c r="P691" s="8">
        <v>0</v>
      </c>
      <c r="Q691" s="8">
        <v>0</v>
      </c>
      <c r="R691" s="8">
        <v>0</v>
      </c>
      <c r="S691" s="8">
        <v>0</v>
      </c>
      <c r="T691" s="8">
        <v>0</v>
      </c>
      <c r="U691" s="8">
        <v>0</v>
      </c>
      <c r="V691" s="8">
        <v>0</v>
      </c>
      <c r="W691" s="8">
        <v>0</v>
      </c>
      <c r="X691" s="8">
        <v>0</v>
      </c>
      <c r="Y691" s="8">
        <v>0</v>
      </c>
      <c r="Z691" s="8">
        <v>0</v>
      </c>
      <c r="AA691" s="8">
        <v>0</v>
      </c>
      <c r="AB691" s="8">
        <v>0</v>
      </c>
      <c r="AC691" s="19">
        <f t="shared" si="66"/>
        <v>0</v>
      </c>
      <c r="AD691" s="19">
        <f t="shared" si="61"/>
        <v>0</v>
      </c>
      <c r="AE691" s="19">
        <f t="shared" si="62"/>
        <v>0</v>
      </c>
      <c r="AF691" s="19">
        <f t="shared" si="63"/>
        <v>0</v>
      </c>
      <c r="AG691" s="19">
        <f t="shared" si="64"/>
        <v>0</v>
      </c>
      <c r="AH691" s="19">
        <f t="shared" si="65"/>
        <v>0</v>
      </c>
    </row>
    <row r="692" spans="1:34">
      <c r="A692" s="12" t="s">
        <v>726</v>
      </c>
      <c r="B692" s="12" t="s">
        <v>1992</v>
      </c>
      <c r="C692" s="12" t="s">
        <v>9</v>
      </c>
      <c r="D692" s="12" t="s">
        <v>6</v>
      </c>
      <c r="E692" s="12" t="s">
        <v>110</v>
      </c>
      <c r="F692" s="12" t="s">
        <v>4</v>
      </c>
      <c r="G692" s="12" t="s">
        <v>5</v>
      </c>
      <c r="H692" s="12" t="s">
        <v>357</v>
      </c>
      <c r="I692" s="12" t="s">
        <v>43</v>
      </c>
      <c r="J692" s="12" t="s">
        <v>41</v>
      </c>
      <c r="L692" s="12" t="s">
        <v>110</v>
      </c>
      <c r="M692" s="12" t="s">
        <v>4951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12">
        <v>0</v>
      </c>
      <c r="AB692" s="12">
        <v>0</v>
      </c>
      <c r="AC692" s="19">
        <f t="shared" ref="AC692:AC700" si="67">+Q692-R692</f>
        <v>0</v>
      </c>
      <c r="AD692" s="19">
        <f t="shared" ref="AD692:AD700" si="68">+S692-T692</f>
        <v>0</v>
      </c>
      <c r="AE692" s="19">
        <f t="shared" ref="AE692:AE700" si="69">+U692-V692</f>
        <v>0</v>
      </c>
      <c r="AF692" s="19">
        <f t="shared" ref="AF692:AF700" si="70">+W692-X692</f>
        <v>0</v>
      </c>
      <c r="AG692" s="19">
        <f t="shared" ref="AG692:AG700" si="71">+Y692-Z692</f>
        <v>0</v>
      </c>
      <c r="AH692" s="19">
        <f t="shared" ref="AH692:AH700" si="72">+AA692-AB692</f>
        <v>0</v>
      </c>
    </row>
    <row r="693" spans="1:34">
      <c r="A693" s="12" t="s">
        <v>5502</v>
      </c>
      <c r="B693" s="12" t="s">
        <v>1992</v>
      </c>
      <c r="C693" s="12" t="s">
        <v>9</v>
      </c>
      <c r="D693" s="12" t="s">
        <v>9</v>
      </c>
      <c r="E693" s="12" t="s">
        <v>110</v>
      </c>
      <c r="F693" s="12" t="s">
        <v>9</v>
      </c>
      <c r="G693" s="12" t="s">
        <v>5</v>
      </c>
      <c r="H693" s="12" t="s">
        <v>5504</v>
      </c>
      <c r="I693" s="12" t="s">
        <v>43</v>
      </c>
      <c r="J693" s="12" t="s">
        <v>41</v>
      </c>
      <c r="L693" s="12" t="s">
        <v>110</v>
      </c>
      <c r="M693" s="12" t="s">
        <v>5503</v>
      </c>
      <c r="N693" s="12">
        <v>0</v>
      </c>
      <c r="O693" s="12">
        <v>0</v>
      </c>
      <c r="P693" s="12">
        <v>0</v>
      </c>
      <c r="Q693" s="12">
        <v>0</v>
      </c>
      <c r="R693" s="12">
        <v>0</v>
      </c>
      <c r="S693" s="12">
        <v>0</v>
      </c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0</v>
      </c>
      <c r="AC693" s="19">
        <f t="shared" si="67"/>
        <v>0</v>
      </c>
      <c r="AD693" s="19">
        <f t="shared" si="68"/>
        <v>0</v>
      </c>
      <c r="AE693" s="19">
        <f t="shared" si="69"/>
        <v>0</v>
      </c>
      <c r="AF693" s="19">
        <f t="shared" si="70"/>
        <v>0</v>
      </c>
      <c r="AG693" s="19">
        <f t="shared" si="71"/>
        <v>0</v>
      </c>
      <c r="AH693" s="19">
        <f t="shared" si="72"/>
        <v>0</v>
      </c>
    </row>
    <row r="694" spans="1:34">
      <c r="A694" s="12" t="s">
        <v>5508</v>
      </c>
      <c r="B694" s="12" t="s">
        <v>1992</v>
      </c>
      <c r="C694" s="12" t="s">
        <v>6</v>
      </c>
      <c r="D694" s="12" t="s">
        <v>7</v>
      </c>
      <c r="E694" s="12" t="s">
        <v>43</v>
      </c>
      <c r="F694" s="12" t="s">
        <v>8</v>
      </c>
      <c r="G694" s="12" t="s">
        <v>3</v>
      </c>
      <c r="H694" s="12" t="s">
        <v>234</v>
      </c>
      <c r="I694" s="12" t="s">
        <v>43</v>
      </c>
      <c r="J694" s="12" t="s">
        <v>41</v>
      </c>
      <c r="L694" s="12" t="s">
        <v>110</v>
      </c>
      <c r="M694" s="12" t="s">
        <v>5509</v>
      </c>
      <c r="N694" s="12">
        <v>3</v>
      </c>
      <c r="O694" s="12">
        <v>2</v>
      </c>
      <c r="P694" s="12">
        <v>1</v>
      </c>
      <c r="Q694" s="12">
        <v>0</v>
      </c>
      <c r="R694" s="12">
        <v>0</v>
      </c>
      <c r="S694" s="12">
        <v>3</v>
      </c>
      <c r="T694" s="12">
        <v>2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12">
        <v>0</v>
      </c>
      <c r="AB694" s="12">
        <v>0</v>
      </c>
      <c r="AC694" s="19">
        <f t="shared" si="67"/>
        <v>0</v>
      </c>
      <c r="AD694" s="19">
        <f t="shared" si="68"/>
        <v>1</v>
      </c>
      <c r="AE694" s="19">
        <f t="shared" si="69"/>
        <v>0</v>
      </c>
      <c r="AF694" s="19">
        <f t="shared" si="70"/>
        <v>0</v>
      </c>
      <c r="AG694" s="19">
        <f t="shared" si="71"/>
        <v>0</v>
      </c>
      <c r="AH694" s="19">
        <f t="shared" si="72"/>
        <v>0</v>
      </c>
    </row>
    <row r="695" spans="1:34">
      <c r="A695" s="12" t="s">
        <v>5513</v>
      </c>
      <c r="B695" s="12" t="s">
        <v>1992</v>
      </c>
      <c r="C695" s="12" t="s">
        <v>9</v>
      </c>
      <c r="D695" s="12" t="s">
        <v>9</v>
      </c>
      <c r="E695" s="12" t="s">
        <v>110</v>
      </c>
      <c r="F695" s="12" t="s">
        <v>11</v>
      </c>
      <c r="G695" s="12" t="s">
        <v>4</v>
      </c>
      <c r="H695" s="12" t="s">
        <v>5515</v>
      </c>
      <c r="I695" s="12" t="s">
        <v>43</v>
      </c>
      <c r="J695" s="12" t="s">
        <v>41</v>
      </c>
      <c r="L695" s="12" t="s">
        <v>110</v>
      </c>
      <c r="M695" s="12" t="s">
        <v>5514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9">
        <f t="shared" si="67"/>
        <v>0</v>
      </c>
      <c r="AD695" s="19">
        <f t="shared" si="68"/>
        <v>0</v>
      </c>
      <c r="AE695" s="19">
        <f t="shared" si="69"/>
        <v>0</v>
      </c>
      <c r="AF695" s="19">
        <f t="shared" si="70"/>
        <v>0</v>
      </c>
      <c r="AG695" s="19">
        <f t="shared" si="71"/>
        <v>0</v>
      </c>
      <c r="AH695" s="19">
        <f t="shared" si="72"/>
        <v>0</v>
      </c>
    </row>
    <row r="696" spans="1:34">
      <c r="A696" s="12" t="s">
        <v>5519</v>
      </c>
      <c r="B696" s="12" t="s">
        <v>1992</v>
      </c>
      <c r="C696" s="12" t="s">
        <v>956</v>
      </c>
      <c r="D696" s="12" t="s">
        <v>3</v>
      </c>
      <c r="E696" s="12" t="s">
        <v>41</v>
      </c>
      <c r="F696" s="12" t="s">
        <v>11</v>
      </c>
      <c r="G696" s="12" t="s">
        <v>5</v>
      </c>
      <c r="H696" s="12" t="s">
        <v>5521</v>
      </c>
      <c r="I696" s="12" t="s">
        <v>43</v>
      </c>
      <c r="J696" s="12" t="s">
        <v>41</v>
      </c>
      <c r="L696" s="12" t="s">
        <v>110</v>
      </c>
      <c r="M696" s="12" t="s">
        <v>5520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2">
        <v>0</v>
      </c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19">
        <f t="shared" si="67"/>
        <v>0</v>
      </c>
      <c r="AD696" s="19">
        <f t="shared" si="68"/>
        <v>0</v>
      </c>
      <c r="AE696" s="19">
        <f t="shared" si="69"/>
        <v>0</v>
      </c>
      <c r="AF696" s="19">
        <f t="shared" si="70"/>
        <v>0</v>
      </c>
      <c r="AG696" s="19">
        <f t="shared" si="71"/>
        <v>0</v>
      </c>
      <c r="AH696" s="19">
        <f t="shared" si="72"/>
        <v>0</v>
      </c>
    </row>
    <row r="697" spans="1:34">
      <c r="A697" s="12" t="s">
        <v>5524</v>
      </c>
      <c r="B697" s="12" t="s">
        <v>1992</v>
      </c>
      <c r="C697" s="12" t="s">
        <v>954</v>
      </c>
      <c r="D697" s="12" t="s">
        <v>8</v>
      </c>
      <c r="E697" s="12" t="s">
        <v>80</v>
      </c>
      <c r="F697" s="12" t="s">
        <v>7</v>
      </c>
      <c r="G697" s="12" t="s">
        <v>6</v>
      </c>
      <c r="H697" s="12" t="s">
        <v>5526</v>
      </c>
      <c r="I697" s="12" t="s">
        <v>43</v>
      </c>
      <c r="J697" s="12" t="s">
        <v>43</v>
      </c>
      <c r="L697" s="12" t="s">
        <v>110</v>
      </c>
      <c r="M697" s="12" t="s">
        <v>5525</v>
      </c>
      <c r="N697" s="12">
        <v>2</v>
      </c>
      <c r="O697" s="12">
        <v>2</v>
      </c>
      <c r="P697" s="12">
        <v>0</v>
      </c>
      <c r="Q697" s="12">
        <v>1</v>
      </c>
      <c r="R697" s="12">
        <v>1</v>
      </c>
      <c r="S697" s="12">
        <v>1</v>
      </c>
      <c r="T697" s="12">
        <v>1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19">
        <f t="shared" si="67"/>
        <v>0</v>
      </c>
      <c r="AD697" s="19">
        <f t="shared" si="68"/>
        <v>0</v>
      </c>
      <c r="AE697" s="19">
        <f t="shared" si="69"/>
        <v>0</v>
      </c>
      <c r="AF697" s="19">
        <f t="shared" si="70"/>
        <v>0</v>
      </c>
      <c r="AG697" s="19">
        <f t="shared" si="71"/>
        <v>0</v>
      </c>
      <c r="AH697" s="19">
        <f t="shared" si="72"/>
        <v>0</v>
      </c>
    </row>
    <row r="698" spans="1:34">
      <c r="A698" s="12" t="s">
        <v>5712</v>
      </c>
      <c r="B698" s="12" t="s">
        <v>1992</v>
      </c>
      <c r="C698" s="12" t="s">
        <v>957</v>
      </c>
      <c r="D698" s="12" t="s">
        <v>5</v>
      </c>
      <c r="E698" s="12" t="s">
        <v>41</v>
      </c>
      <c r="F698" s="12" t="s">
        <v>12</v>
      </c>
      <c r="G698" s="12" t="s">
        <v>3</v>
      </c>
      <c r="H698" s="12" t="s">
        <v>166</v>
      </c>
      <c r="I698" s="12" t="s">
        <v>43</v>
      </c>
      <c r="J698" s="12" t="s">
        <v>41</v>
      </c>
      <c r="L698" s="12" t="s">
        <v>110</v>
      </c>
      <c r="M698" s="12" t="s">
        <v>5726</v>
      </c>
      <c r="N698" s="12">
        <v>0</v>
      </c>
      <c r="O698" s="12">
        <v>0</v>
      </c>
      <c r="P698" s="12">
        <v>0</v>
      </c>
      <c r="Q698" s="12">
        <v>0</v>
      </c>
      <c r="R698" s="12">
        <v>0</v>
      </c>
      <c r="S698" s="12">
        <v>0</v>
      </c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v>0</v>
      </c>
      <c r="AA698" s="12">
        <v>0</v>
      </c>
      <c r="AB698" s="12">
        <v>0</v>
      </c>
      <c r="AC698" s="19">
        <f t="shared" si="67"/>
        <v>0</v>
      </c>
      <c r="AD698" s="19">
        <f t="shared" si="68"/>
        <v>0</v>
      </c>
      <c r="AE698" s="19">
        <f t="shared" si="69"/>
        <v>0</v>
      </c>
      <c r="AF698" s="19">
        <f t="shared" si="70"/>
        <v>0</v>
      </c>
      <c r="AG698" s="19">
        <f t="shared" si="71"/>
        <v>0</v>
      </c>
      <c r="AH698" s="19">
        <f t="shared" si="72"/>
        <v>0</v>
      </c>
    </row>
    <row r="699" spans="1:34">
      <c r="A699" s="12" t="s">
        <v>5713</v>
      </c>
      <c r="B699" s="12" t="s">
        <v>1992</v>
      </c>
      <c r="C699" s="12" t="s">
        <v>4</v>
      </c>
      <c r="D699" s="12" t="s">
        <v>3</v>
      </c>
      <c r="E699" s="12" t="s">
        <v>41</v>
      </c>
      <c r="F699" s="12" t="s">
        <v>3</v>
      </c>
      <c r="G699" s="12" t="s">
        <v>3</v>
      </c>
      <c r="H699" s="12" t="s">
        <v>5714</v>
      </c>
      <c r="I699" s="12" t="s">
        <v>43</v>
      </c>
      <c r="J699" s="12" t="s">
        <v>41</v>
      </c>
      <c r="L699" s="12" t="s">
        <v>110</v>
      </c>
      <c r="M699" s="12" t="s">
        <v>5727</v>
      </c>
      <c r="N699" s="12">
        <v>0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12">
        <v>0</v>
      </c>
      <c r="AB699" s="12">
        <v>0</v>
      </c>
      <c r="AC699" s="19">
        <f t="shared" si="67"/>
        <v>0</v>
      </c>
      <c r="AD699" s="19">
        <f t="shared" si="68"/>
        <v>0</v>
      </c>
      <c r="AE699" s="19">
        <f t="shared" si="69"/>
        <v>0</v>
      </c>
      <c r="AF699" s="19">
        <f t="shared" si="70"/>
        <v>0</v>
      </c>
      <c r="AG699" s="19">
        <f t="shared" si="71"/>
        <v>0</v>
      </c>
      <c r="AH699" s="19">
        <f t="shared" si="72"/>
        <v>0</v>
      </c>
    </row>
    <row r="700" spans="1:34">
      <c r="A700" s="12" t="s">
        <v>5715</v>
      </c>
      <c r="B700" s="12" t="s">
        <v>1992</v>
      </c>
      <c r="C700" s="12" t="s">
        <v>9</v>
      </c>
      <c r="D700" s="12" t="s">
        <v>8</v>
      </c>
      <c r="E700" s="12" t="s">
        <v>110</v>
      </c>
      <c r="F700" s="12" t="s">
        <v>8</v>
      </c>
      <c r="G700" s="12" t="s">
        <v>6</v>
      </c>
      <c r="H700" s="12" t="s">
        <v>3987</v>
      </c>
      <c r="I700" s="12" t="s">
        <v>43</v>
      </c>
      <c r="J700" s="12" t="s">
        <v>41</v>
      </c>
      <c r="L700" s="12" t="s">
        <v>110</v>
      </c>
      <c r="M700" s="12" t="s">
        <v>5728</v>
      </c>
      <c r="N700" s="12">
        <v>0</v>
      </c>
      <c r="O700" s="12">
        <v>0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9">
        <f t="shared" si="67"/>
        <v>0</v>
      </c>
      <c r="AD700" s="19">
        <f t="shared" si="68"/>
        <v>0</v>
      </c>
      <c r="AE700" s="19">
        <f t="shared" si="69"/>
        <v>0</v>
      </c>
      <c r="AF700" s="19">
        <f t="shared" si="70"/>
        <v>0</v>
      </c>
      <c r="AG700" s="19">
        <f t="shared" si="71"/>
        <v>0</v>
      </c>
      <c r="AH700" s="19">
        <f t="shared" si="72"/>
        <v>0</v>
      </c>
    </row>
  </sheetData>
  <sheetProtection algorithmName="SHA-512" hashValue="TEiUep/Qp91f8qeB0GnEE3+0D45p0klqyKZk2NRnGEqT64B434pHU3bCrpuDfS+xxz2daUs0ZpQbIHlTwrBHpA==" saltValue="Q3O2eTLmycYgpRyZBzCo3g==" spinCount="100000" sheet="1" objects="1" scenarios="1"/>
  <autoFilter ref="A2:AH700"/>
  <sortState ref="A3:AH681">
    <sortCondition ref="A3:A681"/>
  </sortState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P22"/>
  <sheetViews>
    <sheetView showGridLines="0" showRuler="0" zoomScale="90" zoomScaleNormal="90" workbookViewId="0">
      <selection activeCell="D10" sqref="D10"/>
    </sheetView>
  </sheetViews>
  <sheetFormatPr baseColWidth="10" defaultRowHeight="14.25"/>
  <cols>
    <col min="1" max="1" width="5.140625" style="22" customWidth="1"/>
    <col min="2" max="2" width="31.85546875" style="22" customWidth="1"/>
    <col min="3" max="4" width="15.140625" style="22" customWidth="1"/>
    <col min="5" max="5" width="8" style="22" customWidth="1"/>
    <col min="6" max="6" width="15.140625" style="22" customWidth="1"/>
    <col min="7" max="7" width="8" style="22" customWidth="1"/>
    <col min="8" max="16384" width="11.42578125" style="22"/>
  </cols>
  <sheetData>
    <row r="1" spans="1:16" ht="18" customHeight="1">
      <c r="B1" s="384" t="s">
        <v>4039</v>
      </c>
      <c r="D1" s="681"/>
      <c r="E1" s="681"/>
      <c r="F1" s="861">
        <f>IF('Portada 1-con Código Presup.'!$M$2="",'Portada 2-sin Código Presup.'!$K$1,'Portada 1-con Código Presup.'!$M$2)</f>
        <v>0</v>
      </c>
      <c r="G1" s="862"/>
      <c r="H1" s="49"/>
    </row>
    <row r="2" spans="1:16" ht="18">
      <c r="B2" s="384" t="s">
        <v>4592</v>
      </c>
      <c r="C2" s="384"/>
      <c r="D2" s="384"/>
      <c r="E2" s="384"/>
      <c r="F2" s="384"/>
      <c r="G2" s="384"/>
    </row>
    <row r="3" spans="1:16" ht="18">
      <c r="B3" s="384" t="s">
        <v>5682</v>
      </c>
      <c r="C3" s="384"/>
      <c r="D3" s="384"/>
      <c r="E3" s="384"/>
      <c r="F3" s="384"/>
      <c r="G3" s="384"/>
    </row>
    <row r="4" spans="1:16" ht="18">
      <c r="A4" s="385"/>
      <c r="B4" s="384" t="s">
        <v>4591</v>
      </c>
      <c r="C4" s="385"/>
      <c r="D4" s="385"/>
      <c r="E4" s="385"/>
      <c r="F4" s="385"/>
      <c r="G4" s="385"/>
    </row>
    <row r="5" spans="1:16" s="218" customFormat="1" ht="24" customHeight="1" thickBot="1">
      <c r="B5" s="386" t="s">
        <v>4579</v>
      </c>
      <c r="C5" s="339"/>
      <c r="D5" s="339"/>
      <c r="E5" s="339"/>
      <c r="F5" s="339"/>
      <c r="G5" s="339"/>
      <c r="H5" s="387"/>
      <c r="I5" s="387"/>
      <c r="J5" s="387"/>
      <c r="K5" s="387"/>
      <c r="L5" s="387"/>
      <c r="M5" s="387"/>
      <c r="N5" s="387"/>
      <c r="O5" s="387"/>
      <c r="P5" s="387"/>
    </row>
    <row r="6" spans="1:16" ht="27" customHeight="1" thickTop="1" thickBot="1">
      <c r="B6" s="388" t="s">
        <v>1201</v>
      </c>
      <c r="C6" s="389" t="s">
        <v>0</v>
      </c>
      <c r="D6" s="946" t="s">
        <v>883</v>
      </c>
      <c r="E6" s="947"/>
      <c r="F6" s="948" t="s">
        <v>884</v>
      </c>
      <c r="G6" s="948"/>
      <c r="H6" s="390"/>
      <c r="I6" s="390"/>
      <c r="J6" s="390"/>
      <c r="K6" s="390"/>
      <c r="L6" s="390"/>
      <c r="M6" s="390"/>
      <c r="N6" s="390"/>
      <c r="O6" s="390"/>
      <c r="P6" s="390"/>
    </row>
    <row r="7" spans="1:16" ht="30.75" customHeight="1" thickTop="1" thickBot="1">
      <c r="B7" s="391" t="s">
        <v>2002</v>
      </c>
      <c r="C7" s="392">
        <f>SUM(C8:C13)</f>
        <v>0</v>
      </c>
      <c r="D7" s="393">
        <f>SUM(D8:D13)</f>
        <v>0</v>
      </c>
      <c r="E7" s="394" t="s">
        <v>5683</v>
      </c>
      <c r="F7" s="393">
        <f>SUM(F8:F13)</f>
        <v>0</v>
      </c>
      <c r="G7" s="395" t="s">
        <v>5683</v>
      </c>
    </row>
    <row r="8" spans="1:16" ht="28.5" customHeight="1">
      <c r="B8" s="396" t="s">
        <v>3467</v>
      </c>
      <c r="C8" s="397">
        <f t="shared" ref="C8:C13" si="0">+D8+F8</f>
        <v>0</v>
      </c>
      <c r="D8" s="398"/>
      <c r="E8" s="399" t="str">
        <f>IFERROR(IF('Portada 1-con Código Presup.'!$O$5="",VLOOKUP('Portada 1-con Código Presup.'!$M$2,aplazados,18,FALSE),VLOOKUP('Portada 2-sin Código Presup.'!$L$1,aplazados,18,FALSE)),"")</f>
        <v/>
      </c>
      <c r="F8" s="398"/>
      <c r="G8" s="400" t="str">
        <f>IFERROR(IF('Portada 1-con Código Presup.'!$O$5="",VLOOKUP('Portada 1-con Código Presup.'!$M$2,aplazados,29,FALSE),VLOOKUP('Portada 2-sin Código Presup.'!$L$1,aplazados,29,FALSE)),"")</f>
        <v/>
      </c>
    </row>
    <row r="9" spans="1:16" ht="28.5" customHeight="1">
      <c r="B9" s="401" t="s">
        <v>3468</v>
      </c>
      <c r="C9" s="356">
        <f t="shared" si="0"/>
        <v>0</v>
      </c>
      <c r="D9" s="402"/>
      <c r="E9" s="403" t="str">
        <f>IFERROR(IF('Portada 1-con Código Presup.'!$O$5="",VLOOKUP('Portada 1-con Código Presup.'!$M$2,aplazados,20,FALSE),VLOOKUP('Portada 2-sin Código Presup.'!$L$1,aplazados,20,FALSE)),"")</f>
        <v/>
      </c>
      <c r="F9" s="402"/>
      <c r="G9" s="404" t="str">
        <f>IFERROR(IF('Portada 1-con Código Presup.'!$O$5="",VLOOKUP('Portada 1-con Código Presup.'!$M$2,aplazados,30,FALSE),VLOOKUP('Portada 2-sin Código Presup.'!$L$1,aplazados,30,FALSE)),"")</f>
        <v/>
      </c>
    </row>
    <row r="10" spans="1:16" ht="28.5" customHeight="1">
      <c r="B10" s="401" t="s">
        <v>3469</v>
      </c>
      <c r="C10" s="356">
        <f t="shared" si="0"/>
        <v>0</v>
      </c>
      <c r="D10" s="402"/>
      <c r="E10" s="403" t="str">
        <f>IFERROR(IF('Portada 1-con Código Presup.'!$O$5="",VLOOKUP('Portada 1-con Código Presup.'!$M$2,aplazados,22,FALSE),VLOOKUP('Portada 2-sin Código Presup.'!$L$1,aplazados,22,FALSE)),"")</f>
        <v/>
      </c>
      <c r="F10" s="402"/>
      <c r="G10" s="404" t="str">
        <f>IFERROR(IF('Portada 1-con Código Presup.'!$O$5="",VLOOKUP('Portada 1-con Código Presup.'!$M$2,aplazados,31,FALSE),VLOOKUP('Portada 2-sin Código Presup.'!$L$1,aplazados,31,FALSE)),"")</f>
        <v/>
      </c>
    </row>
    <row r="11" spans="1:16" ht="28.5" customHeight="1">
      <c r="B11" s="401" t="s">
        <v>3446</v>
      </c>
      <c r="C11" s="326">
        <f t="shared" si="0"/>
        <v>0</v>
      </c>
      <c r="D11" s="402"/>
      <c r="E11" s="403" t="str">
        <f>IFERROR(IF('Portada 1-con Código Presup.'!$O$5="",VLOOKUP('Portada 1-con Código Presup.'!$M$2,aplazados,24,FALSE),VLOOKUP('Portada 2-sin Código Presup.'!$L$1,aplazados,24,FALSE)),"")</f>
        <v/>
      </c>
      <c r="F11" s="402"/>
      <c r="G11" s="404" t="str">
        <f>IFERROR(IF('Portada 1-con Código Presup.'!$O$5="",VLOOKUP('Portada 1-con Código Presup.'!$M$2,aplazados,32,FALSE),VLOOKUP('Portada 2-sin Código Presup.'!$L$1,aplazados,32,FALSE)),"")</f>
        <v/>
      </c>
    </row>
    <row r="12" spans="1:16" ht="28.5" customHeight="1" thickBot="1">
      <c r="B12" s="405" t="s">
        <v>3470</v>
      </c>
      <c r="C12" s="406">
        <f t="shared" si="0"/>
        <v>0</v>
      </c>
      <c r="D12" s="407"/>
      <c r="E12" s="408" t="str">
        <f>IFERROR(IF('Portada 1-con Código Presup.'!$O$5="",VLOOKUP('Portada 1-con Código Presup.'!$M$2,aplazados,26,FALSE),VLOOKUP('Portada 2-sin Código Presup.'!$L$1,aplazados,26,FALSE)),"")</f>
        <v/>
      </c>
      <c r="F12" s="407"/>
      <c r="G12" s="409" t="str">
        <f>IFERROR(IF('Portada 1-con Código Presup.'!$O$5="",VLOOKUP('Portada 1-con Código Presup.'!$M$2,aplazados,33,FALSE),VLOOKUP('Portada 2-sin Código Presup.'!$L$1,aplazados,33,FALSE)),"")</f>
        <v/>
      </c>
    </row>
    <row r="13" spans="1:16" ht="28.5" hidden="1" customHeight="1" thickBot="1">
      <c r="B13" s="693" t="s">
        <v>3471</v>
      </c>
      <c r="C13" s="694">
        <f t="shared" si="0"/>
        <v>0</v>
      </c>
      <c r="D13" s="695"/>
      <c r="E13" s="696" t="str">
        <f>IFERROR(IF('Portada 1-con Código Presup.'!$O$5="",VLOOKUP('Portada 1-con Código Presup.'!$M$2,aplazados,28,FALSE),VLOOKUP('Portada 2-sin Código Presup.'!$L$1,aplazados,28,FALSE)),"")</f>
        <v/>
      </c>
      <c r="F13" s="695"/>
      <c r="G13" s="697" t="str">
        <f>IFERROR(IF('Portada 1-con Código Presup.'!$O$5="",VLOOKUP('Portada 1-con Código Presup.'!$M$2,aplazados,34,FALSE),VLOOKUP('Portada 2-sin Código Presup.'!$L$1,aplazados,34,FALSE)),"")</f>
        <v/>
      </c>
    </row>
    <row r="14" spans="1:16" s="103" customFormat="1" ht="9.75" customHeight="1" thickTop="1">
      <c r="A14" s="410"/>
      <c r="B14" s="411"/>
      <c r="C14" s="410"/>
      <c r="D14" s="412" t="str">
        <f>IF(OR(D8&gt;E8,D9&gt;E9,D10&gt;E10,D11&gt;E11,D12&gt;E12,D13&gt;E13),"XX","")</f>
        <v/>
      </c>
      <c r="E14" s="410"/>
      <c r="F14" s="412" t="str">
        <f>IF(OR(F8&gt;G8,F9&gt;G9,F10&gt;G10,F11&gt;G11,F12&gt;G12,F13&gt;G13),"XX","")</f>
        <v/>
      </c>
      <c r="G14" s="410"/>
    </row>
    <row r="15" spans="1:16" ht="30" customHeight="1">
      <c r="B15" s="900" t="str">
        <f>IF(OR(D14="XX",F14="XX"),"¡VERIFICAR!.  El dato digitado es mayor a la cifra de aplazados reportada en el Censo Escolar 2022-Informe Final.","")</f>
        <v/>
      </c>
      <c r="C15" s="900"/>
      <c r="D15" s="900"/>
      <c r="E15" s="900"/>
      <c r="F15" s="900"/>
      <c r="G15" s="900"/>
    </row>
    <row r="16" spans="1:16" ht="30" customHeight="1">
      <c r="B16" s="900"/>
      <c r="C16" s="900"/>
      <c r="D16" s="900"/>
      <c r="E16" s="900"/>
      <c r="F16" s="900"/>
      <c r="G16" s="900"/>
    </row>
    <row r="17" spans="2:7" ht="15.75">
      <c r="B17" s="21" t="s">
        <v>1202</v>
      </c>
    </row>
    <row r="18" spans="2:7">
      <c r="B18" s="937"/>
      <c r="C18" s="938"/>
      <c r="D18" s="938"/>
      <c r="E18" s="938"/>
      <c r="F18" s="938"/>
      <c r="G18" s="939"/>
    </row>
    <row r="19" spans="2:7">
      <c r="B19" s="940"/>
      <c r="C19" s="941"/>
      <c r="D19" s="941"/>
      <c r="E19" s="941"/>
      <c r="F19" s="941"/>
      <c r="G19" s="942"/>
    </row>
    <row r="20" spans="2:7">
      <c r="B20" s="940"/>
      <c r="C20" s="941"/>
      <c r="D20" s="941"/>
      <c r="E20" s="941"/>
      <c r="F20" s="941"/>
      <c r="G20" s="942"/>
    </row>
    <row r="21" spans="2:7">
      <c r="B21" s="940"/>
      <c r="C21" s="941"/>
      <c r="D21" s="941"/>
      <c r="E21" s="941"/>
      <c r="F21" s="941"/>
      <c r="G21" s="942"/>
    </row>
    <row r="22" spans="2:7">
      <c r="B22" s="943"/>
      <c r="C22" s="944"/>
      <c r="D22" s="944"/>
      <c r="E22" s="944"/>
      <c r="F22" s="944"/>
      <c r="G22" s="945"/>
    </row>
  </sheetData>
  <sheetProtection algorithmName="SHA-512" hashValue="tGC7J3SLnU04XvWuAsrdws6fknxVKF1OYihTet064Xm0UKV/zGuGyMUu1baQgfu9gL8TPCz56sYqgSslwARtag==" saltValue="S6B2eyziDT7j5ypd8yAY9g==" spinCount="100000" sheet="1" objects="1" scenarios="1"/>
  <mergeCells count="5">
    <mergeCell ref="B18:G22"/>
    <mergeCell ref="D6:E6"/>
    <mergeCell ref="F6:G6"/>
    <mergeCell ref="B15:G16"/>
    <mergeCell ref="F1:G1"/>
  </mergeCells>
  <conditionalFormatting sqref="D7 C7:C13">
    <cfRule type="cellIs" dxfId="43" priority="28" operator="equal">
      <formula>0</formula>
    </cfRule>
  </conditionalFormatting>
  <conditionalFormatting sqref="E8:E13">
    <cfRule type="cellIs" dxfId="42" priority="27" operator="equal">
      <formula>0</formula>
    </cfRule>
  </conditionalFormatting>
  <conditionalFormatting sqref="F7">
    <cfRule type="cellIs" dxfId="41" priority="26" operator="equal">
      <formula>0</formula>
    </cfRule>
  </conditionalFormatting>
  <conditionalFormatting sqref="D8">
    <cfRule type="expression" dxfId="40" priority="25">
      <formula>D8&gt;E8</formula>
    </cfRule>
  </conditionalFormatting>
  <conditionalFormatting sqref="G8:G13">
    <cfRule type="cellIs" dxfId="39" priority="16" operator="equal">
      <formula>0</formula>
    </cfRule>
  </conditionalFormatting>
  <conditionalFormatting sqref="D9">
    <cfRule type="expression" dxfId="38" priority="13">
      <formula>D9&gt;E9</formula>
    </cfRule>
  </conditionalFormatting>
  <conditionalFormatting sqref="D10">
    <cfRule type="expression" dxfId="37" priority="12">
      <formula>D10&gt;E10</formula>
    </cfRule>
  </conditionalFormatting>
  <conditionalFormatting sqref="D11">
    <cfRule type="expression" dxfId="36" priority="11">
      <formula>D11&gt;E11</formula>
    </cfRule>
  </conditionalFormatting>
  <conditionalFormatting sqref="D12">
    <cfRule type="expression" dxfId="35" priority="10">
      <formula>D12&gt;E12</formula>
    </cfRule>
  </conditionalFormatting>
  <conditionalFormatting sqref="D13">
    <cfRule type="expression" dxfId="34" priority="9">
      <formula>D13&gt;E13</formula>
    </cfRule>
  </conditionalFormatting>
  <conditionalFormatting sqref="F8">
    <cfRule type="expression" dxfId="33" priority="8">
      <formula>F8&gt;G8</formula>
    </cfRule>
  </conditionalFormatting>
  <conditionalFormatting sqref="F9">
    <cfRule type="expression" dxfId="32" priority="7">
      <formula>F9&gt;G9</formula>
    </cfRule>
  </conditionalFormatting>
  <conditionalFormatting sqref="F10">
    <cfRule type="expression" dxfId="31" priority="6">
      <formula>F10&gt;G10</formula>
    </cfRule>
  </conditionalFormatting>
  <conditionalFormatting sqref="F11">
    <cfRule type="expression" dxfId="30" priority="5">
      <formula>F11&gt;G11</formula>
    </cfRule>
  </conditionalFormatting>
  <conditionalFormatting sqref="F12">
    <cfRule type="expression" dxfId="29" priority="4">
      <formula>F12&gt;G12</formula>
    </cfRule>
  </conditionalFormatting>
  <conditionalFormatting sqref="B15:G16">
    <cfRule type="notContainsBlanks" dxfId="28" priority="2">
      <formula>LEN(TRIM(B15))&gt;0</formula>
    </cfRule>
  </conditionalFormatting>
  <conditionalFormatting sqref="F13">
    <cfRule type="expression" dxfId="27" priority="1">
      <formula>F13&gt;G13</formula>
    </cfRule>
  </conditionalFormatting>
  <dataValidations count="1">
    <dataValidation type="whole" operator="greaterThanOrEqual" allowBlank="1" showInputMessage="1" showErrorMessage="1" sqref="C7:D13 F7:F13">
      <formula1>0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orientation="landscape" r:id="rId1"/>
  <headerFooter scaleWithDoc="0">
    <oddFooter>&amp;R&amp;"Goudy,Negrita Cursiva"Académica Diurna&amp;"Goudy,Cursiva", página 10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1:W33"/>
  <sheetViews>
    <sheetView showGridLines="0" zoomScale="90" zoomScaleNormal="90" workbookViewId="0">
      <selection activeCell="V1" sqref="V1:W1"/>
    </sheetView>
  </sheetViews>
  <sheetFormatPr baseColWidth="10" defaultRowHeight="14.25"/>
  <cols>
    <col min="1" max="1" width="4.42578125" style="106" customWidth="1"/>
    <col min="2" max="2" width="39.28515625" style="106" customWidth="1"/>
    <col min="3" max="5" width="6.5703125" style="106" customWidth="1"/>
    <col min="6" max="23" width="6.28515625" style="106" customWidth="1"/>
    <col min="24" max="16384" width="11.42578125" style="106"/>
  </cols>
  <sheetData>
    <row r="1" spans="2:23" ht="18">
      <c r="B1" s="678" t="s">
        <v>3445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156"/>
      <c r="N1" s="156"/>
      <c r="Q1" s="681"/>
      <c r="R1" s="681"/>
      <c r="S1" s="681"/>
      <c r="T1" s="681"/>
      <c r="U1" s="681"/>
      <c r="V1" s="861">
        <f>IF('Portada 1-con Código Presup.'!$M$2="",'Portada 2-sin Código Presup.'!$K$1,'Portada 1-con Código Presup.'!$M$2)</f>
        <v>0</v>
      </c>
      <c r="W1" s="862"/>
    </row>
    <row r="2" spans="2:23" ht="18">
      <c r="B2" s="679" t="s">
        <v>4593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2:23" s="218" customFormat="1" ht="18.75" thickBot="1">
      <c r="B3" s="386" t="s">
        <v>4579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</row>
    <row r="4" spans="2:23" ht="19.5" customHeight="1" thickTop="1">
      <c r="B4" s="959" t="s">
        <v>1203</v>
      </c>
      <c r="C4" s="961" t="s">
        <v>0</v>
      </c>
      <c r="D4" s="962"/>
      <c r="E4" s="963"/>
      <c r="F4" s="964" t="s">
        <v>3467</v>
      </c>
      <c r="G4" s="907"/>
      <c r="H4" s="907"/>
      <c r="I4" s="964" t="s">
        <v>3468</v>
      </c>
      <c r="J4" s="907"/>
      <c r="K4" s="907"/>
      <c r="L4" s="964" t="s">
        <v>3469</v>
      </c>
      <c r="M4" s="907"/>
      <c r="N4" s="907"/>
      <c r="O4" s="964" t="s">
        <v>3446</v>
      </c>
      <c r="P4" s="907"/>
      <c r="Q4" s="907"/>
      <c r="R4" s="964" t="s">
        <v>3470</v>
      </c>
      <c r="S4" s="907"/>
      <c r="T4" s="907"/>
      <c r="U4" s="964" t="s">
        <v>3471</v>
      </c>
      <c r="V4" s="907"/>
      <c r="W4" s="907"/>
    </row>
    <row r="5" spans="2:23" ht="30" customHeight="1" thickBot="1">
      <c r="B5" s="960"/>
      <c r="C5" s="340" t="s">
        <v>0</v>
      </c>
      <c r="D5" s="341" t="s">
        <v>1204</v>
      </c>
      <c r="E5" s="342" t="s">
        <v>1205</v>
      </c>
      <c r="F5" s="343" t="s">
        <v>0</v>
      </c>
      <c r="G5" s="341" t="s">
        <v>1204</v>
      </c>
      <c r="H5" s="344" t="s">
        <v>1205</v>
      </c>
      <c r="I5" s="343" t="s">
        <v>0</v>
      </c>
      <c r="J5" s="341" t="s">
        <v>1204</v>
      </c>
      <c r="K5" s="344" t="s">
        <v>1205</v>
      </c>
      <c r="L5" s="343" t="s">
        <v>0</v>
      </c>
      <c r="M5" s="341" t="s">
        <v>1204</v>
      </c>
      <c r="N5" s="344" t="s">
        <v>1205</v>
      </c>
      <c r="O5" s="343" t="s">
        <v>0</v>
      </c>
      <c r="P5" s="341" t="s">
        <v>1204</v>
      </c>
      <c r="Q5" s="344" t="s">
        <v>1205</v>
      </c>
      <c r="R5" s="343" t="s">
        <v>0</v>
      </c>
      <c r="S5" s="341" t="s">
        <v>1204</v>
      </c>
      <c r="T5" s="344" t="s">
        <v>1205</v>
      </c>
      <c r="U5" s="345" t="s">
        <v>0</v>
      </c>
      <c r="V5" s="346" t="s">
        <v>1204</v>
      </c>
      <c r="W5" s="347" t="s">
        <v>1205</v>
      </c>
    </row>
    <row r="6" spans="2:23" ht="23.25" customHeight="1" thickTop="1">
      <c r="B6" s="348" t="s">
        <v>1206</v>
      </c>
      <c r="C6" s="349">
        <f t="shared" ref="C6:C26" si="0">D6+E6</f>
        <v>0</v>
      </c>
      <c r="D6" s="350">
        <f>G6+J6+M6+P6+S6+V6</f>
        <v>0</v>
      </c>
      <c r="E6" s="351">
        <f>+H6+K6+N6+Q6+T6+W6</f>
        <v>0</v>
      </c>
      <c r="F6" s="352">
        <f t="shared" ref="F6:F26" si="1">+G6+H6</f>
        <v>0</v>
      </c>
      <c r="G6" s="353"/>
      <c r="H6" s="353"/>
      <c r="I6" s="352">
        <f t="shared" ref="I6:I26" si="2">+J6+K6</f>
        <v>0</v>
      </c>
      <c r="J6" s="353"/>
      <c r="K6" s="353"/>
      <c r="L6" s="352">
        <f t="shared" ref="L6:L26" si="3">+M6+N6</f>
        <v>0</v>
      </c>
      <c r="M6" s="353"/>
      <c r="N6" s="353"/>
      <c r="O6" s="352">
        <f t="shared" ref="O6:O26" si="4">+P6+Q6</f>
        <v>0</v>
      </c>
      <c r="P6" s="353"/>
      <c r="Q6" s="353"/>
      <c r="R6" s="352">
        <f t="shared" ref="R6:R26" si="5">+S6+T6</f>
        <v>0</v>
      </c>
      <c r="S6" s="353"/>
      <c r="T6" s="353"/>
      <c r="U6" s="352">
        <f t="shared" ref="U6:U26" si="6">+V6+W6</f>
        <v>0</v>
      </c>
      <c r="V6" s="353"/>
      <c r="W6" s="354"/>
    </row>
    <row r="7" spans="2:23" ht="23.25" customHeight="1">
      <c r="B7" s="355" t="s">
        <v>1207</v>
      </c>
      <c r="C7" s="356">
        <f t="shared" si="0"/>
        <v>0</v>
      </c>
      <c r="D7" s="357">
        <f>G7+J7+M7+P7+S7+V7</f>
        <v>0</v>
      </c>
      <c r="E7" s="358">
        <f>+H7+K7+N7+Q7+T7+W7</f>
        <v>0</v>
      </c>
      <c r="F7" s="359">
        <f t="shared" si="1"/>
        <v>0</v>
      </c>
      <c r="G7" s="360"/>
      <c r="H7" s="361"/>
      <c r="I7" s="359">
        <f t="shared" si="2"/>
        <v>0</v>
      </c>
      <c r="J7" s="360"/>
      <c r="K7" s="361"/>
      <c r="L7" s="359">
        <f t="shared" si="3"/>
        <v>0</v>
      </c>
      <c r="M7" s="360"/>
      <c r="N7" s="361"/>
      <c r="O7" s="359">
        <f t="shared" si="4"/>
        <v>0</v>
      </c>
      <c r="P7" s="360"/>
      <c r="Q7" s="361"/>
      <c r="R7" s="359">
        <f t="shared" si="5"/>
        <v>0</v>
      </c>
      <c r="S7" s="360"/>
      <c r="T7" s="361"/>
      <c r="U7" s="359">
        <f t="shared" si="6"/>
        <v>0</v>
      </c>
      <c r="V7" s="360"/>
      <c r="W7" s="362"/>
    </row>
    <row r="8" spans="2:23" ht="23.25" customHeight="1">
      <c r="B8" s="355" t="s">
        <v>1209</v>
      </c>
      <c r="C8" s="356">
        <f t="shared" si="0"/>
        <v>0</v>
      </c>
      <c r="D8" s="357">
        <f t="shared" ref="D8:D26" si="7">G8+J8+M8+P8+S8+V8</f>
        <v>0</v>
      </c>
      <c r="E8" s="358">
        <f t="shared" ref="E8:E26" si="8">+H8+K8+N8+Q8+T8+W8</f>
        <v>0</v>
      </c>
      <c r="F8" s="359">
        <f t="shared" si="1"/>
        <v>0</v>
      </c>
      <c r="G8" s="360"/>
      <c r="H8" s="361"/>
      <c r="I8" s="359">
        <f t="shared" si="2"/>
        <v>0</v>
      </c>
      <c r="J8" s="360"/>
      <c r="K8" s="361"/>
      <c r="L8" s="359">
        <f t="shared" si="3"/>
        <v>0</v>
      </c>
      <c r="M8" s="360"/>
      <c r="N8" s="361"/>
      <c r="O8" s="359">
        <f t="shared" si="4"/>
        <v>0</v>
      </c>
      <c r="P8" s="360"/>
      <c r="Q8" s="361"/>
      <c r="R8" s="359">
        <f t="shared" si="5"/>
        <v>0</v>
      </c>
      <c r="S8" s="360"/>
      <c r="T8" s="361"/>
      <c r="U8" s="359">
        <f t="shared" si="6"/>
        <v>0</v>
      </c>
      <c r="V8" s="360"/>
      <c r="W8" s="362"/>
    </row>
    <row r="9" spans="2:23" ht="23.25" customHeight="1">
      <c r="B9" s="355" t="s">
        <v>1208</v>
      </c>
      <c r="C9" s="356">
        <f t="shared" si="0"/>
        <v>0</v>
      </c>
      <c r="D9" s="357">
        <f t="shared" si="7"/>
        <v>0</v>
      </c>
      <c r="E9" s="358">
        <f t="shared" si="8"/>
        <v>0</v>
      </c>
      <c r="F9" s="359">
        <f t="shared" si="1"/>
        <v>0</v>
      </c>
      <c r="G9" s="360"/>
      <c r="H9" s="361"/>
      <c r="I9" s="359">
        <f t="shared" si="2"/>
        <v>0</v>
      </c>
      <c r="J9" s="360"/>
      <c r="K9" s="361"/>
      <c r="L9" s="359">
        <f t="shared" si="3"/>
        <v>0</v>
      </c>
      <c r="M9" s="360"/>
      <c r="N9" s="361"/>
      <c r="O9" s="359">
        <f t="shared" si="4"/>
        <v>0</v>
      </c>
      <c r="P9" s="360"/>
      <c r="Q9" s="361"/>
      <c r="R9" s="359">
        <f t="shared" si="5"/>
        <v>0</v>
      </c>
      <c r="S9" s="360"/>
      <c r="T9" s="361"/>
      <c r="U9" s="359">
        <f t="shared" si="6"/>
        <v>0</v>
      </c>
      <c r="V9" s="360"/>
      <c r="W9" s="362"/>
    </row>
    <row r="10" spans="2:23" ht="23.25" customHeight="1">
      <c r="B10" s="355" t="s">
        <v>3434</v>
      </c>
      <c r="C10" s="356">
        <f t="shared" si="0"/>
        <v>0</v>
      </c>
      <c r="D10" s="363">
        <f t="shared" si="7"/>
        <v>0</v>
      </c>
      <c r="E10" s="358">
        <f t="shared" si="8"/>
        <v>0</v>
      </c>
      <c r="F10" s="359">
        <f t="shared" si="1"/>
        <v>0</v>
      </c>
      <c r="G10" s="360"/>
      <c r="H10" s="361"/>
      <c r="I10" s="359">
        <f t="shared" si="2"/>
        <v>0</v>
      </c>
      <c r="J10" s="360"/>
      <c r="K10" s="361"/>
      <c r="L10" s="359">
        <f t="shared" si="3"/>
        <v>0</v>
      </c>
      <c r="M10" s="360"/>
      <c r="N10" s="361"/>
      <c r="O10" s="359">
        <f t="shared" si="4"/>
        <v>0</v>
      </c>
      <c r="P10" s="360"/>
      <c r="Q10" s="361"/>
      <c r="R10" s="359">
        <f t="shared" si="5"/>
        <v>0</v>
      </c>
      <c r="S10" s="360"/>
      <c r="T10" s="361"/>
      <c r="U10" s="359">
        <f t="shared" si="6"/>
        <v>0</v>
      </c>
      <c r="V10" s="360"/>
      <c r="W10" s="362"/>
    </row>
    <row r="11" spans="2:23" ht="23.25" customHeight="1">
      <c r="B11" s="355" t="s">
        <v>3435</v>
      </c>
      <c r="C11" s="356">
        <f t="shared" ref="C11:C17" si="9">D11+E11</f>
        <v>0</v>
      </c>
      <c r="D11" s="357">
        <f t="shared" ref="D11:D17" si="10">G11+J11+M11+P11+S11+V11</f>
        <v>0</v>
      </c>
      <c r="E11" s="358">
        <f t="shared" ref="E11:E17" si="11">+H11+K11+N11+Q11+T11+W11</f>
        <v>0</v>
      </c>
      <c r="F11" s="359">
        <f t="shared" ref="F11:F17" si="12">+G11+H11</f>
        <v>0</v>
      </c>
      <c r="G11" s="360"/>
      <c r="H11" s="361"/>
      <c r="I11" s="359">
        <f t="shared" ref="I11:I17" si="13">+J11+K11</f>
        <v>0</v>
      </c>
      <c r="J11" s="360"/>
      <c r="K11" s="361"/>
      <c r="L11" s="359">
        <f t="shared" ref="L11:L17" si="14">+M11+N11</f>
        <v>0</v>
      </c>
      <c r="M11" s="360"/>
      <c r="N11" s="361"/>
      <c r="O11" s="359">
        <f t="shared" ref="O11:O17" si="15">+P11+Q11</f>
        <v>0</v>
      </c>
      <c r="P11" s="360"/>
      <c r="Q11" s="361"/>
      <c r="R11" s="359">
        <f t="shared" ref="R11:R17" si="16">+S11+T11</f>
        <v>0</v>
      </c>
      <c r="S11" s="360"/>
      <c r="T11" s="361"/>
      <c r="U11" s="359">
        <f t="shared" ref="U11:U17" si="17">+V11+W11</f>
        <v>0</v>
      </c>
      <c r="V11" s="360"/>
      <c r="W11" s="362"/>
    </row>
    <row r="12" spans="2:23" ht="23.25" customHeight="1">
      <c r="B12" s="355" t="s">
        <v>3436</v>
      </c>
      <c r="C12" s="356">
        <f t="shared" si="9"/>
        <v>0</v>
      </c>
      <c r="D12" s="357">
        <f t="shared" si="10"/>
        <v>0</v>
      </c>
      <c r="E12" s="358">
        <f t="shared" si="11"/>
        <v>0</v>
      </c>
      <c r="F12" s="359">
        <f t="shared" si="12"/>
        <v>0</v>
      </c>
      <c r="G12" s="360"/>
      <c r="H12" s="361"/>
      <c r="I12" s="359">
        <f t="shared" si="13"/>
        <v>0</v>
      </c>
      <c r="J12" s="360"/>
      <c r="K12" s="361"/>
      <c r="L12" s="359">
        <f t="shared" si="14"/>
        <v>0</v>
      </c>
      <c r="M12" s="360"/>
      <c r="N12" s="361"/>
      <c r="O12" s="359">
        <f t="shared" si="15"/>
        <v>0</v>
      </c>
      <c r="P12" s="360"/>
      <c r="Q12" s="361"/>
      <c r="R12" s="359">
        <f t="shared" si="16"/>
        <v>0</v>
      </c>
      <c r="S12" s="360"/>
      <c r="T12" s="361"/>
      <c r="U12" s="359">
        <f t="shared" si="17"/>
        <v>0</v>
      </c>
      <c r="V12" s="360"/>
      <c r="W12" s="362"/>
    </row>
    <row r="13" spans="2:23" ht="23.25" customHeight="1">
      <c r="B13" s="355" t="s">
        <v>890</v>
      </c>
      <c r="C13" s="356">
        <f t="shared" si="9"/>
        <v>0</v>
      </c>
      <c r="D13" s="357">
        <f t="shared" si="10"/>
        <v>0</v>
      </c>
      <c r="E13" s="358">
        <f t="shared" si="11"/>
        <v>0</v>
      </c>
      <c r="F13" s="359">
        <f t="shared" si="12"/>
        <v>0</v>
      </c>
      <c r="G13" s="360"/>
      <c r="H13" s="361"/>
      <c r="I13" s="359">
        <f t="shared" si="13"/>
        <v>0</v>
      </c>
      <c r="J13" s="360"/>
      <c r="K13" s="361"/>
      <c r="L13" s="359">
        <f t="shared" si="14"/>
        <v>0</v>
      </c>
      <c r="M13" s="360"/>
      <c r="N13" s="361"/>
      <c r="O13" s="359">
        <f t="shared" si="15"/>
        <v>0</v>
      </c>
      <c r="P13" s="360"/>
      <c r="Q13" s="361"/>
      <c r="R13" s="359">
        <f t="shared" si="16"/>
        <v>0</v>
      </c>
      <c r="S13" s="360"/>
      <c r="T13" s="361"/>
      <c r="U13" s="359">
        <f t="shared" si="17"/>
        <v>0</v>
      </c>
      <c r="V13" s="360"/>
      <c r="W13" s="362"/>
    </row>
    <row r="14" spans="2:23" ht="23.25" customHeight="1">
      <c r="B14" s="355" t="s">
        <v>19</v>
      </c>
      <c r="C14" s="356">
        <f t="shared" si="9"/>
        <v>0</v>
      </c>
      <c r="D14" s="357">
        <f t="shared" si="10"/>
        <v>0</v>
      </c>
      <c r="E14" s="358">
        <f t="shared" si="11"/>
        <v>0</v>
      </c>
      <c r="F14" s="359">
        <f t="shared" si="12"/>
        <v>0</v>
      </c>
      <c r="G14" s="360"/>
      <c r="H14" s="361"/>
      <c r="I14" s="359">
        <f t="shared" si="13"/>
        <v>0</v>
      </c>
      <c r="J14" s="360"/>
      <c r="K14" s="361"/>
      <c r="L14" s="359">
        <f t="shared" si="14"/>
        <v>0</v>
      </c>
      <c r="M14" s="360"/>
      <c r="N14" s="361"/>
      <c r="O14" s="359">
        <f t="shared" si="15"/>
        <v>0</v>
      </c>
      <c r="P14" s="360"/>
      <c r="Q14" s="361"/>
      <c r="R14" s="359">
        <f t="shared" si="16"/>
        <v>0</v>
      </c>
      <c r="S14" s="360"/>
      <c r="T14" s="361"/>
      <c r="U14" s="359">
        <f t="shared" si="17"/>
        <v>0</v>
      </c>
      <c r="V14" s="360"/>
      <c r="W14" s="362"/>
    </row>
    <row r="15" spans="2:23" ht="23.25" customHeight="1">
      <c r="B15" s="364" t="s">
        <v>4385</v>
      </c>
      <c r="C15" s="356">
        <f>D15+E15</f>
        <v>0</v>
      </c>
      <c r="D15" s="357">
        <f>G15+J15+M15+P15+S15+V15</f>
        <v>0</v>
      </c>
      <c r="E15" s="358">
        <f>+H15+K15+N15+Q15+T15+W15</f>
        <v>0</v>
      </c>
      <c r="F15" s="359">
        <f>+G15+H15</f>
        <v>0</v>
      </c>
      <c r="G15" s="360"/>
      <c r="H15" s="361"/>
      <c r="I15" s="359">
        <f>+J15+K15</f>
        <v>0</v>
      </c>
      <c r="J15" s="360"/>
      <c r="K15" s="361"/>
      <c r="L15" s="359">
        <f>+M15+N15</f>
        <v>0</v>
      </c>
      <c r="M15" s="360"/>
      <c r="N15" s="361"/>
      <c r="O15" s="359">
        <f>+P15+Q15</f>
        <v>0</v>
      </c>
      <c r="P15" s="360"/>
      <c r="Q15" s="361"/>
      <c r="R15" s="359">
        <f>+S15+T15</f>
        <v>0</v>
      </c>
      <c r="S15" s="360"/>
      <c r="T15" s="361"/>
      <c r="U15" s="359">
        <f>+V15+W15</f>
        <v>0</v>
      </c>
      <c r="V15" s="360"/>
      <c r="W15" s="362"/>
    </row>
    <row r="16" spans="2:23" ht="23.25" customHeight="1">
      <c r="B16" s="355" t="s">
        <v>971</v>
      </c>
      <c r="C16" s="356">
        <f t="shared" si="9"/>
        <v>0</v>
      </c>
      <c r="D16" s="357">
        <f t="shared" si="10"/>
        <v>0</v>
      </c>
      <c r="E16" s="358">
        <f t="shared" si="11"/>
        <v>0</v>
      </c>
      <c r="F16" s="359">
        <f t="shared" si="12"/>
        <v>0</v>
      </c>
      <c r="G16" s="360"/>
      <c r="H16" s="361"/>
      <c r="I16" s="359">
        <f t="shared" si="13"/>
        <v>0</v>
      </c>
      <c r="J16" s="360"/>
      <c r="K16" s="361"/>
      <c r="L16" s="359">
        <f t="shared" si="14"/>
        <v>0</v>
      </c>
      <c r="M16" s="360"/>
      <c r="N16" s="361"/>
      <c r="O16" s="359">
        <f t="shared" si="15"/>
        <v>0</v>
      </c>
      <c r="P16" s="360"/>
      <c r="Q16" s="361"/>
      <c r="R16" s="359">
        <f t="shared" si="16"/>
        <v>0</v>
      </c>
      <c r="S16" s="360"/>
      <c r="T16" s="361"/>
      <c r="U16" s="359">
        <f t="shared" si="17"/>
        <v>0</v>
      </c>
      <c r="V16" s="360"/>
      <c r="W16" s="362"/>
    </row>
    <row r="17" spans="2:23" ht="23.25" customHeight="1">
      <c r="B17" s="355" t="s">
        <v>972</v>
      </c>
      <c r="C17" s="356">
        <f t="shared" si="9"/>
        <v>0</v>
      </c>
      <c r="D17" s="357">
        <f t="shared" si="10"/>
        <v>0</v>
      </c>
      <c r="E17" s="358">
        <f t="shared" si="11"/>
        <v>0</v>
      </c>
      <c r="F17" s="359">
        <f t="shared" si="12"/>
        <v>0</v>
      </c>
      <c r="G17" s="360"/>
      <c r="H17" s="361"/>
      <c r="I17" s="359">
        <f t="shared" si="13"/>
        <v>0</v>
      </c>
      <c r="J17" s="360"/>
      <c r="K17" s="361"/>
      <c r="L17" s="359">
        <f t="shared" si="14"/>
        <v>0</v>
      </c>
      <c r="M17" s="360"/>
      <c r="N17" s="361"/>
      <c r="O17" s="359">
        <f t="shared" si="15"/>
        <v>0</v>
      </c>
      <c r="P17" s="360"/>
      <c r="Q17" s="361"/>
      <c r="R17" s="359">
        <f t="shared" si="16"/>
        <v>0</v>
      </c>
      <c r="S17" s="360"/>
      <c r="T17" s="361"/>
      <c r="U17" s="359">
        <f t="shared" si="17"/>
        <v>0</v>
      </c>
      <c r="V17" s="360"/>
      <c r="W17" s="362"/>
    </row>
    <row r="18" spans="2:23" ht="23.25" customHeight="1">
      <c r="B18" s="355" t="s">
        <v>3437</v>
      </c>
      <c r="C18" s="356">
        <f t="shared" si="0"/>
        <v>0</v>
      </c>
      <c r="D18" s="357">
        <f t="shared" si="7"/>
        <v>0</v>
      </c>
      <c r="E18" s="358">
        <f t="shared" si="8"/>
        <v>0</v>
      </c>
      <c r="F18" s="359">
        <f t="shared" si="1"/>
        <v>0</v>
      </c>
      <c r="G18" s="360"/>
      <c r="H18" s="361"/>
      <c r="I18" s="359">
        <f t="shared" si="2"/>
        <v>0</v>
      </c>
      <c r="J18" s="360"/>
      <c r="K18" s="361"/>
      <c r="L18" s="359">
        <f t="shared" si="3"/>
        <v>0</v>
      </c>
      <c r="M18" s="360"/>
      <c r="N18" s="361"/>
      <c r="O18" s="359">
        <f t="shared" si="4"/>
        <v>0</v>
      </c>
      <c r="P18" s="360"/>
      <c r="Q18" s="361"/>
      <c r="R18" s="359">
        <f t="shared" si="5"/>
        <v>0</v>
      </c>
      <c r="S18" s="360"/>
      <c r="T18" s="361"/>
      <c r="U18" s="359">
        <f t="shared" si="6"/>
        <v>0</v>
      </c>
      <c r="V18" s="360"/>
      <c r="W18" s="362"/>
    </row>
    <row r="19" spans="2:23" ht="23.25" customHeight="1">
      <c r="B19" s="355" t="s">
        <v>3438</v>
      </c>
      <c r="C19" s="356">
        <f t="shared" si="0"/>
        <v>0</v>
      </c>
      <c r="D19" s="357">
        <f t="shared" si="7"/>
        <v>0</v>
      </c>
      <c r="E19" s="358">
        <f t="shared" si="8"/>
        <v>0</v>
      </c>
      <c r="F19" s="359">
        <f t="shared" si="1"/>
        <v>0</v>
      </c>
      <c r="G19" s="360"/>
      <c r="H19" s="361"/>
      <c r="I19" s="359">
        <f t="shared" si="2"/>
        <v>0</v>
      </c>
      <c r="J19" s="360"/>
      <c r="K19" s="361"/>
      <c r="L19" s="359">
        <f t="shared" si="3"/>
        <v>0</v>
      </c>
      <c r="M19" s="360"/>
      <c r="N19" s="361"/>
      <c r="O19" s="359">
        <f t="shared" si="4"/>
        <v>0</v>
      </c>
      <c r="P19" s="360"/>
      <c r="Q19" s="361"/>
      <c r="R19" s="359">
        <f t="shared" si="5"/>
        <v>0</v>
      </c>
      <c r="S19" s="360"/>
      <c r="T19" s="361"/>
      <c r="U19" s="359">
        <f t="shared" si="6"/>
        <v>0</v>
      </c>
      <c r="V19" s="360"/>
      <c r="W19" s="362"/>
    </row>
    <row r="20" spans="2:23" ht="23.25" customHeight="1">
      <c r="B20" s="355" t="s">
        <v>880</v>
      </c>
      <c r="C20" s="356">
        <f t="shared" si="0"/>
        <v>0</v>
      </c>
      <c r="D20" s="357">
        <f t="shared" si="7"/>
        <v>0</v>
      </c>
      <c r="E20" s="358">
        <f t="shared" si="8"/>
        <v>0</v>
      </c>
      <c r="F20" s="359">
        <f t="shared" si="1"/>
        <v>0</v>
      </c>
      <c r="G20" s="360"/>
      <c r="H20" s="361"/>
      <c r="I20" s="359">
        <f t="shared" si="2"/>
        <v>0</v>
      </c>
      <c r="J20" s="360"/>
      <c r="K20" s="361"/>
      <c r="L20" s="359">
        <f t="shared" si="3"/>
        <v>0</v>
      </c>
      <c r="M20" s="360"/>
      <c r="N20" s="361"/>
      <c r="O20" s="359">
        <f t="shared" si="4"/>
        <v>0</v>
      </c>
      <c r="P20" s="360"/>
      <c r="Q20" s="361"/>
      <c r="R20" s="359">
        <f t="shared" si="5"/>
        <v>0</v>
      </c>
      <c r="S20" s="360"/>
      <c r="T20" s="361"/>
      <c r="U20" s="359">
        <f t="shared" si="6"/>
        <v>0</v>
      </c>
      <c r="V20" s="360"/>
      <c r="W20" s="362"/>
    </row>
    <row r="21" spans="2:23" ht="23.25" customHeight="1">
      <c r="B21" s="355" t="s">
        <v>881</v>
      </c>
      <c r="C21" s="356">
        <f t="shared" si="0"/>
        <v>0</v>
      </c>
      <c r="D21" s="357">
        <f t="shared" si="7"/>
        <v>0</v>
      </c>
      <c r="E21" s="358">
        <f t="shared" si="8"/>
        <v>0</v>
      </c>
      <c r="F21" s="359">
        <f t="shared" si="1"/>
        <v>0</v>
      </c>
      <c r="G21" s="360"/>
      <c r="H21" s="361"/>
      <c r="I21" s="359">
        <f t="shared" si="2"/>
        <v>0</v>
      </c>
      <c r="J21" s="360"/>
      <c r="K21" s="361"/>
      <c r="L21" s="359">
        <f t="shared" si="3"/>
        <v>0</v>
      </c>
      <c r="M21" s="360"/>
      <c r="N21" s="361"/>
      <c r="O21" s="359">
        <f t="shared" si="4"/>
        <v>0</v>
      </c>
      <c r="P21" s="360"/>
      <c r="Q21" s="361"/>
      <c r="R21" s="359">
        <f t="shared" si="5"/>
        <v>0</v>
      </c>
      <c r="S21" s="360"/>
      <c r="T21" s="361"/>
      <c r="U21" s="359">
        <f t="shared" si="6"/>
        <v>0</v>
      </c>
      <c r="V21" s="360"/>
      <c r="W21" s="362"/>
    </row>
    <row r="22" spans="2:23" ht="23.25" customHeight="1">
      <c r="B22" s="355" t="s">
        <v>879</v>
      </c>
      <c r="C22" s="356">
        <f t="shared" si="0"/>
        <v>0</v>
      </c>
      <c r="D22" s="357">
        <f t="shared" si="7"/>
        <v>0</v>
      </c>
      <c r="E22" s="358">
        <f t="shared" si="8"/>
        <v>0</v>
      </c>
      <c r="F22" s="359">
        <f t="shared" si="1"/>
        <v>0</v>
      </c>
      <c r="G22" s="360"/>
      <c r="H22" s="361"/>
      <c r="I22" s="359">
        <f t="shared" si="2"/>
        <v>0</v>
      </c>
      <c r="J22" s="360"/>
      <c r="K22" s="361"/>
      <c r="L22" s="359">
        <f t="shared" si="3"/>
        <v>0</v>
      </c>
      <c r="M22" s="360"/>
      <c r="N22" s="361"/>
      <c r="O22" s="359">
        <f t="shared" si="4"/>
        <v>0</v>
      </c>
      <c r="P22" s="360"/>
      <c r="Q22" s="361"/>
      <c r="R22" s="359">
        <f t="shared" si="5"/>
        <v>0</v>
      </c>
      <c r="S22" s="360"/>
      <c r="T22" s="361"/>
      <c r="U22" s="359">
        <f t="shared" si="6"/>
        <v>0</v>
      </c>
      <c r="V22" s="360"/>
      <c r="W22" s="362"/>
    </row>
    <row r="23" spans="2:23" ht="23.25" customHeight="1">
      <c r="B23" s="355" t="s">
        <v>3439</v>
      </c>
      <c r="C23" s="356">
        <f t="shared" si="0"/>
        <v>0</v>
      </c>
      <c r="D23" s="357">
        <f t="shared" si="7"/>
        <v>0</v>
      </c>
      <c r="E23" s="358">
        <f t="shared" si="8"/>
        <v>0</v>
      </c>
      <c r="F23" s="359">
        <f t="shared" si="1"/>
        <v>0</v>
      </c>
      <c r="G23" s="360"/>
      <c r="H23" s="361"/>
      <c r="I23" s="359">
        <f t="shared" si="2"/>
        <v>0</v>
      </c>
      <c r="J23" s="360"/>
      <c r="K23" s="361"/>
      <c r="L23" s="359">
        <f t="shared" si="3"/>
        <v>0</v>
      </c>
      <c r="M23" s="360"/>
      <c r="N23" s="361"/>
      <c r="O23" s="359">
        <f t="shared" si="4"/>
        <v>0</v>
      </c>
      <c r="P23" s="360"/>
      <c r="Q23" s="361"/>
      <c r="R23" s="359">
        <f t="shared" si="5"/>
        <v>0</v>
      </c>
      <c r="S23" s="360"/>
      <c r="T23" s="361"/>
      <c r="U23" s="359">
        <f t="shared" si="6"/>
        <v>0</v>
      </c>
      <c r="V23" s="360"/>
      <c r="W23" s="362"/>
    </row>
    <row r="24" spans="2:23" ht="23.25" customHeight="1">
      <c r="B24" s="355" t="s">
        <v>3440</v>
      </c>
      <c r="C24" s="356">
        <f t="shared" si="0"/>
        <v>0</v>
      </c>
      <c r="D24" s="357">
        <f t="shared" si="7"/>
        <v>0</v>
      </c>
      <c r="E24" s="358">
        <f t="shared" si="8"/>
        <v>0</v>
      </c>
      <c r="F24" s="359">
        <f t="shared" si="1"/>
        <v>0</v>
      </c>
      <c r="G24" s="360"/>
      <c r="H24" s="361"/>
      <c r="I24" s="359">
        <f t="shared" si="2"/>
        <v>0</v>
      </c>
      <c r="J24" s="360"/>
      <c r="K24" s="361"/>
      <c r="L24" s="359">
        <f t="shared" si="3"/>
        <v>0</v>
      </c>
      <c r="M24" s="360"/>
      <c r="N24" s="361"/>
      <c r="O24" s="359">
        <f t="shared" si="4"/>
        <v>0</v>
      </c>
      <c r="P24" s="360"/>
      <c r="Q24" s="361"/>
      <c r="R24" s="359">
        <f t="shared" si="5"/>
        <v>0</v>
      </c>
      <c r="S24" s="360"/>
      <c r="T24" s="361"/>
      <c r="U24" s="359">
        <f t="shared" si="6"/>
        <v>0</v>
      </c>
      <c r="V24" s="360"/>
      <c r="W24" s="362"/>
    </row>
    <row r="25" spans="2:23" ht="23.25" customHeight="1">
      <c r="B25" s="365" t="s">
        <v>882</v>
      </c>
      <c r="C25" s="366">
        <f t="shared" si="0"/>
        <v>0</v>
      </c>
      <c r="D25" s="367">
        <f t="shared" si="7"/>
        <v>0</v>
      </c>
      <c r="E25" s="368">
        <f t="shared" si="8"/>
        <v>0</v>
      </c>
      <c r="F25" s="369">
        <f t="shared" si="1"/>
        <v>0</v>
      </c>
      <c r="G25" s="370"/>
      <c r="H25" s="371"/>
      <c r="I25" s="369">
        <f t="shared" si="2"/>
        <v>0</v>
      </c>
      <c r="J25" s="370"/>
      <c r="K25" s="371"/>
      <c r="L25" s="369">
        <f t="shared" si="3"/>
        <v>0</v>
      </c>
      <c r="M25" s="370"/>
      <c r="N25" s="371"/>
      <c r="O25" s="369">
        <f t="shared" si="4"/>
        <v>0</v>
      </c>
      <c r="P25" s="370"/>
      <c r="Q25" s="371"/>
      <c r="R25" s="369">
        <f t="shared" si="5"/>
        <v>0</v>
      </c>
      <c r="S25" s="370"/>
      <c r="T25" s="371"/>
      <c r="U25" s="369">
        <f t="shared" si="6"/>
        <v>0</v>
      </c>
      <c r="V25" s="370"/>
      <c r="W25" s="372"/>
    </row>
    <row r="26" spans="2:23" ht="23.25" customHeight="1" thickBot="1">
      <c r="B26" s="373" t="s">
        <v>2001</v>
      </c>
      <c r="C26" s="374">
        <f t="shared" si="0"/>
        <v>0</v>
      </c>
      <c r="D26" s="375">
        <f t="shared" si="7"/>
        <v>0</v>
      </c>
      <c r="E26" s="376">
        <f t="shared" si="8"/>
        <v>0</v>
      </c>
      <c r="F26" s="377">
        <f t="shared" si="1"/>
        <v>0</v>
      </c>
      <c r="G26" s="378"/>
      <c r="H26" s="379"/>
      <c r="I26" s="377">
        <f t="shared" si="2"/>
        <v>0</v>
      </c>
      <c r="J26" s="378"/>
      <c r="K26" s="379"/>
      <c r="L26" s="377">
        <f t="shared" si="3"/>
        <v>0</v>
      </c>
      <c r="M26" s="378"/>
      <c r="N26" s="379"/>
      <c r="O26" s="377">
        <f t="shared" si="4"/>
        <v>0</v>
      </c>
      <c r="P26" s="378"/>
      <c r="Q26" s="379"/>
      <c r="R26" s="377">
        <f t="shared" si="5"/>
        <v>0</v>
      </c>
      <c r="S26" s="378"/>
      <c r="T26" s="379"/>
      <c r="U26" s="377">
        <f t="shared" si="6"/>
        <v>0</v>
      </c>
      <c r="V26" s="378"/>
      <c r="W26" s="380"/>
    </row>
    <row r="27" spans="2:23" ht="18.75" thickTop="1">
      <c r="B27" s="381"/>
      <c r="C27" s="22"/>
      <c r="D27" s="49"/>
      <c r="E27" s="49"/>
      <c r="F27" s="382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</row>
    <row r="28" spans="2:23" ht="15.75">
      <c r="B28" s="108" t="s">
        <v>1202</v>
      </c>
      <c r="G28" s="949"/>
      <c r="H28" s="949"/>
      <c r="I28" s="949"/>
      <c r="J28" s="949"/>
      <c r="K28" s="949"/>
      <c r="L28" s="949"/>
      <c r="M28" s="949"/>
      <c r="N28" s="949"/>
      <c r="O28" s="949"/>
      <c r="P28" s="949"/>
      <c r="Q28" s="949"/>
      <c r="R28" s="949"/>
      <c r="S28" s="949"/>
      <c r="T28" s="949"/>
      <c r="U28" s="949"/>
      <c r="V28" s="949"/>
      <c r="W28" s="949"/>
    </row>
    <row r="29" spans="2:23" ht="18" customHeight="1">
      <c r="B29" s="950"/>
      <c r="C29" s="951"/>
      <c r="D29" s="951"/>
      <c r="E29" s="951"/>
      <c r="F29" s="951"/>
      <c r="G29" s="951"/>
      <c r="H29" s="951"/>
      <c r="I29" s="951"/>
      <c r="J29" s="951"/>
      <c r="K29" s="951"/>
      <c r="L29" s="951"/>
      <c r="M29" s="951"/>
      <c r="N29" s="951"/>
      <c r="O29" s="951"/>
      <c r="P29" s="951"/>
      <c r="Q29" s="951"/>
      <c r="R29" s="951"/>
      <c r="S29" s="951"/>
      <c r="T29" s="951"/>
      <c r="U29" s="951"/>
      <c r="V29" s="951"/>
      <c r="W29" s="952"/>
    </row>
    <row r="30" spans="2:23" ht="18" customHeight="1">
      <c r="B30" s="953"/>
      <c r="C30" s="954"/>
      <c r="D30" s="954"/>
      <c r="E30" s="954"/>
      <c r="F30" s="954"/>
      <c r="G30" s="954"/>
      <c r="H30" s="954"/>
      <c r="I30" s="954"/>
      <c r="J30" s="954"/>
      <c r="K30" s="954"/>
      <c r="L30" s="954"/>
      <c r="M30" s="954"/>
      <c r="N30" s="954"/>
      <c r="O30" s="954"/>
      <c r="P30" s="954"/>
      <c r="Q30" s="954"/>
      <c r="R30" s="954"/>
      <c r="S30" s="954"/>
      <c r="T30" s="954"/>
      <c r="U30" s="954"/>
      <c r="V30" s="954"/>
      <c r="W30" s="955"/>
    </row>
    <row r="31" spans="2:23" ht="18" customHeight="1">
      <c r="B31" s="953"/>
      <c r="C31" s="954"/>
      <c r="D31" s="954"/>
      <c r="E31" s="954"/>
      <c r="F31" s="954"/>
      <c r="G31" s="954"/>
      <c r="H31" s="954"/>
      <c r="I31" s="954"/>
      <c r="J31" s="954"/>
      <c r="K31" s="954"/>
      <c r="L31" s="954"/>
      <c r="M31" s="954"/>
      <c r="N31" s="954"/>
      <c r="O31" s="954"/>
      <c r="P31" s="954"/>
      <c r="Q31" s="954"/>
      <c r="R31" s="954"/>
      <c r="S31" s="954"/>
      <c r="T31" s="954"/>
      <c r="U31" s="954"/>
      <c r="V31" s="954"/>
      <c r="W31" s="955"/>
    </row>
    <row r="32" spans="2:23" ht="18" customHeight="1">
      <c r="B32" s="953"/>
      <c r="C32" s="954"/>
      <c r="D32" s="954"/>
      <c r="E32" s="954"/>
      <c r="F32" s="954"/>
      <c r="G32" s="954"/>
      <c r="H32" s="954"/>
      <c r="I32" s="954"/>
      <c r="J32" s="954"/>
      <c r="K32" s="954"/>
      <c r="L32" s="954"/>
      <c r="M32" s="954"/>
      <c r="N32" s="954"/>
      <c r="O32" s="954"/>
      <c r="P32" s="954"/>
      <c r="Q32" s="954"/>
      <c r="R32" s="954"/>
      <c r="S32" s="954"/>
      <c r="T32" s="954"/>
      <c r="U32" s="954"/>
      <c r="V32" s="954"/>
      <c r="W32" s="955"/>
    </row>
    <row r="33" spans="2:23" ht="18" customHeight="1">
      <c r="B33" s="956"/>
      <c r="C33" s="957"/>
      <c r="D33" s="957"/>
      <c r="E33" s="957"/>
      <c r="F33" s="957"/>
      <c r="G33" s="957"/>
      <c r="H33" s="957"/>
      <c r="I33" s="957"/>
      <c r="J33" s="957"/>
      <c r="K33" s="957"/>
      <c r="L33" s="957"/>
      <c r="M33" s="957"/>
      <c r="N33" s="957"/>
      <c r="O33" s="957"/>
      <c r="P33" s="957"/>
      <c r="Q33" s="957"/>
      <c r="R33" s="957"/>
      <c r="S33" s="957"/>
      <c r="T33" s="957"/>
      <c r="U33" s="957"/>
      <c r="V33" s="957"/>
      <c r="W33" s="958"/>
    </row>
  </sheetData>
  <sheetProtection algorithmName="SHA-512" hashValue="YnZWxvbdBKdyaGwnQYJ/5RCKIoNU3x35n5SmAiP94hTBcxy8hwksFRzSG+7+ANPPy8pDkDSlsSLKQnktPpFd1Q==" saltValue="hGKov9Ev6BOcJ2AeLvka0w==" spinCount="100000" sheet="1" objects="1" scenarios="1"/>
  <mergeCells count="11">
    <mergeCell ref="V1:W1"/>
    <mergeCell ref="G28:W28"/>
    <mergeCell ref="B29:W33"/>
    <mergeCell ref="B4:B5"/>
    <mergeCell ref="C4:E4"/>
    <mergeCell ref="F4:H4"/>
    <mergeCell ref="I4:K4"/>
    <mergeCell ref="L4:N4"/>
    <mergeCell ref="O4:Q4"/>
    <mergeCell ref="R4:T4"/>
    <mergeCell ref="U4:W4"/>
  </mergeCells>
  <conditionalFormatting sqref="C6:F26 I6:I26 L6:L26 O6:O26 R6:R26 U6:U26">
    <cfRule type="cellIs" dxfId="26" priority="272" operator="equal">
      <formula>0</formula>
    </cfRule>
  </conditionalFormatting>
  <conditionalFormatting sqref="G27">
    <cfRule type="containsText" dxfId="25" priority="270" operator="containsText" text="¡VERIFICAR!">
      <formula>NOT(ISERROR(SEARCH("¡VERIFICAR!",G27)))</formula>
    </cfRule>
  </conditionalFormatting>
  <dataValidations count="1">
    <dataValidation type="whole" operator="greaterThanOrEqual" allowBlank="1" showInputMessage="1" showErrorMessage="1" sqref="C6:W26">
      <formula1>0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scale="77" orientation="landscape" r:id="rId1"/>
  <headerFooter scaleWithDoc="0">
    <oddFooter>&amp;R&amp;"Goudy,Negrita Cursiva"Académica Diurna&amp;"Goudy,Cursiva", página 11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B1:I17"/>
  <sheetViews>
    <sheetView showGridLines="0" zoomScale="90" zoomScaleNormal="90" workbookViewId="0">
      <selection activeCell="E1" sqref="E1:F1"/>
    </sheetView>
  </sheetViews>
  <sheetFormatPr baseColWidth="10" defaultRowHeight="14.25"/>
  <cols>
    <col min="1" max="1" width="2.42578125" style="218" customWidth="1"/>
    <col min="2" max="2" width="70.5703125" style="218" customWidth="1"/>
    <col min="3" max="3" width="9" style="218" customWidth="1"/>
    <col min="4" max="6" width="12.5703125" style="218" customWidth="1"/>
    <col min="7" max="9" width="12" style="218" customWidth="1"/>
    <col min="10" max="16384" width="11.42578125" style="218"/>
  </cols>
  <sheetData>
    <row r="1" spans="2:9" ht="18">
      <c r="B1" s="610" t="s">
        <v>1956</v>
      </c>
      <c r="C1" s="681"/>
      <c r="D1" s="681"/>
      <c r="E1" s="861">
        <f>IF('Portada 1-con Código Presup.'!$M$2="",'Portada 2-sin Código Presup.'!$K$1,'Portada 1-con Código Presup.'!$M$2)</f>
        <v>0</v>
      </c>
      <c r="F1" s="862"/>
    </row>
    <row r="2" spans="2:9" ht="18">
      <c r="B2" s="117" t="s">
        <v>5692</v>
      </c>
      <c r="C2" s="117"/>
      <c r="D2" s="117"/>
      <c r="E2" s="117"/>
      <c r="F2" s="117"/>
    </row>
    <row r="3" spans="2:9" ht="21.75" customHeight="1" thickBot="1">
      <c r="B3" s="386" t="s">
        <v>5694</v>
      </c>
      <c r="C3" s="117"/>
      <c r="D3" s="117"/>
      <c r="E3" s="117"/>
      <c r="F3" s="117"/>
    </row>
    <row r="4" spans="2:9" ht="26.25" customHeight="1" thickTop="1" thickBot="1">
      <c r="B4" s="314" t="s">
        <v>885</v>
      </c>
      <c r="C4" s="315"/>
      <c r="D4" s="316" t="s">
        <v>0</v>
      </c>
      <c r="E4" s="317" t="s">
        <v>883</v>
      </c>
      <c r="F4" s="318" t="s">
        <v>884</v>
      </c>
    </row>
    <row r="5" spans="2:9" ht="34.5" customHeight="1" thickTop="1" thickBot="1">
      <c r="B5" s="319" t="s">
        <v>1235</v>
      </c>
      <c r="C5" s="319"/>
      <c r="D5" s="320">
        <f t="shared" ref="D5:D10" si="0">+E5+F5</f>
        <v>0</v>
      </c>
      <c r="E5" s="222">
        <f>SUM(E6:E10)</f>
        <v>0</v>
      </c>
      <c r="F5" s="321">
        <f>SUM(F6:F10)</f>
        <v>0</v>
      </c>
    </row>
    <row r="6" spans="2:9" ht="34.5" customHeight="1">
      <c r="B6" s="322" t="s">
        <v>4777</v>
      </c>
      <c r="C6" s="322" t="s">
        <v>1957</v>
      </c>
      <c r="D6" s="173">
        <f t="shared" si="0"/>
        <v>0</v>
      </c>
      <c r="E6" s="323"/>
      <c r="F6" s="324"/>
    </row>
    <row r="7" spans="2:9" ht="34.5" customHeight="1">
      <c r="B7" s="325" t="s">
        <v>4778</v>
      </c>
      <c r="C7" s="325" t="s">
        <v>1957</v>
      </c>
      <c r="D7" s="326">
        <f t="shared" si="0"/>
        <v>0</v>
      </c>
      <c r="E7" s="327"/>
      <c r="F7" s="328"/>
    </row>
    <row r="8" spans="2:9" ht="34.5" customHeight="1">
      <c r="B8" s="325" t="s">
        <v>3449</v>
      </c>
      <c r="C8" s="325"/>
      <c r="D8" s="326">
        <f t="shared" si="0"/>
        <v>0</v>
      </c>
      <c r="E8" s="327"/>
      <c r="F8" s="328"/>
    </row>
    <row r="9" spans="2:9" ht="34.5" customHeight="1">
      <c r="B9" s="325" t="s">
        <v>4779</v>
      </c>
      <c r="C9" s="325"/>
      <c r="D9" s="326">
        <f t="shared" si="0"/>
        <v>0</v>
      </c>
      <c r="E9" s="327"/>
      <c r="F9" s="328"/>
      <c r="G9" s="966" t="str">
        <f>IF(AND(OR(D9=0),AND(('CUADRO 8'!F7+'CUADRO 8'!L7)&gt;0)),"¿Quién atiende los estudiantes que reciben Servicio de Apoyo Educativo?",(IF(AND(OR(D9&gt;0),AND(('CUADRO 8'!F7+'CUADRO 8'!L7)=0)),"¡No reportó datos en el Cuadro 8!","")))</f>
        <v/>
      </c>
      <c r="H9" s="966"/>
      <c r="I9" s="966"/>
    </row>
    <row r="10" spans="2:9" ht="34.5" customHeight="1" thickBot="1">
      <c r="B10" s="329" t="s">
        <v>4780</v>
      </c>
      <c r="C10" s="329" t="s">
        <v>1957</v>
      </c>
      <c r="D10" s="330">
        <f t="shared" si="0"/>
        <v>0</v>
      </c>
      <c r="E10" s="331"/>
      <c r="F10" s="332"/>
      <c r="G10" s="333"/>
      <c r="H10" s="333"/>
      <c r="I10" s="333"/>
    </row>
    <row r="11" spans="2:9" ht="18" customHeight="1" thickTop="1">
      <c r="B11" s="260" t="s">
        <v>3442</v>
      </c>
      <c r="C11" s="334"/>
      <c r="D11" s="335"/>
      <c r="E11" s="336"/>
      <c r="F11" s="336"/>
    </row>
    <row r="12" spans="2:9" ht="21" customHeight="1">
      <c r="B12" s="265" t="s">
        <v>1202</v>
      </c>
      <c r="C12" s="265"/>
      <c r="E12" s="965"/>
      <c r="F12" s="965"/>
    </row>
    <row r="13" spans="2:9">
      <c r="B13" s="829"/>
      <c r="C13" s="830"/>
      <c r="D13" s="830"/>
      <c r="E13" s="830"/>
      <c r="F13" s="831"/>
    </row>
    <row r="14" spans="2:9">
      <c r="B14" s="832"/>
      <c r="C14" s="833"/>
      <c r="D14" s="833"/>
      <c r="E14" s="833"/>
      <c r="F14" s="834"/>
    </row>
    <row r="15" spans="2:9" ht="18" customHeight="1">
      <c r="B15" s="832"/>
      <c r="C15" s="833"/>
      <c r="D15" s="833"/>
      <c r="E15" s="833"/>
      <c r="F15" s="834"/>
    </row>
    <row r="16" spans="2:9" ht="18" customHeight="1">
      <c r="B16" s="832"/>
      <c r="C16" s="833"/>
      <c r="D16" s="833"/>
      <c r="E16" s="833"/>
      <c r="F16" s="834"/>
    </row>
    <row r="17" spans="2:6" ht="18" customHeight="1">
      <c r="B17" s="835"/>
      <c r="C17" s="836"/>
      <c r="D17" s="836"/>
      <c r="E17" s="836"/>
      <c r="F17" s="837"/>
    </row>
  </sheetData>
  <sheetProtection algorithmName="SHA-512" hashValue="6BOrUiD5WLKn8qL2l3w2nGlmU76p6I2MS7Sqjb+89HY2YUi8XDCa5xssauozzcYCTD42p/PMjQ1jyl2Rl9LJIg==" saltValue="aVeraaL2ZWE7t88e//QY8w==" spinCount="100000" sheet="1" objects="1" scenarios="1"/>
  <mergeCells count="4">
    <mergeCell ref="B13:F17"/>
    <mergeCell ref="E12:F12"/>
    <mergeCell ref="G9:I9"/>
    <mergeCell ref="E1:F1"/>
  </mergeCells>
  <conditionalFormatting sqref="D5:D10">
    <cfRule type="cellIs" dxfId="24" priority="4" operator="equal">
      <formula>0</formula>
    </cfRule>
  </conditionalFormatting>
  <conditionalFormatting sqref="D5:F5">
    <cfRule type="cellIs" dxfId="23" priority="3" operator="equal">
      <formula>0</formula>
    </cfRule>
  </conditionalFormatting>
  <dataValidations count="1">
    <dataValidation type="whole" operator="greaterThanOrEqual" allowBlank="1" showInputMessage="1" showErrorMessage="1" sqref="D5:F10">
      <formula1>0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scale="86" orientation="landscape" r:id="rId1"/>
  <headerFooter scaleWithDoc="0">
    <oddFooter>&amp;R&amp;"Goudy,Negrita Cursiva"Académica Diurna&amp;"Goudy,Cursiva", página 12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B1:J43"/>
  <sheetViews>
    <sheetView showGridLines="0" zoomScale="90" zoomScaleNormal="90" workbookViewId="0">
      <selection activeCell="I1" sqref="I1:J1"/>
    </sheetView>
  </sheetViews>
  <sheetFormatPr baseColWidth="10" defaultRowHeight="14.25"/>
  <cols>
    <col min="1" max="1" width="2.5703125" style="30" customWidth="1"/>
    <col min="2" max="2" width="60.140625" style="30" customWidth="1"/>
    <col min="3" max="5" width="11" style="30" customWidth="1"/>
    <col min="6" max="6" width="1.28515625" style="118" customWidth="1"/>
    <col min="7" max="7" width="59.85546875" style="30" customWidth="1"/>
    <col min="8" max="10" width="11" style="30" customWidth="1"/>
    <col min="11" max="16384" width="11.42578125" style="30"/>
  </cols>
  <sheetData>
    <row r="1" spans="2:10" s="100" customFormat="1" ht="18">
      <c r="B1" s="680" t="s">
        <v>1958</v>
      </c>
      <c r="C1" s="267"/>
      <c r="D1" s="267"/>
      <c r="E1" s="267"/>
      <c r="F1" s="267"/>
      <c r="G1" s="753"/>
      <c r="I1" s="861">
        <f>IF('Portada 1-con Código Presup.'!$M$2="",'Portada 2-sin Código Presup.'!$K$1,'Portada 1-con Código Presup.'!$M$2)</f>
        <v>0</v>
      </c>
      <c r="J1" s="862"/>
    </row>
    <row r="2" spans="2:10" s="118" customFormat="1" ht="18">
      <c r="B2" s="107" t="s">
        <v>5691</v>
      </c>
      <c r="C2" s="267"/>
      <c r="D2" s="267"/>
      <c r="E2" s="267"/>
      <c r="F2" s="267"/>
      <c r="G2" s="267"/>
      <c r="H2" s="267"/>
      <c r="I2" s="267"/>
      <c r="J2" s="267"/>
    </row>
    <row r="3" spans="2:10" s="218" customFormat="1" ht="18.75" thickBot="1">
      <c r="B3" s="386" t="s">
        <v>5694</v>
      </c>
      <c r="C3" s="117"/>
      <c r="D3" s="117"/>
      <c r="E3" s="117"/>
      <c r="F3" s="117"/>
    </row>
    <row r="4" spans="2:10" s="100" customFormat="1" ht="30" customHeight="1" thickTop="1" thickBot="1">
      <c r="B4" s="268" t="s">
        <v>885</v>
      </c>
      <c r="C4" s="269" t="s">
        <v>0</v>
      </c>
      <c r="D4" s="270" t="s">
        <v>883</v>
      </c>
      <c r="E4" s="268" t="s">
        <v>884</v>
      </c>
      <c r="F4" s="271"/>
      <c r="G4" s="268" t="s">
        <v>885</v>
      </c>
      <c r="H4" s="269" t="s">
        <v>0</v>
      </c>
      <c r="I4" s="270" t="s">
        <v>883</v>
      </c>
      <c r="J4" s="268" t="s">
        <v>884</v>
      </c>
    </row>
    <row r="5" spans="2:10" s="100" customFormat="1" ht="19.5" customHeight="1" thickTop="1" thickBot="1">
      <c r="B5" s="272" t="s">
        <v>960</v>
      </c>
      <c r="C5" s="221">
        <f t="shared" ref="C5:C35" si="0">+D5+E5</f>
        <v>0</v>
      </c>
      <c r="D5" s="273">
        <f>+D6+D12+D17+I9+I20</f>
        <v>0</v>
      </c>
      <c r="E5" s="274">
        <f>+E6+E12+E17+J9+J20</f>
        <v>0</v>
      </c>
      <c r="F5" s="275"/>
      <c r="G5" s="276"/>
      <c r="H5" s="277"/>
      <c r="I5" s="277"/>
      <c r="J5" s="277"/>
    </row>
    <row r="6" spans="2:10" s="100" customFormat="1" ht="19.5" customHeight="1">
      <c r="B6" s="278" t="s">
        <v>1959</v>
      </c>
      <c r="C6" s="279">
        <f t="shared" si="0"/>
        <v>0</v>
      </c>
      <c r="D6" s="280">
        <f>SUM(D7:D11)</f>
        <v>0</v>
      </c>
      <c r="E6" s="281">
        <f>SUM(E7:E11)</f>
        <v>0</v>
      </c>
      <c r="F6" s="275"/>
      <c r="G6" s="282" t="s">
        <v>882</v>
      </c>
      <c r="H6" s="234">
        <f>+I6+J6</f>
        <v>0</v>
      </c>
      <c r="I6" s="235"/>
      <c r="J6" s="283"/>
    </row>
    <row r="7" spans="2:10" s="100" customFormat="1" ht="19.5" customHeight="1">
      <c r="B7" s="232" t="s">
        <v>886</v>
      </c>
      <c r="C7" s="234">
        <f t="shared" si="0"/>
        <v>0</v>
      </c>
      <c r="D7" s="235"/>
      <c r="E7" s="283"/>
      <c r="F7" s="275"/>
      <c r="G7" s="284" t="s">
        <v>3464</v>
      </c>
      <c r="H7" s="252">
        <f t="shared" ref="H7:H34" si="1">+I7+J7</f>
        <v>0</v>
      </c>
      <c r="I7" s="285"/>
      <c r="J7" s="286"/>
    </row>
    <row r="8" spans="2:10" s="100" customFormat="1" ht="19.5" customHeight="1">
      <c r="B8" s="232" t="s">
        <v>3460</v>
      </c>
      <c r="C8" s="234">
        <f t="shared" si="0"/>
        <v>0</v>
      </c>
      <c r="D8" s="235"/>
      <c r="E8" s="283"/>
      <c r="F8" s="275"/>
      <c r="G8" s="287" t="s">
        <v>1227</v>
      </c>
      <c r="H8" s="288">
        <f t="shared" si="1"/>
        <v>0</v>
      </c>
      <c r="I8" s="289"/>
      <c r="J8" s="290"/>
    </row>
    <row r="9" spans="2:10" s="100" customFormat="1" ht="19.5" customHeight="1">
      <c r="B9" s="282" t="s">
        <v>887</v>
      </c>
      <c r="C9" s="234">
        <f t="shared" si="0"/>
        <v>0</v>
      </c>
      <c r="D9" s="235"/>
      <c r="E9" s="283"/>
      <c r="F9" s="275"/>
      <c r="G9" s="250" t="s">
        <v>1221</v>
      </c>
      <c r="H9" s="252">
        <f t="shared" si="1"/>
        <v>0</v>
      </c>
      <c r="I9" s="228">
        <f>SUM(I10:I19)</f>
        <v>0</v>
      </c>
      <c r="J9" s="291">
        <f>SUM(J10:J19)</f>
        <v>0</v>
      </c>
    </row>
    <row r="10" spans="2:10" s="100" customFormat="1" ht="19.5" customHeight="1">
      <c r="B10" s="292" t="s">
        <v>1222</v>
      </c>
      <c r="C10" s="293">
        <f t="shared" si="0"/>
        <v>0</v>
      </c>
      <c r="D10" s="294"/>
      <c r="E10" s="295"/>
      <c r="F10" s="275"/>
      <c r="G10" s="282" t="s">
        <v>970</v>
      </c>
      <c r="H10" s="234">
        <f t="shared" si="1"/>
        <v>0</v>
      </c>
      <c r="I10" s="235"/>
      <c r="J10" s="283"/>
    </row>
    <row r="11" spans="2:10" s="100" customFormat="1" ht="19.5" customHeight="1">
      <c r="B11" s="296" t="s">
        <v>3462</v>
      </c>
      <c r="C11" s="288">
        <f t="shared" si="0"/>
        <v>0</v>
      </c>
      <c r="D11" s="289"/>
      <c r="E11" s="297"/>
      <c r="F11" s="275"/>
      <c r="G11" s="282" t="s">
        <v>961</v>
      </c>
      <c r="H11" s="234">
        <f t="shared" si="1"/>
        <v>0</v>
      </c>
      <c r="I11" s="235"/>
      <c r="J11" s="283"/>
    </row>
    <row r="12" spans="2:10" s="100" customFormat="1" ht="19.5" customHeight="1">
      <c r="B12" s="298" t="s">
        <v>1960</v>
      </c>
      <c r="C12" s="173">
        <f t="shared" si="0"/>
        <v>0</v>
      </c>
      <c r="D12" s="299">
        <f>SUM(D13:D16)</f>
        <v>0</v>
      </c>
      <c r="E12" s="209">
        <f>SUM(E13:E16)</f>
        <v>0</v>
      </c>
      <c r="F12" s="275"/>
      <c r="G12" s="282" t="s">
        <v>962</v>
      </c>
      <c r="H12" s="234">
        <f t="shared" si="1"/>
        <v>0</v>
      </c>
      <c r="I12" s="235"/>
      <c r="J12" s="283"/>
    </row>
    <row r="13" spans="2:10" s="100" customFormat="1" ht="19.5" customHeight="1">
      <c r="B13" s="232" t="s">
        <v>1223</v>
      </c>
      <c r="C13" s="234">
        <f t="shared" si="0"/>
        <v>0</v>
      </c>
      <c r="D13" s="235"/>
      <c r="E13" s="283"/>
      <c r="F13" s="275"/>
      <c r="G13" s="300" t="s">
        <v>4595</v>
      </c>
      <c r="H13" s="234">
        <f t="shared" si="1"/>
        <v>0</v>
      </c>
      <c r="I13" s="235"/>
      <c r="J13" s="283"/>
    </row>
    <row r="14" spans="2:10" s="100" customFormat="1" ht="19.5" customHeight="1">
      <c r="B14" s="282" t="s">
        <v>1224</v>
      </c>
      <c r="C14" s="234">
        <f t="shared" si="0"/>
        <v>0</v>
      </c>
      <c r="D14" s="235"/>
      <c r="E14" s="283"/>
      <c r="F14" s="275"/>
      <c r="G14" s="300" t="s">
        <v>968</v>
      </c>
      <c r="H14" s="234">
        <f t="shared" si="1"/>
        <v>0</v>
      </c>
      <c r="I14" s="235"/>
      <c r="J14" s="283"/>
    </row>
    <row r="15" spans="2:10" s="100" customFormat="1" ht="19.5" customHeight="1">
      <c r="B15" s="292" t="s">
        <v>1225</v>
      </c>
      <c r="C15" s="293">
        <f t="shared" si="0"/>
        <v>0</v>
      </c>
      <c r="D15" s="294"/>
      <c r="E15" s="295"/>
      <c r="F15" s="275"/>
      <c r="G15" s="300" t="s">
        <v>963</v>
      </c>
      <c r="H15" s="234">
        <f t="shared" si="1"/>
        <v>0</v>
      </c>
      <c r="I15" s="235"/>
      <c r="J15" s="283"/>
    </row>
    <row r="16" spans="2:10" s="100" customFormat="1" ht="19.5" customHeight="1">
      <c r="B16" s="296" t="s">
        <v>3463</v>
      </c>
      <c r="C16" s="288">
        <f t="shared" si="0"/>
        <v>0</v>
      </c>
      <c r="D16" s="289"/>
      <c r="E16" s="297"/>
      <c r="F16" s="275"/>
      <c r="G16" s="300" t="s">
        <v>966</v>
      </c>
      <c r="H16" s="234">
        <f t="shared" si="1"/>
        <v>0</v>
      </c>
      <c r="I16" s="235"/>
      <c r="J16" s="283"/>
    </row>
    <row r="17" spans="2:10" s="100" customFormat="1" ht="19.5" customHeight="1">
      <c r="B17" s="250" t="s">
        <v>889</v>
      </c>
      <c r="C17" s="252">
        <f t="shared" si="0"/>
        <v>0</v>
      </c>
      <c r="D17" s="228">
        <f>SUM(D18:D36,I6:I8)</f>
        <v>0</v>
      </c>
      <c r="E17" s="291">
        <f>SUM(E18:E36,J6:J8)</f>
        <v>0</v>
      </c>
      <c r="F17" s="275"/>
      <c r="G17" s="300" t="s">
        <v>967</v>
      </c>
      <c r="H17" s="234">
        <f t="shared" si="1"/>
        <v>0</v>
      </c>
      <c r="I17" s="235"/>
      <c r="J17" s="283"/>
    </row>
    <row r="18" spans="2:10" s="100" customFormat="1" ht="19.5" customHeight="1">
      <c r="B18" s="282" t="s">
        <v>1206</v>
      </c>
      <c r="C18" s="234">
        <f t="shared" si="0"/>
        <v>0</v>
      </c>
      <c r="D18" s="235"/>
      <c r="E18" s="283"/>
      <c r="F18" s="275"/>
      <c r="G18" s="300" t="s">
        <v>3465</v>
      </c>
      <c r="H18" s="234">
        <f t="shared" si="1"/>
        <v>0</v>
      </c>
      <c r="I18" s="235"/>
      <c r="J18" s="283"/>
    </row>
    <row r="19" spans="2:10" s="100" customFormat="1" ht="19.5" customHeight="1">
      <c r="B19" s="282" t="s">
        <v>1207</v>
      </c>
      <c r="C19" s="234">
        <f t="shared" si="0"/>
        <v>0</v>
      </c>
      <c r="D19" s="235"/>
      <c r="E19" s="283"/>
      <c r="F19" s="275"/>
      <c r="G19" s="301" t="s">
        <v>1226</v>
      </c>
      <c r="H19" s="288">
        <f t="shared" si="1"/>
        <v>0</v>
      </c>
      <c r="I19" s="289"/>
      <c r="J19" s="290"/>
    </row>
    <row r="20" spans="2:10" s="100" customFormat="1" ht="19.5" customHeight="1">
      <c r="B20" s="282" t="s">
        <v>1209</v>
      </c>
      <c r="C20" s="234">
        <f t="shared" si="0"/>
        <v>0</v>
      </c>
      <c r="D20" s="235"/>
      <c r="E20" s="283"/>
      <c r="F20" s="275"/>
      <c r="G20" s="302" t="s">
        <v>891</v>
      </c>
      <c r="H20" s="173">
        <f t="shared" si="1"/>
        <v>0</v>
      </c>
      <c r="I20" s="299">
        <f>SUM(I21:I33)</f>
        <v>0</v>
      </c>
      <c r="J20" s="209">
        <f>SUM(J21:J33)</f>
        <v>0</v>
      </c>
    </row>
    <row r="21" spans="2:10" s="100" customFormat="1" ht="19.5" customHeight="1">
      <c r="B21" s="282" t="s">
        <v>1208</v>
      </c>
      <c r="C21" s="234">
        <f t="shared" si="0"/>
        <v>0</v>
      </c>
      <c r="D21" s="235"/>
      <c r="E21" s="283"/>
      <c r="F21" s="275"/>
      <c r="G21" s="300" t="s">
        <v>1961</v>
      </c>
      <c r="H21" s="234">
        <f t="shared" si="1"/>
        <v>0</v>
      </c>
      <c r="I21" s="235"/>
      <c r="J21" s="283"/>
    </row>
    <row r="22" spans="2:10" s="100" customFormat="1" ht="19.5" customHeight="1">
      <c r="B22" s="282" t="s">
        <v>3434</v>
      </c>
      <c r="C22" s="234">
        <f t="shared" si="0"/>
        <v>0</v>
      </c>
      <c r="D22" s="235"/>
      <c r="E22" s="283"/>
      <c r="F22" s="275"/>
      <c r="G22" s="300" t="s">
        <v>1053</v>
      </c>
      <c r="H22" s="234">
        <f t="shared" si="1"/>
        <v>0</v>
      </c>
      <c r="I22" s="235"/>
      <c r="J22" s="283"/>
    </row>
    <row r="23" spans="2:10" s="100" customFormat="1" ht="19.5" customHeight="1">
      <c r="B23" s="282" t="s">
        <v>3435</v>
      </c>
      <c r="C23" s="234">
        <f t="shared" si="0"/>
        <v>0</v>
      </c>
      <c r="D23" s="235"/>
      <c r="E23" s="283"/>
      <c r="F23" s="275"/>
      <c r="G23" s="300" t="s">
        <v>1054</v>
      </c>
      <c r="H23" s="234">
        <f t="shared" si="1"/>
        <v>0</v>
      </c>
      <c r="I23" s="235"/>
      <c r="J23" s="283"/>
    </row>
    <row r="24" spans="2:10" s="100" customFormat="1" ht="19.5" customHeight="1">
      <c r="B24" s="282" t="s">
        <v>3436</v>
      </c>
      <c r="C24" s="234">
        <f t="shared" si="0"/>
        <v>0</v>
      </c>
      <c r="D24" s="235"/>
      <c r="E24" s="283"/>
      <c r="F24" s="275"/>
      <c r="G24" s="300" t="s">
        <v>969</v>
      </c>
      <c r="H24" s="234">
        <f t="shared" si="1"/>
        <v>0</v>
      </c>
      <c r="I24" s="235"/>
      <c r="J24" s="283"/>
    </row>
    <row r="25" spans="2:10" s="100" customFormat="1" ht="19.5" customHeight="1">
      <c r="B25" s="282" t="s">
        <v>890</v>
      </c>
      <c r="C25" s="234">
        <f t="shared" si="0"/>
        <v>0</v>
      </c>
      <c r="D25" s="235"/>
      <c r="E25" s="283"/>
      <c r="F25" s="275"/>
      <c r="G25" s="300" t="s">
        <v>4596</v>
      </c>
      <c r="H25" s="234">
        <f t="shared" si="1"/>
        <v>0</v>
      </c>
      <c r="I25" s="235"/>
      <c r="J25" s="283"/>
    </row>
    <row r="26" spans="2:10" s="100" customFormat="1" ht="19.5" customHeight="1">
      <c r="B26" s="282" t="s">
        <v>19</v>
      </c>
      <c r="C26" s="234">
        <f t="shared" si="0"/>
        <v>0</v>
      </c>
      <c r="D26" s="235"/>
      <c r="E26" s="283"/>
      <c r="F26" s="275"/>
      <c r="G26" s="300" t="s">
        <v>4597</v>
      </c>
      <c r="H26" s="234">
        <f t="shared" si="1"/>
        <v>0</v>
      </c>
      <c r="I26" s="235"/>
      <c r="J26" s="283"/>
    </row>
    <row r="27" spans="2:10" s="100" customFormat="1" ht="19.5" customHeight="1">
      <c r="B27" s="282" t="s">
        <v>971</v>
      </c>
      <c r="C27" s="234">
        <f t="shared" si="0"/>
        <v>0</v>
      </c>
      <c r="D27" s="235"/>
      <c r="E27" s="283"/>
      <c r="F27" s="275"/>
      <c r="G27" s="300" t="s">
        <v>1962</v>
      </c>
      <c r="H27" s="234">
        <f t="shared" si="1"/>
        <v>0</v>
      </c>
      <c r="I27" s="235"/>
      <c r="J27" s="283"/>
    </row>
    <row r="28" spans="2:10" s="100" customFormat="1" ht="19.5" customHeight="1">
      <c r="B28" s="282" t="s">
        <v>972</v>
      </c>
      <c r="C28" s="234">
        <f t="shared" si="0"/>
        <v>0</v>
      </c>
      <c r="D28" s="235"/>
      <c r="E28" s="283"/>
      <c r="F28" s="275"/>
      <c r="G28" s="282" t="s">
        <v>1963</v>
      </c>
      <c r="H28" s="234">
        <f t="shared" si="1"/>
        <v>0</v>
      </c>
      <c r="I28" s="235"/>
      <c r="J28" s="283"/>
    </row>
    <row r="29" spans="2:10" s="100" customFormat="1" ht="19.5" customHeight="1">
      <c r="B29" s="282" t="s">
        <v>3437</v>
      </c>
      <c r="C29" s="234">
        <f t="shared" si="0"/>
        <v>0</v>
      </c>
      <c r="D29" s="235"/>
      <c r="E29" s="283"/>
      <c r="F29" s="275"/>
      <c r="G29" s="282" t="s">
        <v>1964</v>
      </c>
      <c r="H29" s="234">
        <f t="shared" si="1"/>
        <v>0</v>
      </c>
      <c r="I29" s="235"/>
      <c r="J29" s="283"/>
    </row>
    <row r="30" spans="2:10" s="100" customFormat="1" ht="19.5" customHeight="1">
      <c r="B30" s="282" t="s">
        <v>3438</v>
      </c>
      <c r="C30" s="234">
        <f t="shared" si="0"/>
        <v>0</v>
      </c>
      <c r="D30" s="235"/>
      <c r="E30" s="283"/>
      <c r="F30" s="275"/>
      <c r="G30" s="282" t="s">
        <v>1965</v>
      </c>
      <c r="H30" s="234">
        <f t="shared" si="1"/>
        <v>0</v>
      </c>
      <c r="I30" s="235"/>
      <c r="J30" s="283"/>
    </row>
    <row r="31" spans="2:10" s="100" customFormat="1" ht="19.5" customHeight="1">
      <c r="B31" s="282" t="s">
        <v>880</v>
      </c>
      <c r="C31" s="234">
        <f t="shared" si="0"/>
        <v>0</v>
      </c>
      <c r="D31" s="235"/>
      <c r="E31" s="283"/>
      <c r="F31" s="275"/>
      <c r="G31" s="282" t="s">
        <v>1966</v>
      </c>
      <c r="H31" s="234">
        <f t="shared" si="1"/>
        <v>0</v>
      </c>
      <c r="I31" s="235"/>
      <c r="J31" s="283"/>
    </row>
    <row r="32" spans="2:10" s="100" customFormat="1" ht="19.5" customHeight="1">
      <c r="B32" s="282" t="s">
        <v>881</v>
      </c>
      <c r="C32" s="234">
        <f t="shared" si="0"/>
        <v>0</v>
      </c>
      <c r="D32" s="235"/>
      <c r="E32" s="283"/>
      <c r="F32" s="275"/>
      <c r="G32" s="243" t="s">
        <v>1968</v>
      </c>
      <c r="H32" s="234">
        <f t="shared" si="1"/>
        <v>0</v>
      </c>
      <c r="I32" s="235"/>
      <c r="J32" s="283"/>
    </row>
    <row r="33" spans="2:10" s="100" customFormat="1" ht="19.5" customHeight="1" thickBot="1">
      <c r="B33" s="282" t="s">
        <v>879</v>
      </c>
      <c r="C33" s="234">
        <f t="shared" si="0"/>
        <v>0</v>
      </c>
      <c r="D33" s="235"/>
      <c r="E33" s="283"/>
      <c r="F33" s="275"/>
      <c r="G33" s="292" t="s">
        <v>1967</v>
      </c>
      <c r="H33" s="293">
        <f t="shared" si="1"/>
        <v>0</v>
      </c>
      <c r="I33" s="294"/>
      <c r="J33" s="295"/>
    </row>
    <row r="34" spans="2:10" s="100" customFormat="1" ht="19.5" customHeight="1">
      <c r="B34" s="303" t="s">
        <v>3439</v>
      </c>
      <c r="C34" s="234">
        <f t="shared" si="0"/>
        <v>0</v>
      </c>
      <c r="D34" s="235"/>
      <c r="E34" s="283"/>
      <c r="F34" s="275"/>
      <c r="G34" s="975" t="s">
        <v>1229</v>
      </c>
      <c r="H34" s="969">
        <f t="shared" si="1"/>
        <v>0</v>
      </c>
      <c r="I34" s="971"/>
      <c r="J34" s="973"/>
    </row>
    <row r="35" spans="2:10" s="218" customFormat="1" ht="19.5" customHeight="1" thickBot="1">
      <c r="B35" s="303" t="s">
        <v>3440</v>
      </c>
      <c r="C35" s="293">
        <f t="shared" si="0"/>
        <v>0</v>
      </c>
      <c r="D35" s="294"/>
      <c r="E35" s="295"/>
      <c r="F35" s="304"/>
      <c r="G35" s="976"/>
      <c r="H35" s="970"/>
      <c r="I35" s="972"/>
      <c r="J35" s="974"/>
    </row>
    <row r="36" spans="2:10" s="100" customFormat="1" ht="21" customHeight="1" thickBot="1">
      <c r="B36" s="305" t="s">
        <v>4035</v>
      </c>
      <c r="C36" s="256">
        <f>+D36+E36</f>
        <v>0</v>
      </c>
      <c r="D36" s="257"/>
      <c r="E36" s="306"/>
      <c r="F36" s="307"/>
      <c r="G36" s="967" t="str">
        <f>IF(AND('CUADRO 1'!E16=0,H34=0),"",(IF(AND('CUADRO 1'!E16&gt;0,H34=0),"Indique los docentes que atienden los Proyectos de Educación Abierta.","")))</f>
        <v/>
      </c>
      <c r="H36" s="968"/>
      <c r="I36" s="968"/>
      <c r="J36" s="968"/>
    </row>
    <row r="37" spans="2:10" s="100" customFormat="1" ht="21" customHeight="1" thickTop="1">
      <c r="C37" s="308"/>
      <c r="D37" s="309"/>
      <c r="E37" s="310"/>
      <c r="F37" s="310"/>
      <c r="G37" s="175" t="s">
        <v>3442</v>
      </c>
      <c r="H37" s="311"/>
      <c r="I37" s="311"/>
      <c r="J37" s="311"/>
    </row>
    <row r="38" spans="2:10" s="100" customFormat="1" ht="21" customHeight="1">
      <c r="B38" s="265" t="s">
        <v>1202</v>
      </c>
      <c r="C38" s="31"/>
      <c r="D38" s="312"/>
      <c r="E38" s="312"/>
      <c r="F38" s="312"/>
    </row>
    <row r="39" spans="2:10" s="100" customFormat="1" ht="21" customHeight="1">
      <c r="B39" s="950"/>
      <c r="C39" s="951"/>
      <c r="D39" s="951"/>
      <c r="E39" s="951"/>
      <c r="F39" s="951"/>
      <c r="G39" s="951"/>
      <c r="H39" s="951"/>
      <c r="I39" s="951"/>
      <c r="J39" s="952"/>
    </row>
    <row r="40" spans="2:10" s="100" customFormat="1" ht="21" customHeight="1">
      <c r="B40" s="953"/>
      <c r="C40" s="954"/>
      <c r="D40" s="954"/>
      <c r="E40" s="954"/>
      <c r="F40" s="954"/>
      <c r="G40" s="954"/>
      <c r="H40" s="954"/>
      <c r="I40" s="954"/>
      <c r="J40" s="955"/>
    </row>
    <row r="41" spans="2:10" s="100" customFormat="1">
      <c r="B41" s="953"/>
      <c r="C41" s="954"/>
      <c r="D41" s="954"/>
      <c r="E41" s="954"/>
      <c r="F41" s="954"/>
      <c r="G41" s="954"/>
      <c r="H41" s="954"/>
      <c r="I41" s="954"/>
      <c r="J41" s="955"/>
    </row>
    <row r="42" spans="2:10" s="100" customFormat="1">
      <c r="B42" s="956"/>
      <c r="C42" s="957"/>
      <c r="D42" s="957"/>
      <c r="E42" s="957"/>
      <c r="F42" s="957"/>
      <c r="G42" s="957"/>
      <c r="H42" s="957"/>
      <c r="I42" s="957"/>
      <c r="J42" s="958"/>
    </row>
    <row r="43" spans="2:10" s="100" customFormat="1">
      <c r="B43" s="30"/>
      <c r="C43" s="30"/>
      <c r="D43" s="30"/>
      <c r="E43" s="30"/>
      <c r="F43" s="118"/>
      <c r="G43" s="30"/>
      <c r="H43" s="30"/>
      <c r="I43" s="30"/>
      <c r="J43" s="313"/>
    </row>
  </sheetData>
  <sheetProtection algorithmName="SHA-512" hashValue="dNxTxQ8DAdDIUSi7lfyRE9cLzd//zlUImWQe6F2V9h042WxtxtR0kCKaDoS9hmVne+Z685kSzxwLUHh/myoTQw==" saltValue="l+2AfJxN40FU30Ujy3VvEg==" spinCount="100000" sheet="1" objects="1" scenarios="1"/>
  <mergeCells count="7">
    <mergeCell ref="I1:J1"/>
    <mergeCell ref="B39:J42"/>
    <mergeCell ref="G36:J36"/>
    <mergeCell ref="H34:H35"/>
    <mergeCell ref="I34:I35"/>
    <mergeCell ref="J34:J35"/>
    <mergeCell ref="G34:G35"/>
  </mergeCells>
  <conditionalFormatting sqref="C5:E6 D17:E17 D12:E12 I20:J20 I9:J9 H9:H14 C7:C36 H16:H34">
    <cfRule type="cellIs" dxfId="22" priority="6" operator="equal">
      <formula>0</formula>
    </cfRule>
  </conditionalFormatting>
  <conditionalFormatting sqref="H15">
    <cfRule type="cellIs" dxfId="21" priority="5" operator="equal">
      <formula>0</formula>
    </cfRule>
  </conditionalFormatting>
  <conditionalFormatting sqref="H8">
    <cfRule type="cellIs" dxfId="20" priority="3" operator="equal">
      <formula>0</formula>
    </cfRule>
  </conditionalFormatting>
  <conditionalFormatting sqref="H7">
    <cfRule type="cellIs" dxfId="19" priority="2" operator="equal">
      <formula>0</formula>
    </cfRule>
  </conditionalFormatting>
  <conditionalFormatting sqref="H6">
    <cfRule type="cellIs" dxfId="18" priority="1" operator="equal">
      <formula>0</formula>
    </cfRule>
  </conditionalFormatting>
  <dataValidations count="1">
    <dataValidation type="whole" operator="greaterThanOrEqual" allowBlank="1" showInputMessage="1" showErrorMessage="1" sqref="C5:E36 H6:J35">
      <formula1>0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scale="70" orientation="landscape" r:id="rId1"/>
  <headerFooter scaleWithDoc="0">
    <oddFooter>&amp;R&amp;"Goudy,Negrita Cursiva"Académica Diurna&amp;"Goudy,Cursiva", página 13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B1:M51"/>
  <sheetViews>
    <sheetView showGridLines="0" zoomScale="90" zoomScaleNormal="90" workbookViewId="0">
      <selection activeCell="K1" sqref="K1:L1"/>
    </sheetView>
  </sheetViews>
  <sheetFormatPr baseColWidth="10" defaultRowHeight="14.25"/>
  <cols>
    <col min="1" max="1" width="3" style="30" customWidth="1"/>
    <col min="2" max="2" width="46.140625" style="30" customWidth="1"/>
    <col min="3" max="3" width="6.5703125" style="118" customWidth="1"/>
    <col min="4" max="5" width="9.140625" style="30" customWidth="1"/>
    <col min="6" max="10" width="9.140625" style="100" customWidth="1"/>
    <col min="11" max="12" width="9.140625" style="30" customWidth="1"/>
    <col min="13" max="16384" width="11.42578125" style="30"/>
  </cols>
  <sheetData>
    <row r="1" spans="2:13" s="100" customFormat="1" ht="18">
      <c r="B1" s="107" t="s">
        <v>3443</v>
      </c>
      <c r="C1" s="216"/>
      <c r="D1" s="216"/>
      <c r="H1" s="681"/>
      <c r="I1" s="681"/>
      <c r="J1" s="681"/>
      <c r="K1" s="861">
        <f>IF('Portada 1-con Código Presup.'!$M$2="",'Portada 2-sin Código Presup.'!$K$1,'Portada 1-con Código Presup.'!$M$2)</f>
        <v>0</v>
      </c>
      <c r="L1" s="862"/>
      <c r="M1" s="36"/>
    </row>
    <row r="2" spans="2:13" s="118" customFormat="1" ht="18">
      <c r="B2" s="107" t="s">
        <v>5693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2:13" s="218" customFormat="1" ht="23.25" customHeight="1" thickBot="1">
      <c r="B3" s="386" t="s">
        <v>5694</v>
      </c>
      <c r="C3" s="117"/>
      <c r="D3" s="117"/>
      <c r="E3" s="117"/>
      <c r="F3" s="117"/>
    </row>
    <row r="4" spans="2:13" s="218" customFormat="1" ht="22.5" customHeight="1" thickTop="1">
      <c r="B4" s="979" t="s">
        <v>885</v>
      </c>
      <c r="C4" s="217"/>
      <c r="D4" s="981" t="s">
        <v>0</v>
      </c>
      <c r="E4" s="977" t="s">
        <v>4771</v>
      </c>
      <c r="F4" s="977" t="s">
        <v>4772</v>
      </c>
      <c r="G4" s="977" t="s">
        <v>4773</v>
      </c>
      <c r="H4" s="977" t="s">
        <v>4774</v>
      </c>
      <c r="I4" s="977" t="s">
        <v>4775</v>
      </c>
      <c r="J4" s="977" t="s">
        <v>4776</v>
      </c>
      <c r="K4" s="983" t="s">
        <v>1228</v>
      </c>
      <c r="L4" s="985" t="s">
        <v>888</v>
      </c>
    </row>
    <row r="5" spans="2:13" s="100" customFormat="1" ht="22.5" customHeight="1" thickBot="1">
      <c r="B5" s="980"/>
      <c r="C5" s="219"/>
      <c r="D5" s="982"/>
      <c r="E5" s="978"/>
      <c r="F5" s="978"/>
      <c r="G5" s="978"/>
      <c r="H5" s="978"/>
      <c r="I5" s="978"/>
      <c r="J5" s="978"/>
      <c r="K5" s="984"/>
      <c r="L5" s="986"/>
    </row>
    <row r="6" spans="2:13" s="100" customFormat="1" ht="24.75" customHeight="1" thickTop="1" thickBot="1">
      <c r="B6" s="220" t="s">
        <v>3444</v>
      </c>
      <c r="C6" s="220"/>
      <c r="D6" s="221">
        <f t="shared" ref="D6:L6" si="0">+D7+D30</f>
        <v>0</v>
      </c>
      <c r="E6" s="222">
        <f t="shared" si="0"/>
        <v>0</v>
      </c>
      <c r="F6" s="223">
        <f t="shared" si="0"/>
        <v>0</v>
      </c>
      <c r="G6" s="223">
        <f t="shared" si="0"/>
        <v>0</v>
      </c>
      <c r="H6" s="223">
        <f t="shared" si="0"/>
        <v>0</v>
      </c>
      <c r="I6" s="223">
        <f t="shared" si="0"/>
        <v>0</v>
      </c>
      <c r="J6" s="223">
        <f t="shared" si="0"/>
        <v>0</v>
      </c>
      <c r="K6" s="222">
        <f t="shared" si="0"/>
        <v>0</v>
      </c>
      <c r="L6" s="224">
        <f t="shared" si="0"/>
        <v>0</v>
      </c>
    </row>
    <row r="7" spans="2:13" s="100" customFormat="1" ht="22.5" customHeight="1">
      <c r="B7" s="225" t="s">
        <v>889</v>
      </c>
      <c r="C7" s="226"/>
      <c r="D7" s="227">
        <f t="shared" ref="D7:L7" si="1">SUM(D8:D29)</f>
        <v>0</v>
      </c>
      <c r="E7" s="228">
        <f t="shared" si="1"/>
        <v>0</v>
      </c>
      <c r="F7" s="229">
        <f t="shared" si="1"/>
        <v>0</v>
      </c>
      <c r="G7" s="229">
        <f t="shared" si="1"/>
        <v>0</v>
      </c>
      <c r="H7" s="229">
        <f t="shared" si="1"/>
        <v>0</v>
      </c>
      <c r="I7" s="229">
        <f t="shared" si="1"/>
        <v>0</v>
      </c>
      <c r="J7" s="229">
        <f t="shared" si="1"/>
        <v>0</v>
      </c>
      <c r="K7" s="230">
        <f t="shared" si="1"/>
        <v>0</v>
      </c>
      <c r="L7" s="231">
        <f t="shared" si="1"/>
        <v>0</v>
      </c>
    </row>
    <row r="8" spans="2:13" s="100" customFormat="1" ht="22.5" customHeight="1">
      <c r="B8" s="232" t="s">
        <v>1206</v>
      </c>
      <c r="C8" s="233" t="str">
        <f>IF(AND(D8&lt;&gt;'CUADRO 12'!C18),"**","")</f>
        <v/>
      </c>
      <c r="D8" s="234">
        <f t="shared" ref="D8:D29" si="2">SUM(E8:L8)</f>
        <v>0</v>
      </c>
      <c r="E8" s="235"/>
      <c r="F8" s="236"/>
      <c r="G8" s="236"/>
      <c r="H8" s="236"/>
      <c r="I8" s="236"/>
      <c r="J8" s="236"/>
      <c r="K8" s="235"/>
      <c r="L8" s="237"/>
    </row>
    <row r="9" spans="2:13" s="100" customFormat="1" ht="22.5" customHeight="1">
      <c r="B9" s="232" t="s">
        <v>1207</v>
      </c>
      <c r="C9" s="233" t="str">
        <f>IF(AND(D9&lt;&gt;'CUADRO 12'!C19),"**","")</f>
        <v/>
      </c>
      <c r="D9" s="234">
        <f t="shared" si="2"/>
        <v>0</v>
      </c>
      <c r="E9" s="235"/>
      <c r="F9" s="236"/>
      <c r="G9" s="236"/>
      <c r="H9" s="236"/>
      <c r="I9" s="236"/>
      <c r="J9" s="236"/>
      <c r="K9" s="235"/>
      <c r="L9" s="237"/>
    </row>
    <row r="10" spans="2:13" s="100" customFormat="1" ht="22.5" customHeight="1">
      <c r="B10" s="232" t="s">
        <v>1209</v>
      </c>
      <c r="C10" s="233" t="str">
        <f>IF(AND(D10&lt;&gt;'CUADRO 12'!C20),"**","")</f>
        <v/>
      </c>
      <c r="D10" s="234">
        <f t="shared" si="2"/>
        <v>0</v>
      </c>
      <c r="E10" s="235"/>
      <c r="F10" s="236"/>
      <c r="G10" s="236"/>
      <c r="H10" s="236"/>
      <c r="I10" s="236"/>
      <c r="J10" s="236"/>
      <c r="K10" s="235"/>
      <c r="L10" s="237"/>
    </row>
    <row r="11" spans="2:13" s="100" customFormat="1" ht="22.5" customHeight="1">
      <c r="B11" s="232" t="s">
        <v>1208</v>
      </c>
      <c r="C11" s="233" t="str">
        <f>IF(AND(D11&lt;&gt;'CUADRO 12'!C21),"**","")</f>
        <v/>
      </c>
      <c r="D11" s="234">
        <f t="shared" si="2"/>
        <v>0</v>
      </c>
      <c r="E11" s="235"/>
      <c r="F11" s="236"/>
      <c r="G11" s="236"/>
      <c r="H11" s="236"/>
      <c r="I11" s="236"/>
      <c r="J11" s="236"/>
      <c r="K11" s="235"/>
      <c r="L11" s="237"/>
    </row>
    <row r="12" spans="2:13" s="100" customFormat="1" ht="22.5" customHeight="1">
      <c r="B12" s="232" t="s">
        <v>3434</v>
      </c>
      <c r="C12" s="233" t="str">
        <f>IF(AND(D12&lt;&gt;'CUADRO 12'!C22),"**","")</f>
        <v/>
      </c>
      <c r="D12" s="234">
        <f t="shared" si="2"/>
        <v>0</v>
      </c>
      <c r="E12" s="235"/>
      <c r="F12" s="238"/>
      <c r="G12" s="236"/>
      <c r="H12" s="236"/>
      <c r="I12" s="236"/>
      <c r="J12" s="236"/>
      <c r="K12" s="235"/>
      <c r="L12" s="237"/>
    </row>
    <row r="13" spans="2:13" s="100" customFormat="1" ht="22.5" customHeight="1">
      <c r="B13" s="232" t="s">
        <v>3435</v>
      </c>
      <c r="C13" s="233" t="str">
        <f>IF(AND(D13&lt;&gt;'CUADRO 12'!C23),"**","")</f>
        <v/>
      </c>
      <c r="D13" s="234">
        <f t="shared" si="2"/>
        <v>0</v>
      </c>
      <c r="E13" s="235"/>
      <c r="F13" s="239"/>
      <c r="G13" s="239"/>
      <c r="H13" s="239"/>
      <c r="I13" s="239"/>
      <c r="J13" s="239"/>
      <c r="K13" s="235"/>
      <c r="L13" s="237"/>
    </row>
    <row r="14" spans="2:13" s="100" customFormat="1" ht="22.5" customHeight="1">
      <c r="B14" s="232" t="s">
        <v>3436</v>
      </c>
      <c r="C14" s="233" t="str">
        <f>IF(AND(D14&lt;&gt;'CUADRO 12'!C24),"**","")</f>
        <v/>
      </c>
      <c r="D14" s="234">
        <f t="shared" si="2"/>
        <v>0</v>
      </c>
      <c r="E14" s="235"/>
      <c r="F14" s="239"/>
      <c r="G14" s="239"/>
      <c r="H14" s="239"/>
      <c r="I14" s="239"/>
      <c r="J14" s="239"/>
      <c r="K14" s="235"/>
      <c r="L14" s="237"/>
    </row>
    <row r="15" spans="2:13" s="100" customFormat="1" ht="22.5" customHeight="1">
      <c r="B15" s="240" t="s">
        <v>890</v>
      </c>
      <c r="C15" s="233" t="str">
        <f>IF(AND(D15&lt;&gt;'CUADRO 12'!C25),"**","")</f>
        <v/>
      </c>
      <c r="D15" s="234">
        <f t="shared" si="2"/>
        <v>0</v>
      </c>
      <c r="E15" s="235"/>
      <c r="F15" s="239"/>
      <c r="G15" s="241"/>
      <c r="H15" s="239"/>
      <c r="I15" s="241"/>
      <c r="J15" s="241"/>
      <c r="K15" s="235"/>
      <c r="L15" s="242"/>
    </row>
    <row r="16" spans="2:13" s="100" customFormat="1" ht="22.5" customHeight="1">
      <c r="B16" s="240" t="s">
        <v>19</v>
      </c>
      <c r="C16" s="233" t="str">
        <f>IF(AND(D16&lt;&gt;'CUADRO 12'!C26),"**","")</f>
        <v/>
      </c>
      <c r="D16" s="234">
        <f t="shared" si="2"/>
        <v>0</v>
      </c>
      <c r="E16" s="235"/>
      <c r="F16" s="239"/>
      <c r="G16" s="241"/>
      <c r="H16" s="239"/>
      <c r="I16" s="241"/>
      <c r="J16" s="241"/>
      <c r="K16" s="235"/>
      <c r="L16" s="242"/>
    </row>
    <row r="17" spans="2:12" s="100" customFormat="1" ht="22.5" customHeight="1">
      <c r="B17" s="240" t="s">
        <v>971</v>
      </c>
      <c r="C17" s="233" t="str">
        <f>IF(AND(D17&lt;&gt;'CUADRO 12'!C27),"**","")</f>
        <v/>
      </c>
      <c r="D17" s="234">
        <f t="shared" si="2"/>
        <v>0</v>
      </c>
      <c r="E17" s="235"/>
      <c r="F17" s="236"/>
      <c r="G17" s="236"/>
      <c r="H17" s="236"/>
      <c r="I17" s="236"/>
      <c r="J17" s="236"/>
      <c r="K17" s="235"/>
      <c r="L17" s="237"/>
    </row>
    <row r="18" spans="2:12" s="100" customFormat="1" ht="22.5" customHeight="1">
      <c r="B18" s="240" t="s">
        <v>972</v>
      </c>
      <c r="C18" s="233" t="str">
        <f>IF(AND(D18&lt;&gt;'CUADRO 12'!C28),"**","")</f>
        <v/>
      </c>
      <c r="D18" s="234">
        <f t="shared" si="2"/>
        <v>0</v>
      </c>
      <c r="E18" s="235"/>
      <c r="F18" s="236"/>
      <c r="G18" s="236"/>
      <c r="H18" s="236"/>
      <c r="I18" s="236"/>
      <c r="J18" s="236"/>
      <c r="K18" s="235"/>
      <c r="L18" s="237"/>
    </row>
    <row r="19" spans="2:12" s="100" customFormat="1" ht="22.5" customHeight="1">
      <c r="B19" s="240" t="s">
        <v>3437</v>
      </c>
      <c r="C19" s="233" t="str">
        <f>IF(AND(D19&lt;&gt;'CUADRO 12'!C29),"**","")</f>
        <v/>
      </c>
      <c r="D19" s="234">
        <f t="shared" si="2"/>
        <v>0</v>
      </c>
      <c r="E19" s="235"/>
      <c r="F19" s="236"/>
      <c r="G19" s="236"/>
      <c r="H19" s="236"/>
      <c r="I19" s="236"/>
      <c r="J19" s="236"/>
      <c r="K19" s="235"/>
      <c r="L19" s="237"/>
    </row>
    <row r="20" spans="2:12" s="100" customFormat="1" ht="22.5" customHeight="1">
      <c r="B20" s="240" t="s">
        <v>3438</v>
      </c>
      <c r="C20" s="233" t="str">
        <f>IF(AND(D20&lt;&gt;'CUADRO 12'!C30),"**","")</f>
        <v/>
      </c>
      <c r="D20" s="234">
        <f t="shared" si="2"/>
        <v>0</v>
      </c>
      <c r="E20" s="235"/>
      <c r="F20" s="236"/>
      <c r="G20" s="236"/>
      <c r="H20" s="236"/>
      <c r="I20" s="236"/>
      <c r="J20" s="236"/>
      <c r="K20" s="235"/>
      <c r="L20" s="237"/>
    </row>
    <row r="21" spans="2:12" s="100" customFormat="1" ht="22.5" customHeight="1">
      <c r="B21" s="240" t="s">
        <v>880</v>
      </c>
      <c r="C21" s="233" t="str">
        <f>IF(AND(D21&lt;&gt;'CUADRO 12'!C31),"**","")</f>
        <v/>
      </c>
      <c r="D21" s="234">
        <f t="shared" si="2"/>
        <v>0</v>
      </c>
      <c r="E21" s="235"/>
      <c r="F21" s="236"/>
      <c r="G21" s="236"/>
      <c r="H21" s="236"/>
      <c r="I21" s="236"/>
      <c r="J21" s="236"/>
      <c r="K21" s="235"/>
      <c r="L21" s="237"/>
    </row>
    <row r="22" spans="2:12" s="100" customFormat="1" ht="22.5" customHeight="1">
      <c r="B22" s="240" t="s">
        <v>881</v>
      </c>
      <c r="C22" s="233" t="str">
        <f>IF(AND(D22&lt;&gt;'CUADRO 12'!C32),"**","")</f>
        <v/>
      </c>
      <c r="D22" s="234">
        <f t="shared" si="2"/>
        <v>0</v>
      </c>
      <c r="E22" s="235"/>
      <c r="F22" s="239"/>
      <c r="G22" s="241"/>
      <c r="H22" s="239"/>
      <c r="I22" s="241"/>
      <c r="J22" s="241"/>
      <c r="K22" s="235"/>
      <c r="L22" s="242"/>
    </row>
    <row r="23" spans="2:12" s="100" customFormat="1" ht="22.5" customHeight="1">
      <c r="B23" s="240" t="s">
        <v>879</v>
      </c>
      <c r="C23" s="233" t="str">
        <f>IF(AND(D23&lt;&gt;'CUADRO 12'!C33),"**","")</f>
        <v/>
      </c>
      <c r="D23" s="234">
        <f t="shared" si="2"/>
        <v>0</v>
      </c>
      <c r="E23" s="235"/>
      <c r="F23" s="236"/>
      <c r="G23" s="236"/>
      <c r="H23" s="236"/>
      <c r="I23" s="236"/>
      <c r="J23" s="236"/>
      <c r="K23" s="235"/>
      <c r="L23" s="237"/>
    </row>
    <row r="24" spans="2:12" s="100" customFormat="1" ht="22.5" customHeight="1">
      <c r="B24" s="240" t="s">
        <v>3439</v>
      </c>
      <c r="C24" s="233" t="str">
        <f>IF(AND(D24&lt;&gt;'CUADRO 12'!C34),"**","")</f>
        <v/>
      </c>
      <c r="D24" s="234">
        <f t="shared" si="2"/>
        <v>0</v>
      </c>
      <c r="E24" s="235"/>
      <c r="F24" s="236"/>
      <c r="G24" s="236"/>
      <c r="H24" s="236"/>
      <c r="I24" s="236"/>
      <c r="J24" s="236"/>
      <c r="K24" s="235"/>
      <c r="L24" s="237"/>
    </row>
    <row r="25" spans="2:12" s="100" customFormat="1" ht="22.5" customHeight="1">
      <c r="B25" s="240" t="s">
        <v>3440</v>
      </c>
      <c r="C25" s="233" t="str">
        <f>IF(AND(D25&lt;&gt;'CUADRO 12'!C35),"**","")</f>
        <v/>
      </c>
      <c r="D25" s="234">
        <f t="shared" si="2"/>
        <v>0</v>
      </c>
      <c r="E25" s="235"/>
      <c r="F25" s="236"/>
      <c r="G25" s="236"/>
      <c r="H25" s="236"/>
      <c r="I25" s="236"/>
      <c r="J25" s="236"/>
      <c r="K25" s="235"/>
      <c r="L25" s="237"/>
    </row>
    <row r="26" spans="2:12" s="100" customFormat="1" ht="22.5" customHeight="1">
      <c r="B26" s="243" t="s">
        <v>4035</v>
      </c>
      <c r="C26" s="233" t="str">
        <f>IF(AND(D26&lt;&gt;'CUADRO 12'!C36),"**","")</f>
        <v/>
      </c>
      <c r="D26" s="234">
        <f t="shared" si="2"/>
        <v>0</v>
      </c>
      <c r="E26" s="235"/>
      <c r="F26" s="236"/>
      <c r="G26" s="236"/>
      <c r="H26" s="236"/>
      <c r="I26" s="236"/>
      <c r="J26" s="236"/>
      <c r="K26" s="235"/>
      <c r="L26" s="237"/>
    </row>
    <row r="27" spans="2:12" s="100" customFormat="1" ht="22.5" customHeight="1">
      <c r="B27" s="240" t="s">
        <v>882</v>
      </c>
      <c r="C27" s="233" t="str">
        <f>IF(AND(D27&lt;&gt;'CUADRO 12'!H6),"**","")</f>
        <v/>
      </c>
      <c r="D27" s="234">
        <f t="shared" si="2"/>
        <v>0</v>
      </c>
      <c r="E27" s="235"/>
      <c r="F27" s="236"/>
      <c r="G27" s="236"/>
      <c r="H27" s="236"/>
      <c r="I27" s="236"/>
      <c r="J27" s="236"/>
      <c r="K27" s="235"/>
      <c r="L27" s="237"/>
    </row>
    <row r="28" spans="2:12" s="100" customFormat="1" ht="22.5" customHeight="1">
      <c r="B28" s="232" t="s">
        <v>3464</v>
      </c>
      <c r="C28" s="233" t="str">
        <f>IF(AND(D28&lt;&gt;'CUADRO 12'!H7),"**","")</f>
        <v/>
      </c>
      <c r="D28" s="234">
        <f t="shared" si="2"/>
        <v>0</v>
      </c>
      <c r="E28" s="235"/>
      <c r="F28" s="236"/>
      <c r="G28" s="236"/>
      <c r="H28" s="236"/>
      <c r="I28" s="236"/>
      <c r="J28" s="236"/>
      <c r="K28" s="235"/>
      <c r="L28" s="237"/>
    </row>
    <row r="29" spans="2:12" s="100" customFormat="1" ht="22.5" customHeight="1">
      <c r="B29" s="244" t="s">
        <v>1227</v>
      </c>
      <c r="C29" s="245" t="str">
        <f>IF(AND(D29&lt;&gt;'CUADRO 12'!H8),"**","")</f>
        <v/>
      </c>
      <c r="D29" s="246">
        <f t="shared" si="2"/>
        <v>0</v>
      </c>
      <c r="E29" s="247"/>
      <c r="F29" s="248"/>
      <c r="G29" s="248"/>
      <c r="H29" s="248"/>
      <c r="I29" s="248"/>
      <c r="J29" s="248"/>
      <c r="K29" s="247"/>
      <c r="L29" s="249"/>
    </row>
    <row r="30" spans="2:12" s="100" customFormat="1" ht="22.5" customHeight="1">
      <c r="B30" s="250" t="s">
        <v>1221</v>
      </c>
      <c r="C30" s="251"/>
      <c r="D30" s="252">
        <f t="shared" ref="D30:L30" si="3">SUM(D31:D40)</f>
        <v>0</v>
      </c>
      <c r="E30" s="228">
        <f t="shared" si="3"/>
        <v>0</v>
      </c>
      <c r="F30" s="229">
        <f t="shared" si="3"/>
        <v>0</v>
      </c>
      <c r="G30" s="229">
        <f t="shared" si="3"/>
        <v>0</v>
      </c>
      <c r="H30" s="229">
        <f t="shared" si="3"/>
        <v>0</v>
      </c>
      <c r="I30" s="229">
        <f t="shared" si="3"/>
        <v>0</v>
      </c>
      <c r="J30" s="229">
        <f t="shared" si="3"/>
        <v>0</v>
      </c>
      <c r="K30" s="228">
        <f t="shared" si="3"/>
        <v>0</v>
      </c>
      <c r="L30" s="231">
        <f t="shared" si="3"/>
        <v>0</v>
      </c>
    </row>
    <row r="31" spans="2:12" s="100" customFormat="1" ht="22.5" customHeight="1">
      <c r="B31" s="232" t="s">
        <v>970</v>
      </c>
      <c r="C31" s="233" t="str">
        <f>IF(AND(D31&lt;&gt;'CUADRO 12'!H10),"**","")</f>
        <v/>
      </c>
      <c r="D31" s="234">
        <f>SUM(E31:L31)</f>
        <v>0</v>
      </c>
      <c r="E31" s="235"/>
      <c r="F31" s="236"/>
      <c r="G31" s="236"/>
      <c r="H31" s="236"/>
      <c r="I31" s="236"/>
      <c r="J31" s="236"/>
      <c r="K31" s="235"/>
      <c r="L31" s="237"/>
    </row>
    <row r="32" spans="2:12" s="100" customFormat="1" ht="22.5" customHeight="1">
      <c r="B32" s="232" t="s">
        <v>961</v>
      </c>
      <c r="C32" s="233" t="str">
        <f>IF(AND(D32&lt;&gt;'CUADRO 12'!H11),"**","")</f>
        <v/>
      </c>
      <c r="D32" s="234">
        <f t="shared" ref="D32:D40" si="4">SUM(E32:L32)</f>
        <v>0</v>
      </c>
      <c r="E32" s="235"/>
      <c r="F32" s="236"/>
      <c r="G32" s="236"/>
      <c r="H32" s="236"/>
      <c r="I32" s="236"/>
      <c r="J32" s="236"/>
      <c r="K32" s="235"/>
      <c r="L32" s="237"/>
    </row>
    <row r="33" spans="2:12" s="100" customFormat="1" ht="22.5" customHeight="1">
      <c r="B33" s="232" t="s">
        <v>962</v>
      </c>
      <c r="C33" s="233" t="str">
        <f>IF(AND(D33&lt;&gt;'CUADRO 12'!H12),"**","")</f>
        <v/>
      </c>
      <c r="D33" s="234">
        <f t="shared" si="4"/>
        <v>0</v>
      </c>
      <c r="E33" s="235"/>
      <c r="F33" s="236"/>
      <c r="G33" s="236"/>
      <c r="H33" s="236"/>
      <c r="I33" s="236"/>
      <c r="J33" s="236"/>
      <c r="K33" s="235"/>
      <c r="L33" s="237"/>
    </row>
    <row r="34" spans="2:12" s="100" customFormat="1" ht="22.5" customHeight="1">
      <c r="B34" s="253" t="s">
        <v>4595</v>
      </c>
      <c r="C34" s="233" t="str">
        <f>IF(AND(D34&lt;&gt;'CUADRO 12'!H13),"**","")</f>
        <v/>
      </c>
      <c r="D34" s="234">
        <f t="shared" si="4"/>
        <v>0</v>
      </c>
      <c r="E34" s="235"/>
      <c r="F34" s="236"/>
      <c r="G34" s="236"/>
      <c r="H34" s="236"/>
      <c r="I34" s="236"/>
      <c r="J34" s="236"/>
      <c r="K34" s="235"/>
      <c r="L34" s="237"/>
    </row>
    <row r="35" spans="2:12" s="100" customFormat="1" ht="22.5" customHeight="1">
      <c r="B35" s="232" t="s">
        <v>968</v>
      </c>
      <c r="C35" s="233" t="str">
        <f>IF(AND(D35&lt;&gt;'CUADRO 12'!H14),"**","")</f>
        <v/>
      </c>
      <c r="D35" s="234">
        <f t="shared" si="4"/>
        <v>0</v>
      </c>
      <c r="E35" s="235"/>
      <c r="F35" s="236"/>
      <c r="G35" s="236"/>
      <c r="H35" s="236"/>
      <c r="I35" s="236"/>
      <c r="J35" s="236"/>
      <c r="K35" s="235"/>
      <c r="L35" s="237"/>
    </row>
    <row r="36" spans="2:12" s="100" customFormat="1" ht="22.5" customHeight="1">
      <c r="B36" s="232" t="s">
        <v>963</v>
      </c>
      <c r="C36" s="233" t="str">
        <f>IF(AND(D36&lt;&gt;'CUADRO 12'!H15),"**","")</f>
        <v/>
      </c>
      <c r="D36" s="234">
        <f t="shared" si="4"/>
        <v>0</v>
      </c>
      <c r="E36" s="235"/>
      <c r="F36" s="236"/>
      <c r="G36" s="236"/>
      <c r="H36" s="236"/>
      <c r="I36" s="236"/>
      <c r="J36" s="236"/>
      <c r="K36" s="235"/>
      <c r="L36" s="237"/>
    </row>
    <row r="37" spans="2:12" s="100" customFormat="1" ht="22.5" customHeight="1">
      <c r="B37" s="232" t="s">
        <v>966</v>
      </c>
      <c r="C37" s="233" t="str">
        <f>IF(AND(D37&lt;&gt;'CUADRO 12'!H16),"**","")</f>
        <v/>
      </c>
      <c r="D37" s="234">
        <f t="shared" si="4"/>
        <v>0</v>
      </c>
      <c r="E37" s="235"/>
      <c r="F37" s="236"/>
      <c r="G37" s="236"/>
      <c r="H37" s="236"/>
      <c r="I37" s="236"/>
      <c r="J37" s="236"/>
      <c r="K37" s="235"/>
      <c r="L37" s="237"/>
    </row>
    <row r="38" spans="2:12" s="100" customFormat="1" ht="22.5" customHeight="1">
      <c r="B38" s="232" t="s">
        <v>967</v>
      </c>
      <c r="C38" s="233" t="str">
        <f>IF(AND(D38&lt;&gt;'CUADRO 12'!H17),"**","")</f>
        <v/>
      </c>
      <c r="D38" s="234">
        <f t="shared" si="4"/>
        <v>0</v>
      </c>
      <c r="E38" s="235"/>
      <c r="F38" s="236"/>
      <c r="G38" s="236"/>
      <c r="H38" s="236"/>
      <c r="I38" s="236"/>
      <c r="J38" s="236"/>
      <c r="K38" s="235"/>
      <c r="L38" s="237"/>
    </row>
    <row r="39" spans="2:12" s="100" customFormat="1" ht="22.5" customHeight="1">
      <c r="B39" s="232" t="s">
        <v>3465</v>
      </c>
      <c r="C39" s="233" t="str">
        <f>IF(AND(D39&lt;&gt;'CUADRO 12'!H18),"**","")</f>
        <v/>
      </c>
      <c r="D39" s="234">
        <f t="shared" si="4"/>
        <v>0</v>
      </c>
      <c r="E39" s="235"/>
      <c r="F39" s="236"/>
      <c r="G39" s="236"/>
      <c r="H39" s="236"/>
      <c r="I39" s="236"/>
      <c r="J39" s="236"/>
      <c r="K39" s="235"/>
      <c r="L39" s="237"/>
    </row>
    <row r="40" spans="2:12" s="100" customFormat="1" ht="22.5" customHeight="1" thickBot="1">
      <c r="B40" s="254" t="s">
        <v>1226</v>
      </c>
      <c r="C40" s="255" t="str">
        <f>IF(AND(D40&lt;&gt;'CUADRO 12'!H19),"**","")</f>
        <v/>
      </c>
      <c r="D40" s="256">
        <f t="shared" si="4"/>
        <v>0</v>
      </c>
      <c r="E40" s="257"/>
      <c r="F40" s="258"/>
      <c r="G40" s="258"/>
      <c r="H40" s="258"/>
      <c r="I40" s="258"/>
      <c r="J40" s="258"/>
      <c r="K40" s="257"/>
      <c r="L40" s="259"/>
    </row>
    <row r="41" spans="2:12" s="218" customFormat="1" ht="15.75" customHeight="1" thickTop="1">
      <c r="B41" s="260"/>
      <c r="C41" s="175"/>
      <c r="D41" s="261" t="str">
        <f>IF(OR(D8&lt;&gt;'CUADRO 12'!C18,'CUADRO 13'!D9&lt;&gt;'CUADRO 12'!C19,D10&lt;&gt;'CUADRO 12'!C20,D11&lt;&gt;'CUADRO 12'!C21,D12&lt;&gt;'CUADRO 12'!C22,D13&lt;&gt;'CUADRO 12'!C23,D14&lt;&gt;'CUADRO 12'!C24,D15&lt;&gt;'CUADRO 12'!C25,D16&lt;&gt;'CUADRO 12'!C26,D17&lt;&gt;'CUADRO 12'!C27,D18&lt;&gt;'CUADRO 12'!C28,D19&lt;&gt;'CUADRO 12'!C29,D20&lt;&gt;'CUADRO 12'!C30,D21&lt;&gt;'CUADRO 12'!C31,D22&lt;&gt;'CUADRO 12'!C32,D23&lt;&gt;'CUADRO 12'!C33,D24&lt;&gt;'CUADRO 12'!C34,D25&lt;&gt;'CUADRO 12'!C35,D26&lt;&gt;'CUADRO 12'!C36,D27&lt;&gt;'CUADRO 12'!H6,D28&lt;&gt;'CUADRO 12'!H7,D29&lt;&gt;'CUADRO 12'!H8,D31&lt;&gt;'CUADRO 12'!H10,D32&lt;&gt;'CUADRO 12'!H11,D33&lt;&gt;'CUADRO 12'!H12,D34&lt;&gt;'CUADRO 12'!H13,D35&lt;&gt;'CUADRO 12'!H14,D36&lt;&gt;'CUADRO 12'!H15,D37&lt;&gt;'CUADRO 12'!H16,D38&lt;&gt;'CUADRO 12'!H17,D39&lt;&gt;'CUADRO 12'!H18,D40&lt;&gt;'CUADRO 12'!H19),"**","")</f>
        <v/>
      </c>
      <c r="E41" s="261"/>
      <c r="F41" s="261"/>
      <c r="G41" s="261"/>
      <c r="H41" s="261"/>
      <c r="I41" s="261"/>
      <c r="J41" s="261"/>
      <c r="K41" s="262"/>
      <c r="L41" s="262"/>
    </row>
    <row r="42" spans="2:12" s="218" customFormat="1" ht="15" customHeight="1">
      <c r="B42" s="263"/>
      <c r="C42" s="264"/>
      <c r="D42" s="987" t="str">
        <f>IF(D41="**","** ¡VERIFICAR!.  La cifra digitada en alguno de los Cargos es diferente a la que se reportó en el Cuadro 12.","")</f>
        <v/>
      </c>
      <c r="E42" s="987"/>
      <c r="F42" s="987"/>
      <c r="G42" s="987"/>
      <c r="H42" s="987"/>
      <c r="I42" s="987"/>
      <c r="J42" s="987"/>
      <c r="K42" s="987"/>
      <c r="L42" s="987"/>
    </row>
    <row r="43" spans="2:12" s="100" customFormat="1" ht="24.75" customHeight="1">
      <c r="B43" s="265" t="s">
        <v>1202</v>
      </c>
      <c r="C43" s="266"/>
      <c r="D43" s="988"/>
      <c r="E43" s="988"/>
      <c r="F43" s="988"/>
      <c r="G43" s="988"/>
      <c r="H43" s="988"/>
      <c r="I43" s="988"/>
      <c r="J43" s="988"/>
      <c r="K43" s="988"/>
      <c r="L43" s="988"/>
    </row>
    <row r="44" spans="2:12" s="100" customFormat="1" ht="26.25" customHeight="1">
      <c r="B44" s="950"/>
      <c r="C44" s="951"/>
      <c r="D44" s="951"/>
      <c r="E44" s="951"/>
      <c r="F44" s="951"/>
      <c r="G44" s="951"/>
      <c r="H44" s="951"/>
      <c r="I44" s="951"/>
      <c r="J44" s="951"/>
      <c r="K44" s="951"/>
      <c r="L44" s="952"/>
    </row>
    <row r="45" spans="2:12" s="100" customFormat="1" ht="26.25" customHeight="1">
      <c r="B45" s="953"/>
      <c r="C45" s="954"/>
      <c r="D45" s="954"/>
      <c r="E45" s="954"/>
      <c r="F45" s="954"/>
      <c r="G45" s="954"/>
      <c r="H45" s="954"/>
      <c r="I45" s="954"/>
      <c r="J45" s="954"/>
      <c r="K45" s="954"/>
      <c r="L45" s="955"/>
    </row>
    <row r="46" spans="2:12" s="100" customFormat="1" ht="26.25" customHeight="1">
      <c r="B46" s="953"/>
      <c r="C46" s="954"/>
      <c r="D46" s="954"/>
      <c r="E46" s="954"/>
      <c r="F46" s="954"/>
      <c r="G46" s="954"/>
      <c r="H46" s="954"/>
      <c r="I46" s="954"/>
      <c r="J46" s="954"/>
      <c r="K46" s="954"/>
      <c r="L46" s="955"/>
    </row>
    <row r="47" spans="2:12" s="100" customFormat="1" ht="26.25" customHeight="1">
      <c r="B47" s="956"/>
      <c r="C47" s="957"/>
      <c r="D47" s="957"/>
      <c r="E47" s="957"/>
      <c r="F47" s="957"/>
      <c r="G47" s="957"/>
      <c r="H47" s="957"/>
      <c r="I47" s="957"/>
      <c r="J47" s="957"/>
      <c r="K47" s="957"/>
      <c r="L47" s="958"/>
    </row>
    <row r="48" spans="2:12" s="100" customFormat="1">
      <c r="B48" s="30"/>
      <c r="C48" s="118"/>
      <c r="D48" s="30"/>
      <c r="E48" s="30"/>
      <c r="K48" s="30"/>
    </row>
    <row r="49" spans="2:11" s="100" customFormat="1">
      <c r="B49" s="30"/>
      <c r="C49" s="118"/>
      <c r="D49" s="30"/>
      <c r="E49" s="30"/>
      <c r="K49" s="30"/>
    </row>
    <row r="50" spans="2:11" s="100" customFormat="1">
      <c r="B50" s="30"/>
      <c r="C50" s="118"/>
      <c r="D50" s="30"/>
      <c r="E50" s="30"/>
      <c r="K50" s="30"/>
    </row>
    <row r="51" spans="2:11" s="100" customFormat="1">
      <c r="B51" s="30"/>
      <c r="C51" s="118"/>
      <c r="D51" s="30"/>
      <c r="E51" s="30"/>
      <c r="K51" s="30"/>
    </row>
  </sheetData>
  <sheetProtection algorithmName="SHA-512" hashValue="6qr81++sPj9MRkLeuYO8mZ/ysm8EgOJKKdiiN8dZrheqrexH/9gvqhSKdg1LbRSdsl7A/ZiOgfdaerUX6VRssQ==" saltValue="7SNdfZHRXf48BUCLBQdMaA==" spinCount="100000" sheet="1" objects="1" scenarios="1"/>
  <mergeCells count="13">
    <mergeCell ref="K1:L1"/>
    <mergeCell ref="E4:E5"/>
    <mergeCell ref="F4:F5"/>
    <mergeCell ref="B44:L47"/>
    <mergeCell ref="B4:B5"/>
    <mergeCell ref="D4:D5"/>
    <mergeCell ref="K4:K5"/>
    <mergeCell ref="L4:L5"/>
    <mergeCell ref="G4:G5"/>
    <mergeCell ref="H4:H5"/>
    <mergeCell ref="I4:I5"/>
    <mergeCell ref="J4:J5"/>
    <mergeCell ref="D42:L43"/>
  </mergeCells>
  <conditionalFormatting sqref="D6:D10 D13:D15 K30:L30 K6:L7 D22:D40">
    <cfRule type="cellIs" dxfId="17" priority="11" operator="equal">
      <formula>0</formula>
    </cfRule>
  </conditionalFormatting>
  <conditionalFormatting sqref="D11:D12">
    <cfRule type="cellIs" dxfId="16" priority="7" operator="equal">
      <formula>0</formula>
    </cfRule>
  </conditionalFormatting>
  <conditionalFormatting sqref="E30 E6:E7 H6:J7 H30:J30">
    <cfRule type="cellIs" dxfId="15" priority="6" operator="equal">
      <formula>0</formula>
    </cfRule>
  </conditionalFormatting>
  <conditionalFormatting sqref="F6:G7 F30:G30">
    <cfRule type="cellIs" dxfId="14" priority="5" operator="equal">
      <formula>0</formula>
    </cfRule>
  </conditionalFormatting>
  <conditionalFormatting sqref="D16:D20">
    <cfRule type="cellIs" dxfId="13" priority="2" operator="equal">
      <formula>0</formula>
    </cfRule>
  </conditionalFormatting>
  <conditionalFormatting sqref="D21">
    <cfRule type="cellIs" dxfId="12" priority="1" operator="equal">
      <formula>0</formula>
    </cfRule>
  </conditionalFormatting>
  <dataValidations count="1">
    <dataValidation type="whole" operator="greaterThanOrEqual" allowBlank="1" showInputMessage="1" showErrorMessage="1" sqref="D6:L40">
      <formula1>0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scale="58" orientation="landscape" r:id="rId1"/>
  <headerFooter scaleWithDoc="0">
    <oddFooter>&amp;R&amp;"Goudy,Negrita Cursiva"Académica Diurna&amp;"Goudy,Cursiva", página 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3366FF"/>
  </sheetPr>
  <dimension ref="A1:AI487"/>
  <sheetViews>
    <sheetView zoomScale="80" zoomScaleNormal="80" workbookViewId="0">
      <pane ySplit="2" topLeftCell="A3" activePane="bottomLeft" state="frozen"/>
      <selection activeCell="F26" sqref="F26:F27"/>
      <selection pane="bottomLeft" activeCell="F26" sqref="F26:F27"/>
    </sheetView>
  </sheetViews>
  <sheetFormatPr baseColWidth="10" defaultRowHeight="15"/>
  <cols>
    <col min="1" max="1" width="8.140625" style="5" bestFit="1" customWidth="1"/>
    <col min="2" max="2" width="7.85546875" style="5" bestFit="1" customWidth="1"/>
    <col min="3" max="3" width="11.42578125" style="1"/>
    <col min="4" max="4" width="7.85546875" style="5" bestFit="1" customWidth="1"/>
    <col min="5" max="5" width="8.140625" style="5" bestFit="1" customWidth="1"/>
    <col min="6" max="6" width="41" style="5" bestFit="1" customWidth="1"/>
    <col min="7" max="7" width="19.7109375" style="5" bestFit="1" customWidth="1"/>
    <col min="8" max="8" width="8.140625" style="5" bestFit="1" customWidth="1"/>
    <col min="9" max="9" width="5.5703125" style="5" bestFit="1" customWidth="1"/>
    <col min="10" max="10" width="7.140625" style="5" bestFit="1" customWidth="1"/>
    <col min="11" max="11" width="6.140625" style="5" bestFit="1" customWidth="1"/>
    <col min="12" max="12" width="8.140625" style="5" customWidth="1"/>
    <col min="13" max="13" width="13.28515625" style="5" bestFit="1" customWidth="1"/>
    <col min="14" max="14" width="23.28515625" style="5" bestFit="1" customWidth="1"/>
    <col min="15" max="15" width="22.28515625" style="5" bestFit="1" customWidth="1"/>
    <col min="16" max="16" width="24.140625" style="5" bestFit="1" customWidth="1"/>
    <col min="17" max="17" width="10" style="5" bestFit="1" customWidth="1"/>
    <col min="18" max="18" width="36" style="5" bestFit="1" customWidth="1"/>
    <col min="19" max="20" width="13.85546875" style="5" customWidth="1"/>
    <col min="21" max="21" width="33.7109375" style="5" bestFit="1" customWidth="1"/>
    <col min="22" max="22" width="50.85546875" style="5" bestFit="1" customWidth="1"/>
    <col min="23" max="23" width="12.42578125" style="5" bestFit="1" customWidth="1"/>
    <col min="24" max="26" width="12.42578125" style="5" customWidth="1"/>
    <col min="27" max="16384" width="11.42578125" style="1"/>
  </cols>
  <sheetData>
    <row r="1" spans="1:35">
      <c r="A1" s="2">
        <v>1</v>
      </c>
      <c r="B1" s="2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</row>
    <row r="2" spans="1:35" s="4" customFormat="1">
      <c r="A2" s="3" t="s">
        <v>23</v>
      </c>
      <c r="B2" s="3" t="s">
        <v>22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3" t="s">
        <v>28</v>
      </c>
      <c r="K2" s="3" t="s">
        <v>29</v>
      </c>
      <c r="L2" s="3" t="s">
        <v>1720</v>
      </c>
      <c r="M2" s="3" t="s">
        <v>30</v>
      </c>
      <c r="N2" s="3" t="s">
        <v>31</v>
      </c>
      <c r="O2" s="3" t="s">
        <v>32</v>
      </c>
      <c r="P2" s="3" t="s">
        <v>33</v>
      </c>
      <c r="Q2" s="3" t="s">
        <v>34</v>
      </c>
      <c r="R2" s="3" t="s">
        <v>35</v>
      </c>
      <c r="S2" s="3" t="s">
        <v>36</v>
      </c>
      <c r="T2" s="3" t="s">
        <v>37</v>
      </c>
      <c r="U2" s="3" t="s">
        <v>38</v>
      </c>
      <c r="V2" s="3" t="s">
        <v>39</v>
      </c>
      <c r="W2" s="3" t="s">
        <v>40</v>
      </c>
      <c r="X2" s="7" t="s">
        <v>2012</v>
      </c>
      <c r="Y2" s="7" t="s">
        <v>2013</v>
      </c>
      <c r="Z2" s="7" t="s">
        <v>2014</v>
      </c>
      <c r="AA2" s="7" t="s">
        <v>2015</v>
      </c>
      <c r="AB2" s="7" t="s">
        <v>2016</v>
      </c>
      <c r="AC2" s="7" t="s">
        <v>2017</v>
      </c>
      <c r="AD2" s="7" t="s">
        <v>2018</v>
      </c>
      <c r="AE2" s="7" t="s">
        <v>2019</v>
      </c>
      <c r="AF2" s="7" t="s">
        <v>2020</v>
      </c>
      <c r="AG2" s="7" t="s">
        <v>2021</v>
      </c>
      <c r="AH2" s="7" t="s">
        <v>4047</v>
      </c>
      <c r="AI2" s="7" t="s">
        <v>4494</v>
      </c>
    </row>
    <row r="3" spans="1:35" ht="15.75">
      <c r="A3" s="692" t="s">
        <v>2033</v>
      </c>
      <c r="B3" s="692" t="s">
        <v>51</v>
      </c>
      <c r="D3" s="692" t="s">
        <v>1728</v>
      </c>
      <c r="E3" s="692" t="s">
        <v>2022</v>
      </c>
      <c r="F3" s="692" t="s">
        <v>4608</v>
      </c>
      <c r="G3" s="692" t="s">
        <v>4394</v>
      </c>
      <c r="H3" s="692" t="s">
        <v>4</v>
      </c>
      <c r="I3" s="692" t="s">
        <v>41</v>
      </c>
      <c r="J3" s="692" t="s">
        <v>3</v>
      </c>
      <c r="K3" s="692" t="s">
        <v>3</v>
      </c>
      <c r="L3" s="692" t="str">
        <f t="shared" ref="L3:L66" si="0">CONCATENATE(I3,"-",J3,"-",K3)</f>
        <v>1-01-01</v>
      </c>
      <c r="M3" s="692"/>
      <c r="N3" s="692"/>
      <c r="O3" s="692"/>
      <c r="P3" s="692" t="s">
        <v>46</v>
      </c>
      <c r="Q3" s="692" t="s">
        <v>4804</v>
      </c>
      <c r="R3" s="692" t="s">
        <v>5529</v>
      </c>
      <c r="S3" s="692">
        <v>22220068</v>
      </c>
      <c r="T3" s="692">
        <v>22237537</v>
      </c>
      <c r="U3" s="692" t="s">
        <v>4610</v>
      </c>
      <c r="V3" s="692" t="s">
        <v>2023</v>
      </c>
      <c r="W3" s="692"/>
      <c r="X3" s="761"/>
      <c r="Z3" s="713"/>
      <c r="AA3" s="10"/>
      <c r="AB3" s="8"/>
      <c r="AC3" s="8"/>
      <c r="AD3" s="8"/>
      <c r="AE3" s="8"/>
      <c r="AF3" s="8"/>
      <c r="AG3" s="8"/>
      <c r="AH3" s="761"/>
      <c r="AI3" s="761"/>
    </row>
    <row r="4" spans="1:35" ht="15.75">
      <c r="A4" s="692" t="s">
        <v>2155</v>
      </c>
      <c r="B4" s="692" t="s">
        <v>124</v>
      </c>
      <c r="D4" s="692" t="s">
        <v>1729</v>
      </c>
      <c r="E4" s="692" t="s">
        <v>2024</v>
      </c>
      <c r="F4" s="692" t="s">
        <v>4048</v>
      </c>
      <c r="G4" s="692" t="s">
        <v>4395</v>
      </c>
      <c r="H4" s="692" t="s">
        <v>3</v>
      </c>
      <c r="I4" s="692" t="s">
        <v>41</v>
      </c>
      <c r="J4" s="692" t="s">
        <v>3</v>
      </c>
      <c r="K4" s="692" t="s">
        <v>4</v>
      </c>
      <c r="L4" s="692" t="str">
        <f t="shared" si="0"/>
        <v>1-01-02</v>
      </c>
      <c r="M4" s="692"/>
      <c r="N4" s="692"/>
      <c r="O4" s="692"/>
      <c r="P4" s="692" t="s">
        <v>4099</v>
      </c>
      <c r="Q4" s="692" t="s">
        <v>4804</v>
      </c>
      <c r="R4" s="692" t="s">
        <v>5737</v>
      </c>
      <c r="S4" s="692">
        <v>22220017</v>
      </c>
      <c r="T4" s="692">
        <v>22220484</v>
      </c>
      <c r="U4" s="692" t="s">
        <v>4611</v>
      </c>
      <c r="V4" s="692" t="s">
        <v>4100</v>
      </c>
      <c r="W4" s="692"/>
      <c r="X4" s="761"/>
      <c r="Z4" s="713"/>
      <c r="AA4" s="10"/>
      <c r="AB4" s="8"/>
      <c r="AC4" s="8"/>
      <c r="AD4" s="8"/>
      <c r="AE4" s="8"/>
      <c r="AF4" s="8"/>
      <c r="AG4" s="8"/>
      <c r="AH4" s="761"/>
      <c r="AI4" s="761"/>
    </row>
    <row r="5" spans="1:35" ht="15.75">
      <c r="A5" s="692" t="s">
        <v>2037</v>
      </c>
      <c r="B5" s="692" t="s">
        <v>2036</v>
      </c>
      <c r="D5" s="692" t="s">
        <v>1107</v>
      </c>
      <c r="E5" s="692" t="s">
        <v>2025</v>
      </c>
      <c r="F5" s="692" t="s">
        <v>4049</v>
      </c>
      <c r="G5" s="692" t="s">
        <v>4395</v>
      </c>
      <c r="H5" s="692" t="s">
        <v>3</v>
      </c>
      <c r="I5" s="692" t="s">
        <v>41</v>
      </c>
      <c r="J5" s="692" t="s">
        <v>3</v>
      </c>
      <c r="K5" s="692" t="s">
        <v>4</v>
      </c>
      <c r="L5" s="692" t="str">
        <f t="shared" si="0"/>
        <v>1-01-02</v>
      </c>
      <c r="M5" s="692"/>
      <c r="N5" s="692"/>
      <c r="O5" s="692"/>
      <c r="P5" s="692" t="s">
        <v>4101</v>
      </c>
      <c r="Q5" s="692" t="s">
        <v>4804</v>
      </c>
      <c r="R5" s="692" t="s">
        <v>5820</v>
      </c>
      <c r="S5" s="692">
        <v>22213849</v>
      </c>
      <c r="T5" s="692">
        <v>22223167</v>
      </c>
      <c r="U5" s="692" t="s">
        <v>4102</v>
      </c>
      <c r="V5" s="692" t="s">
        <v>4612</v>
      </c>
      <c r="W5" s="692"/>
      <c r="X5" s="761" t="s">
        <v>3693</v>
      </c>
      <c r="Z5" s="713"/>
      <c r="AA5" s="10"/>
      <c r="AB5" s="8"/>
      <c r="AC5" s="8"/>
      <c r="AD5" s="8"/>
      <c r="AE5" s="8"/>
      <c r="AF5" s="8"/>
      <c r="AG5" s="8"/>
      <c r="AH5" s="761"/>
      <c r="AI5" s="761"/>
    </row>
    <row r="6" spans="1:35" ht="15.75">
      <c r="A6" s="692" t="s">
        <v>2025</v>
      </c>
      <c r="B6" s="692" t="s">
        <v>1107</v>
      </c>
      <c r="D6" s="692" t="s">
        <v>45</v>
      </c>
      <c r="E6" s="692" t="s">
        <v>2028</v>
      </c>
      <c r="F6" s="692" t="s">
        <v>2029</v>
      </c>
      <c r="G6" s="692" t="s">
        <v>4394</v>
      </c>
      <c r="H6" s="692" t="s">
        <v>3</v>
      </c>
      <c r="I6" s="692" t="s">
        <v>41</v>
      </c>
      <c r="J6" s="692" t="s">
        <v>3</v>
      </c>
      <c r="K6" s="692" t="s">
        <v>5</v>
      </c>
      <c r="L6" s="692" t="str">
        <f t="shared" si="0"/>
        <v>1-01-03</v>
      </c>
      <c r="M6" s="692"/>
      <c r="N6" s="692"/>
      <c r="O6" s="692"/>
      <c r="P6" s="692" t="s">
        <v>57</v>
      </c>
      <c r="Q6" s="692" t="s">
        <v>4804</v>
      </c>
      <c r="R6" s="692" t="s">
        <v>5530</v>
      </c>
      <c r="S6" s="692">
        <v>22211424</v>
      </c>
      <c r="T6" s="692">
        <v>22337883</v>
      </c>
      <c r="U6" s="692" t="s">
        <v>4613</v>
      </c>
      <c r="V6" s="692" t="s">
        <v>3570</v>
      </c>
      <c r="W6" s="692"/>
      <c r="X6" s="761" t="s">
        <v>401</v>
      </c>
      <c r="Z6" s="713"/>
      <c r="AA6" s="10"/>
      <c r="AB6" s="8"/>
      <c r="AC6" s="8"/>
      <c r="AD6" s="8"/>
      <c r="AE6" s="8"/>
      <c r="AF6" s="8"/>
      <c r="AG6" s="8"/>
      <c r="AH6" s="761"/>
      <c r="AI6" s="761"/>
    </row>
    <row r="7" spans="1:35" ht="15.75">
      <c r="A7" s="692" t="s">
        <v>2028</v>
      </c>
      <c r="B7" s="692" t="s">
        <v>45</v>
      </c>
      <c r="D7" s="692" t="s">
        <v>51</v>
      </c>
      <c r="E7" s="692" t="s">
        <v>2033</v>
      </c>
      <c r="F7" s="692" t="s">
        <v>2034</v>
      </c>
      <c r="G7" s="692" t="s">
        <v>4394</v>
      </c>
      <c r="H7" s="692" t="s">
        <v>4</v>
      </c>
      <c r="I7" s="692" t="s">
        <v>41</v>
      </c>
      <c r="J7" s="692" t="s">
        <v>3</v>
      </c>
      <c r="K7" s="692" t="s">
        <v>6</v>
      </c>
      <c r="L7" s="692" t="str">
        <f t="shared" si="0"/>
        <v>1-01-04</v>
      </c>
      <c r="M7" s="692"/>
      <c r="N7" s="692"/>
      <c r="O7" s="692"/>
      <c r="P7" s="692" t="s">
        <v>1167</v>
      </c>
      <c r="Q7" s="692" t="s">
        <v>4804</v>
      </c>
      <c r="R7" s="692" t="s">
        <v>5861</v>
      </c>
      <c r="S7" s="692">
        <v>22214246</v>
      </c>
      <c r="T7" s="692">
        <v>22580968</v>
      </c>
      <c r="U7" s="692" t="s">
        <v>4614</v>
      </c>
      <c r="V7" s="692" t="s">
        <v>2035</v>
      </c>
      <c r="W7" s="692"/>
      <c r="X7" s="761"/>
      <c r="Z7" s="713"/>
      <c r="AA7" s="10"/>
      <c r="AB7" s="8"/>
      <c r="AC7" s="8"/>
      <c r="AD7" s="8"/>
      <c r="AE7" s="8"/>
      <c r="AF7" s="8"/>
      <c r="AG7" s="8"/>
      <c r="AH7" s="761"/>
      <c r="AI7" s="761"/>
    </row>
    <row r="8" spans="1:35" ht="15.75">
      <c r="A8" s="692" t="s">
        <v>2056</v>
      </c>
      <c r="B8" s="692" t="s">
        <v>63</v>
      </c>
      <c r="D8" s="692" t="s">
        <v>2036</v>
      </c>
      <c r="E8" s="692" t="s">
        <v>2037</v>
      </c>
      <c r="F8" s="692" t="s">
        <v>2038</v>
      </c>
      <c r="G8" s="692" t="s">
        <v>4394</v>
      </c>
      <c r="H8" s="692" t="s">
        <v>4</v>
      </c>
      <c r="I8" s="692" t="s">
        <v>41</v>
      </c>
      <c r="J8" s="692" t="s">
        <v>3</v>
      </c>
      <c r="K8" s="692" t="s">
        <v>6</v>
      </c>
      <c r="L8" s="692" t="str">
        <f t="shared" si="0"/>
        <v>1-01-04</v>
      </c>
      <c r="M8" s="692"/>
      <c r="N8" s="692"/>
      <c r="O8" s="692"/>
      <c r="P8" s="692" t="s">
        <v>2039</v>
      </c>
      <c r="Q8" s="692" t="s">
        <v>4804</v>
      </c>
      <c r="R8" s="692" t="s">
        <v>4806</v>
      </c>
      <c r="S8" s="692">
        <v>22571887</v>
      </c>
      <c r="T8" s="692">
        <v>22571887</v>
      </c>
      <c r="U8" s="692" t="s">
        <v>4615</v>
      </c>
      <c r="V8" s="692" t="s">
        <v>2040</v>
      </c>
      <c r="W8" s="692"/>
      <c r="X8" s="761"/>
      <c r="Z8" s="713"/>
      <c r="AA8" s="10"/>
      <c r="AB8" s="8"/>
      <c r="AC8" s="8"/>
      <c r="AD8" s="8"/>
      <c r="AE8" s="8"/>
      <c r="AF8" s="8" t="s">
        <v>4493</v>
      </c>
      <c r="AG8" s="8"/>
      <c r="AH8" s="761"/>
      <c r="AI8" s="761"/>
    </row>
    <row r="9" spans="1:35" ht="15.75">
      <c r="A9" s="692" t="s">
        <v>2150</v>
      </c>
      <c r="B9" s="692" t="s">
        <v>92</v>
      </c>
      <c r="D9" s="692" t="s">
        <v>1109</v>
      </c>
      <c r="E9" s="692" t="s">
        <v>2042</v>
      </c>
      <c r="F9" s="692" t="s">
        <v>2043</v>
      </c>
      <c r="G9" s="692" t="s">
        <v>4394</v>
      </c>
      <c r="H9" s="692" t="s">
        <v>5</v>
      </c>
      <c r="I9" s="692" t="s">
        <v>41</v>
      </c>
      <c r="J9" s="692" t="s">
        <v>3</v>
      </c>
      <c r="K9" s="692" t="s">
        <v>7</v>
      </c>
      <c r="L9" s="692" t="str">
        <f t="shared" si="0"/>
        <v>1-01-05</v>
      </c>
      <c r="M9" s="692"/>
      <c r="N9" s="692"/>
      <c r="O9" s="692"/>
      <c r="P9" s="692" t="s">
        <v>2044</v>
      </c>
      <c r="Q9" s="692" t="s">
        <v>3543</v>
      </c>
      <c r="R9" s="692" t="s">
        <v>857</v>
      </c>
      <c r="S9" s="692">
        <v>22252590</v>
      </c>
      <c r="T9" s="692">
        <v>22567405</v>
      </c>
      <c r="U9" s="692" t="s">
        <v>4616</v>
      </c>
      <c r="V9" s="692" t="s">
        <v>858</v>
      </c>
      <c r="W9" s="692"/>
      <c r="X9" s="761"/>
      <c r="Z9" s="713"/>
      <c r="AA9" s="10"/>
      <c r="AB9" s="8"/>
      <c r="AC9" s="8"/>
      <c r="AD9" s="8"/>
      <c r="AE9" s="8"/>
      <c r="AF9" s="8"/>
      <c r="AG9" s="8"/>
      <c r="AH9" s="761"/>
      <c r="AI9" s="761"/>
    </row>
    <row r="10" spans="1:35" ht="15.75">
      <c r="A10" s="692" t="s">
        <v>2107</v>
      </c>
      <c r="B10" s="692" t="s">
        <v>77</v>
      </c>
      <c r="D10" s="692" t="s">
        <v>1114</v>
      </c>
      <c r="E10" s="692" t="s">
        <v>2045</v>
      </c>
      <c r="F10" s="692" t="s">
        <v>2046</v>
      </c>
      <c r="G10" s="692" t="s">
        <v>4394</v>
      </c>
      <c r="H10" s="692" t="s">
        <v>5</v>
      </c>
      <c r="I10" s="692" t="s">
        <v>41</v>
      </c>
      <c r="J10" s="692" t="s">
        <v>3</v>
      </c>
      <c r="K10" s="692" t="s">
        <v>7</v>
      </c>
      <c r="L10" s="692" t="str">
        <f t="shared" si="0"/>
        <v>1-01-05</v>
      </c>
      <c r="M10" s="692"/>
      <c r="N10" s="692"/>
      <c r="O10" s="692"/>
      <c r="P10" s="692" t="s">
        <v>72</v>
      </c>
      <c r="Q10" s="692" t="s">
        <v>4804</v>
      </c>
      <c r="R10" s="692" t="s">
        <v>5796</v>
      </c>
      <c r="S10" s="692">
        <v>22255036</v>
      </c>
      <c r="T10" s="692">
        <v>22534326</v>
      </c>
      <c r="U10" s="692" t="s">
        <v>4805</v>
      </c>
      <c r="V10" s="692" t="s">
        <v>2047</v>
      </c>
      <c r="W10" s="692"/>
      <c r="X10" s="761"/>
      <c r="Z10" s="713"/>
      <c r="AA10" s="10"/>
      <c r="AB10" s="8"/>
      <c r="AC10" s="8"/>
      <c r="AD10" s="8"/>
      <c r="AE10" s="8"/>
      <c r="AF10" s="8"/>
      <c r="AG10" s="8"/>
      <c r="AH10" s="761"/>
      <c r="AI10" s="761"/>
    </row>
    <row r="11" spans="1:35" ht="15.75">
      <c r="A11" s="692" t="s">
        <v>2126</v>
      </c>
      <c r="B11" s="692" t="s">
        <v>892</v>
      </c>
      <c r="D11" s="692" t="s">
        <v>1732</v>
      </c>
      <c r="E11" s="692" t="s">
        <v>2048</v>
      </c>
      <c r="F11" s="692" t="s">
        <v>2049</v>
      </c>
      <c r="G11" s="692" t="s">
        <v>4394</v>
      </c>
      <c r="H11" s="692" t="s">
        <v>5</v>
      </c>
      <c r="I11" s="692" t="s">
        <v>41</v>
      </c>
      <c r="J11" s="692" t="s">
        <v>3</v>
      </c>
      <c r="K11" s="692" t="s">
        <v>7</v>
      </c>
      <c r="L11" s="692" t="str">
        <f t="shared" si="0"/>
        <v>1-01-05</v>
      </c>
      <c r="M11" s="692"/>
      <c r="N11" s="692"/>
      <c r="O11" s="692"/>
      <c r="P11" s="692" t="s">
        <v>1110</v>
      </c>
      <c r="Q11" s="692" t="s">
        <v>4804</v>
      </c>
      <c r="R11" s="692" t="s">
        <v>4617</v>
      </c>
      <c r="S11" s="692">
        <v>22271846</v>
      </c>
      <c r="T11" s="692">
        <v>22271040</v>
      </c>
      <c r="U11" s="692" t="s">
        <v>4405</v>
      </c>
      <c r="V11" s="692" t="s">
        <v>2050</v>
      </c>
      <c r="W11" s="692"/>
      <c r="X11" s="761"/>
      <c r="Z11" s="713"/>
      <c r="AA11" s="10"/>
      <c r="AB11" s="8"/>
      <c r="AC11" s="8"/>
      <c r="AD11" s="8"/>
      <c r="AE11" s="8"/>
      <c r="AF11" s="8"/>
      <c r="AG11" s="8"/>
      <c r="AH11" s="761"/>
      <c r="AI11" s="761"/>
    </row>
    <row r="12" spans="1:35" ht="15.75">
      <c r="A12" s="692" t="s">
        <v>2045</v>
      </c>
      <c r="B12" s="692" t="s">
        <v>1114</v>
      </c>
      <c r="D12" s="692" t="s">
        <v>1099</v>
      </c>
      <c r="E12" s="692" t="s">
        <v>2051</v>
      </c>
      <c r="F12" s="692" t="s">
        <v>4050</v>
      </c>
      <c r="G12" s="692" t="s">
        <v>4395</v>
      </c>
      <c r="H12" s="692" t="s">
        <v>7</v>
      </c>
      <c r="I12" s="692" t="s">
        <v>41</v>
      </c>
      <c r="J12" s="692" t="s">
        <v>3</v>
      </c>
      <c r="K12" s="692" t="s">
        <v>9</v>
      </c>
      <c r="L12" s="692" t="str">
        <f t="shared" si="0"/>
        <v>1-01-07</v>
      </c>
      <c r="M12" s="692"/>
      <c r="N12" s="692"/>
      <c r="O12" s="692"/>
      <c r="P12" s="692" t="s">
        <v>97</v>
      </c>
      <c r="Q12" s="692" t="s">
        <v>4804</v>
      </c>
      <c r="R12" s="692" t="s">
        <v>5807</v>
      </c>
      <c r="S12" s="692">
        <v>22917910</v>
      </c>
      <c r="T12" s="692">
        <v>22917910</v>
      </c>
      <c r="U12" s="692" t="s">
        <v>4103</v>
      </c>
      <c r="V12" s="692" t="s">
        <v>4406</v>
      </c>
      <c r="W12" s="692"/>
      <c r="X12" s="761"/>
      <c r="Z12" s="713"/>
      <c r="AA12" s="10"/>
      <c r="AB12" s="8"/>
      <c r="AC12" s="8"/>
      <c r="AD12" s="8"/>
      <c r="AE12" s="8"/>
      <c r="AF12" s="8"/>
      <c r="AG12" s="8"/>
      <c r="AH12" s="761"/>
      <c r="AI12" s="761"/>
    </row>
    <row r="13" spans="1:35" ht="15.75">
      <c r="A13" s="692" t="s">
        <v>2064</v>
      </c>
      <c r="B13" s="692" t="s">
        <v>1103</v>
      </c>
      <c r="D13" s="692" t="s">
        <v>63</v>
      </c>
      <c r="E13" s="692" t="s">
        <v>2056</v>
      </c>
      <c r="F13" s="692" t="s">
        <v>2057</v>
      </c>
      <c r="G13" s="692" t="s">
        <v>4395</v>
      </c>
      <c r="H13" s="692" t="s">
        <v>3</v>
      </c>
      <c r="I13" s="692" t="s">
        <v>41</v>
      </c>
      <c r="J13" s="692" t="s">
        <v>3</v>
      </c>
      <c r="K13" s="692" t="s">
        <v>11</v>
      </c>
      <c r="L13" s="692" t="str">
        <f t="shared" si="0"/>
        <v>1-01-08</v>
      </c>
      <c r="M13" s="692"/>
      <c r="N13" s="692"/>
      <c r="O13" s="692"/>
      <c r="P13" s="692" t="s">
        <v>2058</v>
      </c>
      <c r="Q13" s="692" t="s">
        <v>4804</v>
      </c>
      <c r="R13" s="692" t="s">
        <v>4618</v>
      </c>
      <c r="S13" s="692">
        <v>22216646</v>
      </c>
      <c r="T13" s="692"/>
      <c r="U13" s="692" t="s">
        <v>5531</v>
      </c>
      <c r="V13" s="692" t="s">
        <v>4407</v>
      </c>
      <c r="W13" s="692"/>
      <c r="X13" s="761"/>
      <c r="Z13" s="713"/>
      <c r="AA13" s="10"/>
      <c r="AB13" s="8"/>
      <c r="AC13" s="8"/>
      <c r="AD13" s="8"/>
      <c r="AE13" s="8"/>
      <c r="AF13" s="8"/>
      <c r="AG13" s="8"/>
      <c r="AH13" s="761" t="s">
        <v>4493</v>
      </c>
      <c r="AI13" s="761"/>
    </row>
    <row r="14" spans="1:35" ht="15.75">
      <c r="A14" s="692" t="s">
        <v>2143</v>
      </c>
      <c r="B14" s="692" t="s">
        <v>95</v>
      </c>
      <c r="D14" s="692" t="s">
        <v>1106</v>
      </c>
      <c r="E14" s="692" t="s">
        <v>2059</v>
      </c>
      <c r="F14" s="692" t="s">
        <v>5532</v>
      </c>
      <c r="G14" s="692" t="s">
        <v>4395</v>
      </c>
      <c r="H14" s="692" t="s">
        <v>4</v>
      </c>
      <c r="I14" s="692" t="s">
        <v>41</v>
      </c>
      <c r="J14" s="692" t="s">
        <v>3</v>
      </c>
      <c r="K14" s="692" t="s">
        <v>12</v>
      </c>
      <c r="L14" s="692" t="str">
        <f t="shared" si="0"/>
        <v>1-01-09</v>
      </c>
      <c r="M14" s="692"/>
      <c r="N14" s="692"/>
      <c r="O14" s="692"/>
      <c r="P14" s="692" t="s">
        <v>115</v>
      </c>
      <c r="Q14" s="692" t="s">
        <v>4804</v>
      </c>
      <c r="R14" s="692" t="s">
        <v>5824</v>
      </c>
      <c r="S14" s="692">
        <v>22322753</v>
      </c>
      <c r="T14" s="692">
        <v>22323700</v>
      </c>
      <c r="U14" s="692" t="s">
        <v>4104</v>
      </c>
      <c r="V14" s="692" t="s">
        <v>4105</v>
      </c>
      <c r="W14" s="692"/>
      <c r="X14" s="761" t="s">
        <v>1105</v>
      </c>
      <c r="Z14" s="713"/>
      <c r="AA14" s="10"/>
      <c r="AB14" s="8"/>
      <c r="AC14" s="8"/>
      <c r="AD14" s="8"/>
      <c r="AE14" s="8"/>
      <c r="AF14" s="8"/>
      <c r="AG14" s="8"/>
      <c r="AH14" s="761"/>
      <c r="AI14" s="761"/>
    </row>
    <row r="15" spans="1:35" ht="15.75">
      <c r="A15" s="692" t="s">
        <v>2048</v>
      </c>
      <c r="B15" s="692" t="s">
        <v>1732</v>
      </c>
      <c r="D15" s="692" t="s">
        <v>1111</v>
      </c>
      <c r="E15" s="692" t="s">
        <v>2061</v>
      </c>
      <c r="F15" s="692" t="s">
        <v>2062</v>
      </c>
      <c r="G15" s="692" t="s">
        <v>4394</v>
      </c>
      <c r="H15" s="692" t="s">
        <v>7</v>
      </c>
      <c r="I15" s="692" t="s">
        <v>41</v>
      </c>
      <c r="J15" s="692" t="s">
        <v>3</v>
      </c>
      <c r="K15" s="692" t="s">
        <v>13</v>
      </c>
      <c r="L15" s="692" t="str">
        <f t="shared" si="0"/>
        <v>1-01-10</v>
      </c>
      <c r="M15" s="692"/>
      <c r="N15" s="692"/>
      <c r="O15" s="692"/>
      <c r="P15" s="692" t="s">
        <v>149</v>
      </c>
      <c r="Q15" s="692" t="s">
        <v>4804</v>
      </c>
      <c r="R15" s="692" t="s">
        <v>5534</v>
      </c>
      <c r="S15" s="692">
        <v>22545434</v>
      </c>
      <c r="T15" s="692">
        <v>22545434</v>
      </c>
      <c r="U15" s="692" t="s">
        <v>5815</v>
      </c>
      <c r="V15" s="692" t="s">
        <v>2063</v>
      </c>
      <c r="W15" s="692"/>
      <c r="X15" s="761" t="s">
        <v>470</v>
      </c>
      <c r="Z15" s="713"/>
      <c r="AA15" s="10"/>
      <c r="AB15" s="8"/>
      <c r="AC15" s="8"/>
      <c r="AD15" s="8"/>
      <c r="AE15" s="8"/>
      <c r="AF15" s="8"/>
      <c r="AG15" s="8"/>
      <c r="AH15" s="761"/>
      <c r="AI15" s="761"/>
    </row>
    <row r="16" spans="1:35" ht="15.75">
      <c r="A16" s="692" t="s">
        <v>2162</v>
      </c>
      <c r="B16" s="692" t="s">
        <v>950</v>
      </c>
      <c r="D16" s="692" t="s">
        <v>1103</v>
      </c>
      <c r="E16" s="692" t="s">
        <v>2064</v>
      </c>
      <c r="F16" s="692" t="s">
        <v>2065</v>
      </c>
      <c r="G16" s="692" t="s">
        <v>4394</v>
      </c>
      <c r="H16" s="692" t="s">
        <v>7</v>
      </c>
      <c r="I16" s="692" t="s">
        <v>41</v>
      </c>
      <c r="J16" s="692" t="s">
        <v>3</v>
      </c>
      <c r="K16" s="692" t="s">
        <v>13</v>
      </c>
      <c r="L16" s="692" t="str">
        <f t="shared" si="0"/>
        <v>1-01-10</v>
      </c>
      <c r="M16" s="692"/>
      <c r="N16" s="692"/>
      <c r="O16" s="692"/>
      <c r="P16" s="692" t="s">
        <v>151</v>
      </c>
      <c r="Q16" s="692" t="s">
        <v>4804</v>
      </c>
      <c r="R16" s="692" t="s">
        <v>3798</v>
      </c>
      <c r="S16" s="692">
        <v>22541108</v>
      </c>
      <c r="T16" s="692">
        <v>22541109</v>
      </c>
      <c r="U16" s="692" t="s">
        <v>4106</v>
      </c>
      <c r="V16" s="692" t="s">
        <v>2066</v>
      </c>
      <c r="W16" s="692"/>
      <c r="X16" s="761"/>
      <c r="Z16" s="713"/>
      <c r="AA16" s="10"/>
      <c r="AB16" s="8"/>
      <c r="AC16" s="8"/>
      <c r="AD16" s="8"/>
      <c r="AE16" s="8"/>
      <c r="AF16" s="8"/>
      <c r="AG16" s="8"/>
      <c r="AH16" s="761"/>
      <c r="AI16" s="761"/>
    </row>
    <row r="17" spans="1:35" ht="15.75">
      <c r="A17" s="692" t="s">
        <v>2069</v>
      </c>
      <c r="B17" s="692" t="s">
        <v>1117</v>
      </c>
      <c r="D17" s="692" t="s">
        <v>944</v>
      </c>
      <c r="E17" s="692" t="s">
        <v>2067</v>
      </c>
      <c r="F17" s="692" t="s">
        <v>2068</v>
      </c>
      <c r="G17" s="692" t="s">
        <v>4394</v>
      </c>
      <c r="H17" s="692" t="s">
        <v>3</v>
      </c>
      <c r="I17" s="692" t="s">
        <v>41</v>
      </c>
      <c r="J17" s="692" t="s">
        <v>3</v>
      </c>
      <c r="K17" s="692" t="s">
        <v>16</v>
      </c>
      <c r="L17" s="692" t="str">
        <f t="shared" si="0"/>
        <v>1-01-11</v>
      </c>
      <c r="M17" s="692"/>
      <c r="N17" s="692"/>
      <c r="O17" s="692"/>
      <c r="P17" s="692" t="s">
        <v>1723</v>
      </c>
      <c r="Q17" s="692" t="s">
        <v>4804</v>
      </c>
      <c r="R17" s="692" t="s">
        <v>5535</v>
      </c>
      <c r="S17" s="692">
        <v>22262372</v>
      </c>
      <c r="T17" s="692">
        <v>22262048</v>
      </c>
      <c r="U17" s="692" t="s">
        <v>4107</v>
      </c>
      <c r="V17" s="692" t="s">
        <v>4807</v>
      </c>
      <c r="W17" s="692"/>
      <c r="X17" s="761" t="s">
        <v>1117</v>
      </c>
      <c r="Z17" s="713"/>
      <c r="AA17" s="10"/>
      <c r="AB17" s="8"/>
      <c r="AC17" s="8"/>
      <c r="AD17" s="8"/>
      <c r="AE17" s="8"/>
      <c r="AF17" s="8"/>
      <c r="AG17" s="8"/>
      <c r="AH17" s="761"/>
      <c r="AI17" s="761"/>
    </row>
    <row r="18" spans="1:35" ht="15.75">
      <c r="A18" s="692" t="s">
        <v>2121</v>
      </c>
      <c r="B18" s="692" t="s">
        <v>1100</v>
      </c>
      <c r="D18" s="692" t="s">
        <v>1117</v>
      </c>
      <c r="E18" s="692" t="s">
        <v>2069</v>
      </c>
      <c r="F18" s="692" t="s">
        <v>4051</v>
      </c>
      <c r="G18" s="692" t="s">
        <v>4395</v>
      </c>
      <c r="H18" s="692" t="s">
        <v>5</v>
      </c>
      <c r="I18" s="692" t="s">
        <v>41</v>
      </c>
      <c r="J18" s="692" t="s">
        <v>4</v>
      </c>
      <c r="K18" s="692" t="s">
        <v>4</v>
      </c>
      <c r="L18" s="692" t="str">
        <f t="shared" si="0"/>
        <v>1-02-02</v>
      </c>
      <c r="M18" s="692"/>
      <c r="N18" s="692"/>
      <c r="O18" s="692"/>
      <c r="P18" s="692" t="s">
        <v>497</v>
      </c>
      <c r="Q18" s="692" t="s">
        <v>4804</v>
      </c>
      <c r="R18" s="692" t="s">
        <v>4408</v>
      </c>
      <c r="S18" s="692">
        <v>40814800</v>
      </c>
      <c r="T18" s="692">
        <v>40814800</v>
      </c>
      <c r="U18" s="692" t="s">
        <v>3799</v>
      </c>
      <c r="V18" s="692" t="s">
        <v>4108</v>
      </c>
      <c r="W18" s="692"/>
      <c r="X18" s="761" t="s">
        <v>643</v>
      </c>
      <c r="Z18" s="713"/>
      <c r="AA18" s="10"/>
      <c r="AB18" s="8"/>
      <c r="AC18" s="8"/>
      <c r="AD18" s="8"/>
      <c r="AE18" s="8"/>
      <c r="AF18" s="8"/>
      <c r="AG18" s="8"/>
      <c r="AH18" s="761"/>
      <c r="AI18" s="761"/>
    </row>
    <row r="19" spans="1:35" ht="15.75">
      <c r="A19" s="692" t="s">
        <v>2124</v>
      </c>
      <c r="B19" s="692" t="s">
        <v>1101</v>
      </c>
      <c r="D19" s="692" t="s">
        <v>1132</v>
      </c>
      <c r="E19" s="692" t="s">
        <v>2070</v>
      </c>
      <c r="F19" s="692" t="s">
        <v>2071</v>
      </c>
      <c r="G19" s="692" t="s">
        <v>47</v>
      </c>
      <c r="H19" s="692" t="s">
        <v>3</v>
      </c>
      <c r="I19" s="692" t="s">
        <v>41</v>
      </c>
      <c r="J19" s="692" t="s">
        <v>5</v>
      </c>
      <c r="K19" s="692" t="s">
        <v>17</v>
      </c>
      <c r="L19" s="692" t="str">
        <f t="shared" si="0"/>
        <v>1-03-12</v>
      </c>
      <c r="M19" s="692"/>
      <c r="N19" s="692"/>
      <c r="O19" s="692"/>
      <c r="P19" s="692" t="s">
        <v>192</v>
      </c>
      <c r="Q19" s="692" t="s">
        <v>4804</v>
      </c>
      <c r="R19" s="692" t="s">
        <v>5536</v>
      </c>
      <c r="S19" s="692">
        <v>22590602</v>
      </c>
      <c r="T19" s="692">
        <v>22597519</v>
      </c>
      <c r="U19" s="692" t="s">
        <v>3800</v>
      </c>
      <c r="V19" s="692" t="s">
        <v>2072</v>
      </c>
      <c r="W19" s="692"/>
      <c r="X19" s="761" t="s">
        <v>251</v>
      </c>
      <c r="Z19" s="713"/>
      <c r="AA19" s="10"/>
      <c r="AB19" s="8"/>
      <c r="AC19" s="8"/>
      <c r="AD19" s="8"/>
      <c r="AE19" s="8"/>
      <c r="AF19" s="8"/>
      <c r="AG19" s="8"/>
      <c r="AH19" s="761"/>
      <c r="AI19" s="761"/>
    </row>
    <row r="20" spans="1:35" ht="15.75">
      <c r="A20" s="692" t="s">
        <v>2112</v>
      </c>
      <c r="B20" s="692" t="s">
        <v>1096</v>
      </c>
      <c r="D20" s="692" t="s">
        <v>1786</v>
      </c>
      <c r="E20" s="692" t="s">
        <v>2073</v>
      </c>
      <c r="F20" s="692" t="s">
        <v>2074</v>
      </c>
      <c r="G20" s="692" t="s">
        <v>47</v>
      </c>
      <c r="H20" s="692" t="s">
        <v>9</v>
      </c>
      <c r="I20" s="692" t="s">
        <v>41</v>
      </c>
      <c r="J20" s="692" t="s">
        <v>5</v>
      </c>
      <c r="K20" s="692" t="s">
        <v>3</v>
      </c>
      <c r="L20" s="692" t="str">
        <f t="shared" si="0"/>
        <v>1-03-01</v>
      </c>
      <c r="M20" s="692"/>
      <c r="N20" s="692"/>
      <c r="O20" s="692"/>
      <c r="P20" s="692" t="s">
        <v>189</v>
      </c>
      <c r="Q20" s="692" t="s">
        <v>4804</v>
      </c>
      <c r="R20" s="692" t="s">
        <v>5835</v>
      </c>
      <c r="S20" s="692">
        <v>22509947</v>
      </c>
      <c r="T20" s="692">
        <v>22594462</v>
      </c>
      <c r="U20" s="692" t="s">
        <v>4808</v>
      </c>
      <c r="V20" s="692" t="s">
        <v>5836</v>
      </c>
      <c r="W20" s="692"/>
      <c r="X20" s="761"/>
      <c r="Z20" s="713"/>
      <c r="AA20" s="10"/>
      <c r="AB20" s="8"/>
      <c r="AC20" s="8"/>
      <c r="AD20" s="8"/>
      <c r="AE20" s="8"/>
      <c r="AF20" s="8"/>
      <c r="AG20" s="8"/>
      <c r="AH20" s="761"/>
      <c r="AI20" s="761"/>
    </row>
    <row r="21" spans="1:35" ht="15.75">
      <c r="A21" s="692" t="s">
        <v>2061</v>
      </c>
      <c r="B21" s="692" t="s">
        <v>1111</v>
      </c>
      <c r="D21" s="692" t="s">
        <v>1122</v>
      </c>
      <c r="E21" s="692" t="s">
        <v>2075</v>
      </c>
      <c r="F21" s="692" t="s">
        <v>2076</v>
      </c>
      <c r="G21" s="692" t="s">
        <v>47</v>
      </c>
      <c r="H21" s="692" t="s">
        <v>3</v>
      </c>
      <c r="I21" s="692" t="s">
        <v>41</v>
      </c>
      <c r="J21" s="692" t="s">
        <v>5</v>
      </c>
      <c r="K21" s="692" t="s">
        <v>3</v>
      </c>
      <c r="L21" s="692" t="str">
        <f t="shared" si="0"/>
        <v>1-03-01</v>
      </c>
      <c r="M21" s="692"/>
      <c r="N21" s="692"/>
      <c r="O21" s="692"/>
      <c r="P21" s="692" t="s">
        <v>47</v>
      </c>
      <c r="Q21" s="692" t="s">
        <v>3543</v>
      </c>
      <c r="R21" s="692" t="s">
        <v>4409</v>
      </c>
      <c r="S21" s="692">
        <v>40002022</v>
      </c>
      <c r="T21" s="692">
        <v>22508022</v>
      </c>
      <c r="U21" s="692" t="s">
        <v>2077</v>
      </c>
      <c r="V21" s="692" t="s">
        <v>1179</v>
      </c>
      <c r="W21" s="692"/>
      <c r="X21" s="761"/>
      <c r="Z21" s="713"/>
      <c r="AA21" s="10"/>
      <c r="AB21" s="8"/>
      <c r="AC21" s="8"/>
      <c r="AD21" s="8"/>
      <c r="AE21" s="8"/>
      <c r="AF21" s="8"/>
      <c r="AG21" s="8"/>
      <c r="AH21" s="761"/>
      <c r="AI21" s="761"/>
    </row>
    <row r="22" spans="1:35" ht="15.75">
      <c r="A22" s="692" t="s">
        <v>2022</v>
      </c>
      <c r="B22" s="692" t="s">
        <v>1728</v>
      </c>
      <c r="D22" s="692" t="s">
        <v>1097</v>
      </c>
      <c r="E22" s="692" t="s">
        <v>2078</v>
      </c>
      <c r="F22" s="692" t="s">
        <v>2079</v>
      </c>
      <c r="G22" s="692" t="s">
        <v>47</v>
      </c>
      <c r="H22" s="692" t="s">
        <v>9</v>
      </c>
      <c r="I22" s="692" t="s">
        <v>41</v>
      </c>
      <c r="J22" s="692" t="s">
        <v>5</v>
      </c>
      <c r="K22" s="692" t="s">
        <v>3</v>
      </c>
      <c r="L22" s="692" t="str">
        <f t="shared" si="0"/>
        <v>1-03-01</v>
      </c>
      <c r="M22" s="692"/>
      <c r="N22" s="692"/>
      <c r="O22" s="692"/>
      <c r="P22" s="692" t="s">
        <v>47</v>
      </c>
      <c r="Q22" s="692" t="s">
        <v>4804</v>
      </c>
      <c r="R22" s="692" t="s">
        <v>4621</v>
      </c>
      <c r="S22" s="692">
        <v>22598797</v>
      </c>
      <c r="T22" s="692">
        <v>22591022</v>
      </c>
      <c r="U22" s="692" t="s">
        <v>4410</v>
      </c>
      <c r="V22" s="692" t="s">
        <v>2080</v>
      </c>
      <c r="W22" s="692"/>
      <c r="X22" s="761"/>
      <c r="Z22" s="713"/>
      <c r="AA22" s="10"/>
      <c r="AB22" s="8"/>
      <c r="AC22" s="8"/>
      <c r="AD22" s="8"/>
      <c r="AE22" s="8"/>
      <c r="AF22" s="8"/>
      <c r="AG22" s="8"/>
      <c r="AH22" s="761"/>
      <c r="AI22" s="761"/>
    </row>
    <row r="23" spans="1:35" ht="15.75">
      <c r="A23" s="692" t="s">
        <v>2137</v>
      </c>
      <c r="B23" s="692" t="s">
        <v>1734</v>
      </c>
      <c r="D23" s="692" t="s">
        <v>1927</v>
      </c>
      <c r="E23" s="692" t="s">
        <v>2081</v>
      </c>
      <c r="F23" s="692" t="s">
        <v>2082</v>
      </c>
      <c r="G23" s="692" t="s">
        <v>47</v>
      </c>
      <c r="H23" s="692" t="s">
        <v>4</v>
      </c>
      <c r="I23" s="692" t="s">
        <v>41</v>
      </c>
      <c r="J23" s="692" t="s">
        <v>5</v>
      </c>
      <c r="K23" s="692" t="s">
        <v>4</v>
      </c>
      <c r="L23" s="692" t="str">
        <f t="shared" si="0"/>
        <v>1-03-02</v>
      </c>
      <c r="M23" s="692"/>
      <c r="N23" s="692"/>
      <c r="O23" s="692"/>
      <c r="P23" s="692" t="s">
        <v>49</v>
      </c>
      <c r="Q23" s="692" t="s">
        <v>4804</v>
      </c>
      <c r="R23" s="692" t="s">
        <v>4620</v>
      </c>
      <c r="S23" s="692">
        <v>22703443</v>
      </c>
      <c r="T23" s="692">
        <v>22703743</v>
      </c>
      <c r="U23" s="692" t="s">
        <v>3801</v>
      </c>
      <c r="V23" s="692" t="s">
        <v>2083</v>
      </c>
      <c r="W23" s="692"/>
      <c r="X23" s="761" t="s">
        <v>739</v>
      </c>
      <c r="Z23" s="713"/>
      <c r="AA23" s="10"/>
      <c r="AB23" s="8"/>
      <c r="AC23" s="8"/>
      <c r="AD23" s="8"/>
      <c r="AE23" s="8"/>
      <c r="AF23" s="8"/>
      <c r="AG23" s="8"/>
      <c r="AH23" s="761" t="s">
        <v>4493</v>
      </c>
      <c r="AI23" s="761"/>
    </row>
    <row r="24" spans="1:35" ht="15.75">
      <c r="A24" s="692" t="s">
        <v>2115</v>
      </c>
      <c r="B24" s="692" t="s">
        <v>1098</v>
      </c>
      <c r="D24" s="692" t="s">
        <v>75</v>
      </c>
      <c r="E24" s="692" t="s">
        <v>2084</v>
      </c>
      <c r="F24" s="692" t="s">
        <v>2085</v>
      </c>
      <c r="G24" s="692" t="s">
        <v>47</v>
      </c>
      <c r="H24" s="692" t="s">
        <v>3</v>
      </c>
      <c r="I24" s="692" t="s">
        <v>41</v>
      </c>
      <c r="J24" s="692" t="s">
        <v>5</v>
      </c>
      <c r="K24" s="692" t="s">
        <v>7</v>
      </c>
      <c r="L24" s="692" t="str">
        <f t="shared" si="0"/>
        <v>1-03-05</v>
      </c>
      <c r="M24" s="692"/>
      <c r="N24" s="692"/>
      <c r="O24" s="692"/>
      <c r="P24" s="692" t="s">
        <v>132</v>
      </c>
      <c r="Q24" s="692" t="s">
        <v>4804</v>
      </c>
      <c r="R24" s="692" t="s">
        <v>5750</v>
      </c>
      <c r="S24" s="692">
        <v>22767828</v>
      </c>
      <c r="T24" s="692">
        <v>22767828</v>
      </c>
      <c r="U24" s="692" t="s">
        <v>3802</v>
      </c>
      <c r="V24" s="692" t="s">
        <v>2086</v>
      </c>
      <c r="W24" s="692"/>
      <c r="X24" s="761"/>
      <c r="Z24" s="713"/>
      <c r="AA24" s="10"/>
      <c r="AB24" s="8"/>
      <c r="AC24" s="8"/>
      <c r="AD24" s="8"/>
      <c r="AE24" s="8"/>
      <c r="AF24" s="8"/>
      <c r="AG24" s="8"/>
      <c r="AH24" s="761"/>
      <c r="AI24" s="761"/>
    </row>
    <row r="25" spans="1:35" ht="15.75">
      <c r="A25" s="692" t="s">
        <v>2159</v>
      </c>
      <c r="B25" s="692" t="s">
        <v>951</v>
      </c>
      <c r="D25" s="692" t="s">
        <v>1733</v>
      </c>
      <c r="E25" s="692" t="s">
        <v>2087</v>
      </c>
      <c r="F25" s="692" t="s">
        <v>2088</v>
      </c>
      <c r="G25" s="692" t="s">
        <v>172</v>
      </c>
      <c r="H25" s="692" t="s">
        <v>3</v>
      </c>
      <c r="I25" s="692" t="s">
        <v>41</v>
      </c>
      <c r="J25" s="692" t="s">
        <v>6</v>
      </c>
      <c r="K25" s="692" t="s">
        <v>3</v>
      </c>
      <c r="L25" s="692" t="str">
        <f t="shared" si="0"/>
        <v>1-04-01</v>
      </c>
      <c r="M25" s="692"/>
      <c r="N25" s="692"/>
      <c r="O25" s="692"/>
      <c r="P25" s="692" t="s">
        <v>230</v>
      </c>
      <c r="Q25" s="692" t="s">
        <v>4804</v>
      </c>
      <c r="R25" s="692" t="s">
        <v>5823</v>
      </c>
      <c r="S25" s="692">
        <v>24166163</v>
      </c>
      <c r="T25" s="692">
        <v>24165424</v>
      </c>
      <c r="U25" s="692" t="s">
        <v>3803</v>
      </c>
      <c r="V25" s="692" t="s">
        <v>2089</v>
      </c>
      <c r="W25" s="692"/>
      <c r="X25" s="761"/>
      <c r="Z25" s="713"/>
      <c r="AA25" s="10"/>
      <c r="AB25" s="8"/>
      <c r="AC25" s="8"/>
      <c r="AD25" s="8"/>
      <c r="AE25" s="8"/>
      <c r="AF25" s="8" t="s">
        <v>4493</v>
      </c>
      <c r="AG25" s="8"/>
      <c r="AH25" s="761"/>
      <c r="AI25" s="761"/>
    </row>
    <row r="26" spans="1:35" ht="15.75">
      <c r="A26" s="692" t="s">
        <v>2118</v>
      </c>
      <c r="B26" s="692" t="s">
        <v>939</v>
      </c>
      <c r="D26" s="692" t="s">
        <v>84</v>
      </c>
      <c r="E26" s="692" t="s">
        <v>2090</v>
      </c>
      <c r="F26" s="692" t="s">
        <v>2091</v>
      </c>
      <c r="G26" s="692" t="s">
        <v>216</v>
      </c>
      <c r="H26" s="692" t="s">
        <v>3</v>
      </c>
      <c r="I26" s="692" t="s">
        <v>41</v>
      </c>
      <c r="J26" s="692" t="s">
        <v>7</v>
      </c>
      <c r="K26" s="692" t="s">
        <v>3</v>
      </c>
      <c r="L26" s="692" t="str">
        <f t="shared" si="0"/>
        <v>1-05-01</v>
      </c>
      <c r="M26" s="692"/>
      <c r="N26" s="692"/>
      <c r="O26" s="692"/>
      <c r="P26" s="692" t="s">
        <v>507</v>
      </c>
      <c r="Q26" s="692" t="s">
        <v>4804</v>
      </c>
      <c r="R26" s="692" t="s">
        <v>4488</v>
      </c>
      <c r="S26" s="692">
        <v>25466012</v>
      </c>
      <c r="T26" s="692">
        <v>25469038</v>
      </c>
      <c r="U26" s="692" t="s">
        <v>3571</v>
      </c>
      <c r="V26" s="692" t="s">
        <v>2092</v>
      </c>
      <c r="W26" s="692"/>
      <c r="X26" s="761" t="s">
        <v>1725</v>
      </c>
      <c r="Z26" s="713"/>
      <c r="AA26" s="10"/>
      <c r="AB26" s="8"/>
      <c r="AC26" s="8"/>
      <c r="AD26" s="8"/>
      <c r="AE26" s="8"/>
      <c r="AF26" s="8" t="s">
        <v>4493</v>
      </c>
      <c r="AG26" s="8"/>
      <c r="AH26" s="761"/>
      <c r="AI26" s="761"/>
    </row>
    <row r="27" spans="1:35" ht="15.75">
      <c r="A27" s="692" t="s">
        <v>2153</v>
      </c>
      <c r="B27" s="692" t="s">
        <v>100</v>
      </c>
      <c r="D27" s="692" t="s">
        <v>1089</v>
      </c>
      <c r="E27" s="692" t="s">
        <v>2093</v>
      </c>
      <c r="F27" s="692" t="s">
        <v>2094</v>
      </c>
      <c r="G27" s="692" t="s">
        <v>47</v>
      </c>
      <c r="H27" s="692" t="s">
        <v>5</v>
      </c>
      <c r="I27" s="692" t="s">
        <v>41</v>
      </c>
      <c r="J27" s="692" t="s">
        <v>8</v>
      </c>
      <c r="K27" s="692" t="s">
        <v>3</v>
      </c>
      <c r="L27" s="692" t="str">
        <f t="shared" si="0"/>
        <v>1-06-01</v>
      </c>
      <c r="M27" s="692"/>
      <c r="N27" s="692"/>
      <c r="O27" s="692"/>
      <c r="P27" s="692" t="s">
        <v>2095</v>
      </c>
      <c r="Q27" s="692" t="s">
        <v>4804</v>
      </c>
      <c r="R27" s="692" t="s">
        <v>3815</v>
      </c>
      <c r="S27" s="692">
        <v>22303375</v>
      </c>
      <c r="T27" s="692">
        <v>22303375</v>
      </c>
      <c r="U27" s="692" t="s">
        <v>4109</v>
      </c>
      <c r="V27" s="692" t="s">
        <v>2096</v>
      </c>
      <c r="W27" s="692"/>
      <c r="X27" s="761" t="s">
        <v>404</v>
      </c>
      <c r="Z27" s="713"/>
      <c r="AA27" s="10"/>
      <c r="AB27" s="8"/>
      <c r="AC27" s="8"/>
      <c r="AD27" s="8"/>
      <c r="AE27" s="8"/>
      <c r="AF27" s="8"/>
      <c r="AG27" s="8"/>
      <c r="AH27" s="761"/>
      <c r="AI27" s="761"/>
    </row>
    <row r="28" spans="1:35" ht="15.75">
      <c r="A28" s="692" t="s">
        <v>2024</v>
      </c>
      <c r="B28" s="692" t="s">
        <v>1729</v>
      </c>
      <c r="D28" s="692" t="s">
        <v>73</v>
      </c>
      <c r="E28" s="692" t="s">
        <v>2097</v>
      </c>
      <c r="F28" s="692" t="s">
        <v>2098</v>
      </c>
      <c r="G28" s="692" t="s">
        <v>47</v>
      </c>
      <c r="H28" s="692" t="s">
        <v>5</v>
      </c>
      <c r="I28" s="692" t="s">
        <v>41</v>
      </c>
      <c r="J28" s="692" t="s">
        <v>8</v>
      </c>
      <c r="K28" s="692" t="s">
        <v>6</v>
      </c>
      <c r="L28" s="692" t="str">
        <f t="shared" si="0"/>
        <v>1-06-04</v>
      </c>
      <c r="M28" s="692"/>
      <c r="N28" s="692"/>
      <c r="O28" s="692"/>
      <c r="P28" s="692" t="s">
        <v>210</v>
      </c>
      <c r="Q28" s="692" t="s">
        <v>4804</v>
      </c>
      <c r="R28" s="692" t="s">
        <v>4110</v>
      </c>
      <c r="S28" s="692">
        <v>25400315</v>
      </c>
      <c r="T28" s="692">
        <v>25401212</v>
      </c>
      <c r="U28" s="692" t="s">
        <v>4111</v>
      </c>
      <c r="V28" s="692" t="s">
        <v>3804</v>
      </c>
      <c r="W28" s="692"/>
      <c r="X28" s="761"/>
      <c r="Z28" s="713"/>
      <c r="AA28" s="10"/>
      <c r="AB28" s="8"/>
      <c r="AC28" s="8"/>
      <c r="AD28" s="8"/>
      <c r="AE28" s="8"/>
      <c r="AF28" s="8"/>
      <c r="AG28" s="8"/>
      <c r="AH28" s="761" t="s">
        <v>4493</v>
      </c>
      <c r="AI28" s="761"/>
    </row>
    <row r="29" spans="1:35" ht="15.75">
      <c r="A29" s="692" t="s">
        <v>2051</v>
      </c>
      <c r="B29" s="692" t="s">
        <v>1099</v>
      </c>
      <c r="D29" s="692" t="s">
        <v>88</v>
      </c>
      <c r="E29" s="692" t="s">
        <v>2099</v>
      </c>
      <c r="F29" s="692" t="s">
        <v>2100</v>
      </c>
      <c r="G29" s="692" t="s">
        <v>172</v>
      </c>
      <c r="H29" s="692" t="s">
        <v>7</v>
      </c>
      <c r="I29" s="692" t="s">
        <v>41</v>
      </c>
      <c r="J29" s="692" t="s">
        <v>9</v>
      </c>
      <c r="K29" s="692" t="s">
        <v>3</v>
      </c>
      <c r="L29" s="692" t="str">
        <f t="shared" si="0"/>
        <v>1-07-01</v>
      </c>
      <c r="M29" s="692"/>
      <c r="N29" s="692"/>
      <c r="O29" s="692"/>
      <c r="P29" s="692" t="s">
        <v>336</v>
      </c>
      <c r="Q29" s="692" t="s">
        <v>4804</v>
      </c>
      <c r="R29" s="692" t="s">
        <v>3544</v>
      </c>
      <c r="S29" s="692">
        <v>21061700</v>
      </c>
      <c r="T29" s="692"/>
      <c r="U29" s="692" t="s">
        <v>2101</v>
      </c>
      <c r="V29" s="692" t="s">
        <v>2102</v>
      </c>
      <c r="W29" s="692"/>
      <c r="X29" s="761" t="s">
        <v>927</v>
      </c>
      <c r="Z29" s="713"/>
      <c r="AA29" s="10"/>
      <c r="AB29" s="8"/>
      <c r="AC29" s="8"/>
      <c r="AD29" s="8"/>
      <c r="AE29" s="8"/>
      <c r="AF29" s="8"/>
      <c r="AG29" s="8"/>
      <c r="AH29" s="761"/>
      <c r="AI29" s="761"/>
    </row>
    <row r="30" spans="1:35" ht="15.75">
      <c r="A30" s="692" t="s">
        <v>2140</v>
      </c>
      <c r="B30" s="692" t="s">
        <v>98</v>
      </c>
      <c r="D30" s="692" t="s">
        <v>1125</v>
      </c>
      <c r="E30" s="692" t="s">
        <v>2103</v>
      </c>
      <c r="F30" s="692" t="s">
        <v>2104</v>
      </c>
      <c r="G30" s="692" t="s">
        <v>4396</v>
      </c>
      <c r="H30" s="692" t="s">
        <v>3</v>
      </c>
      <c r="I30" s="692" t="s">
        <v>41</v>
      </c>
      <c r="J30" s="692" t="s">
        <v>11</v>
      </c>
      <c r="K30" s="692" t="s">
        <v>3</v>
      </c>
      <c r="L30" s="692" t="str">
        <f t="shared" si="0"/>
        <v>1-08-01</v>
      </c>
      <c r="M30" s="692"/>
      <c r="N30" s="692"/>
      <c r="O30" s="692"/>
      <c r="P30" s="692" t="s">
        <v>224</v>
      </c>
      <c r="Q30" s="692" t="s">
        <v>3543</v>
      </c>
      <c r="R30" s="692" t="s">
        <v>2105</v>
      </c>
      <c r="S30" s="692">
        <v>22850928</v>
      </c>
      <c r="T30" s="692">
        <v>22451441</v>
      </c>
      <c r="U30" s="692" t="s">
        <v>2106</v>
      </c>
      <c r="V30" s="692" t="s">
        <v>225</v>
      </c>
      <c r="W30" s="692"/>
      <c r="X30" s="761"/>
      <c r="Z30" s="713"/>
      <c r="AA30" s="10"/>
      <c r="AB30" s="8"/>
      <c r="AC30" s="8"/>
      <c r="AD30" s="8"/>
      <c r="AE30" s="8"/>
      <c r="AF30" s="8"/>
      <c r="AG30" s="8"/>
      <c r="AH30" s="761"/>
      <c r="AI30" s="761"/>
    </row>
    <row r="31" spans="1:35" ht="15.75">
      <c r="A31" s="692" t="s">
        <v>2103</v>
      </c>
      <c r="B31" s="692" t="s">
        <v>1125</v>
      </c>
      <c r="D31" s="692" t="s">
        <v>77</v>
      </c>
      <c r="E31" s="692" t="s">
        <v>2107</v>
      </c>
      <c r="F31" s="692" t="s">
        <v>2108</v>
      </c>
      <c r="G31" s="692" t="s">
        <v>4396</v>
      </c>
      <c r="H31" s="692" t="s">
        <v>3</v>
      </c>
      <c r="I31" s="692" t="s">
        <v>41</v>
      </c>
      <c r="J31" s="692" t="s">
        <v>11</v>
      </c>
      <c r="K31" s="692" t="s">
        <v>3</v>
      </c>
      <c r="L31" s="692" t="str">
        <f t="shared" si="0"/>
        <v>1-08-01</v>
      </c>
      <c r="M31" s="692"/>
      <c r="N31" s="692"/>
      <c r="O31" s="692"/>
      <c r="P31" s="692" t="s">
        <v>768</v>
      </c>
      <c r="Q31" s="692" t="s">
        <v>4804</v>
      </c>
      <c r="R31" s="692" t="s">
        <v>2109</v>
      </c>
      <c r="S31" s="692">
        <v>22213885</v>
      </c>
      <c r="T31" s="692">
        <v>22216730</v>
      </c>
      <c r="U31" s="692" t="s">
        <v>4112</v>
      </c>
      <c r="V31" s="692" t="s">
        <v>2110</v>
      </c>
      <c r="W31" s="692"/>
      <c r="X31" s="761"/>
      <c r="Z31" s="713"/>
      <c r="AA31" s="10"/>
      <c r="AB31" s="8"/>
      <c r="AC31" s="8"/>
      <c r="AD31" s="8"/>
      <c r="AE31" s="8"/>
      <c r="AF31" s="8"/>
      <c r="AG31" s="8"/>
      <c r="AH31" s="761"/>
      <c r="AI31" s="761"/>
    </row>
    <row r="32" spans="1:35" ht="15.75">
      <c r="A32" s="692" t="s">
        <v>2059</v>
      </c>
      <c r="B32" s="692" t="s">
        <v>1106</v>
      </c>
      <c r="D32" s="692" t="s">
        <v>1096</v>
      </c>
      <c r="E32" s="692" t="s">
        <v>2112</v>
      </c>
      <c r="F32" s="692" t="s">
        <v>4052</v>
      </c>
      <c r="G32" s="692" t="s">
        <v>4396</v>
      </c>
      <c r="H32" s="692" t="s">
        <v>4</v>
      </c>
      <c r="I32" s="692" t="s">
        <v>41</v>
      </c>
      <c r="J32" s="692" t="s">
        <v>11</v>
      </c>
      <c r="K32" s="692" t="s">
        <v>7</v>
      </c>
      <c r="L32" s="692" t="str">
        <f t="shared" si="0"/>
        <v>1-08-05</v>
      </c>
      <c r="M32" s="692"/>
      <c r="N32" s="692"/>
      <c r="O32" s="692"/>
      <c r="P32" s="692" t="s">
        <v>2113</v>
      </c>
      <c r="Q32" s="692" t="s">
        <v>4804</v>
      </c>
      <c r="R32" s="692" t="s">
        <v>5751</v>
      </c>
      <c r="S32" s="692">
        <v>22293393</v>
      </c>
      <c r="T32" s="692">
        <v>22293393</v>
      </c>
      <c r="U32" s="692" t="s">
        <v>4113</v>
      </c>
      <c r="V32" s="692" t="s">
        <v>2114</v>
      </c>
      <c r="W32" s="692"/>
      <c r="X32" s="761"/>
      <c r="Z32" s="713"/>
      <c r="AA32" s="10"/>
      <c r="AB32" s="8"/>
      <c r="AC32" s="8"/>
      <c r="AD32" s="8"/>
      <c r="AE32" s="8"/>
      <c r="AF32" s="8"/>
      <c r="AG32" s="8"/>
      <c r="AH32" s="761"/>
      <c r="AI32" s="761"/>
    </row>
    <row r="33" spans="1:35" ht="15.75">
      <c r="A33" s="692" t="s">
        <v>2042</v>
      </c>
      <c r="B33" s="692" t="s">
        <v>1109</v>
      </c>
      <c r="D33" s="692" t="s">
        <v>1098</v>
      </c>
      <c r="E33" s="692" t="s">
        <v>2115</v>
      </c>
      <c r="F33" s="692" t="s">
        <v>2116</v>
      </c>
      <c r="G33" s="692" t="s">
        <v>4395</v>
      </c>
      <c r="H33" s="692" t="s">
        <v>6</v>
      </c>
      <c r="I33" s="692" t="s">
        <v>41</v>
      </c>
      <c r="J33" s="692" t="s">
        <v>12</v>
      </c>
      <c r="K33" s="692" t="s">
        <v>6</v>
      </c>
      <c r="L33" s="692" t="str">
        <f t="shared" si="0"/>
        <v>1-09-04</v>
      </c>
      <c r="M33" s="692"/>
      <c r="N33" s="692"/>
      <c r="O33" s="692"/>
      <c r="P33" s="692" t="s">
        <v>4114</v>
      </c>
      <c r="Q33" s="692" t="s">
        <v>4804</v>
      </c>
      <c r="R33" s="692" t="s">
        <v>4809</v>
      </c>
      <c r="S33" s="692">
        <v>22821457</v>
      </c>
      <c r="T33" s="692">
        <v>22821457</v>
      </c>
      <c r="U33" s="692" t="s">
        <v>3805</v>
      </c>
      <c r="V33" s="692" t="s">
        <v>2117</v>
      </c>
      <c r="W33" s="692"/>
      <c r="X33" s="761" t="s">
        <v>75</v>
      </c>
      <c r="Z33" s="713"/>
      <c r="AA33" s="10"/>
      <c r="AB33" s="8"/>
      <c r="AC33" s="8"/>
      <c r="AD33" s="8"/>
      <c r="AE33" s="8"/>
      <c r="AF33" s="8" t="s">
        <v>4493</v>
      </c>
      <c r="AG33" s="8"/>
      <c r="AH33" s="761"/>
      <c r="AI33" s="761"/>
    </row>
    <row r="34" spans="1:35" ht="15.75">
      <c r="A34" s="692" t="s">
        <v>2413</v>
      </c>
      <c r="B34" s="692" t="s">
        <v>1180</v>
      </c>
      <c r="D34" s="692" t="s">
        <v>939</v>
      </c>
      <c r="E34" s="692" t="s">
        <v>2118</v>
      </c>
      <c r="F34" s="692" t="s">
        <v>2119</v>
      </c>
      <c r="G34" s="692" t="s">
        <v>4394</v>
      </c>
      <c r="H34" s="692" t="s">
        <v>8</v>
      </c>
      <c r="I34" s="692" t="s">
        <v>41</v>
      </c>
      <c r="J34" s="692" t="s">
        <v>13</v>
      </c>
      <c r="K34" s="692" t="s">
        <v>7</v>
      </c>
      <c r="L34" s="692" t="str">
        <f t="shared" si="0"/>
        <v>1-10-05</v>
      </c>
      <c r="M34" s="692"/>
      <c r="N34" s="692"/>
      <c r="O34" s="692"/>
      <c r="P34" s="692" t="s">
        <v>137</v>
      </c>
      <c r="Q34" s="692" t="s">
        <v>4804</v>
      </c>
      <c r="R34" s="692" t="s">
        <v>5846</v>
      </c>
      <c r="S34" s="692">
        <v>22527248</v>
      </c>
      <c r="T34" s="692">
        <v>22527248</v>
      </c>
      <c r="U34" s="692" t="s">
        <v>4810</v>
      </c>
      <c r="V34" s="692" t="s">
        <v>2120</v>
      </c>
      <c r="W34" s="692"/>
      <c r="X34" s="761" t="s">
        <v>228</v>
      </c>
      <c r="Z34" s="713"/>
      <c r="AA34" s="10"/>
      <c r="AB34" s="8"/>
      <c r="AC34" s="8"/>
      <c r="AD34" s="8"/>
      <c r="AE34" s="8"/>
      <c r="AF34" s="8"/>
      <c r="AG34" s="8"/>
      <c r="AH34" s="761"/>
      <c r="AI34" s="761"/>
    </row>
    <row r="35" spans="1:35" ht="15.75">
      <c r="A35" s="692" t="s">
        <v>2464</v>
      </c>
      <c r="B35" s="692" t="s">
        <v>316</v>
      </c>
      <c r="D35" s="692" t="s">
        <v>1100</v>
      </c>
      <c r="E35" s="692" t="s">
        <v>2121</v>
      </c>
      <c r="F35" s="692" t="s">
        <v>2122</v>
      </c>
      <c r="G35" s="692" t="s">
        <v>4396</v>
      </c>
      <c r="H35" s="692" t="s">
        <v>8</v>
      </c>
      <c r="I35" s="692" t="s">
        <v>41</v>
      </c>
      <c r="J35" s="692" t="s">
        <v>16</v>
      </c>
      <c r="K35" s="692" t="s">
        <v>3</v>
      </c>
      <c r="L35" s="692" t="str">
        <f t="shared" si="0"/>
        <v>1-11-01</v>
      </c>
      <c r="M35" s="692"/>
      <c r="N35" s="692"/>
      <c r="O35" s="692"/>
      <c r="P35" s="692" t="s">
        <v>140</v>
      </c>
      <c r="Q35" s="692" t="s">
        <v>4804</v>
      </c>
      <c r="R35" s="692" t="s">
        <v>4811</v>
      </c>
      <c r="S35" s="692">
        <v>22290285</v>
      </c>
      <c r="T35" s="692"/>
      <c r="U35" s="692" t="s">
        <v>3806</v>
      </c>
      <c r="V35" s="692" t="s">
        <v>2123</v>
      </c>
      <c r="W35" s="692"/>
      <c r="X35" s="761" t="s">
        <v>434</v>
      </c>
      <c r="Z35" s="713"/>
      <c r="AA35" s="10"/>
      <c r="AB35" s="8"/>
      <c r="AC35" s="8"/>
      <c r="AD35" s="8"/>
      <c r="AE35" s="8"/>
      <c r="AF35" s="8"/>
      <c r="AG35" s="8"/>
      <c r="AH35" s="761"/>
      <c r="AI35" s="761"/>
    </row>
    <row r="36" spans="1:35" ht="15.75">
      <c r="A36" s="692" t="s">
        <v>2454</v>
      </c>
      <c r="B36" s="692" t="s">
        <v>222</v>
      </c>
      <c r="D36" s="692" t="s">
        <v>1101</v>
      </c>
      <c r="E36" s="692" t="s">
        <v>2124</v>
      </c>
      <c r="F36" s="692" t="s">
        <v>1932</v>
      </c>
      <c r="G36" s="692" t="s">
        <v>4396</v>
      </c>
      <c r="H36" s="692" t="s">
        <v>8</v>
      </c>
      <c r="I36" s="692" t="s">
        <v>41</v>
      </c>
      <c r="J36" s="692" t="s">
        <v>16</v>
      </c>
      <c r="K36" s="692" t="s">
        <v>4</v>
      </c>
      <c r="L36" s="692" t="str">
        <f t="shared" si="0"/>
        <v>1-11-02</v>
      </c>
      <c r="M36" s="692"/>
      <c r="N36" s="692"/>
      <c r="O36" s="692"/>
      <c r="P36" s="692" t="s">
        <v>116</v>
      </c>
      <c r="Q36" s="692" t="s">
        <v>3543</v>
      </c>
      <c r="R36" s="692" t="s">
        <v>1944</v>
      </c>
      <c r="S36" s="692">
        <v>25290494</v>
      </c>
      <c r="T36" s="692">
        <v>25290673</v>
      </c>
      <c r="U36" s="692" t="s">
        <v>1945</v>
      </c>
      <c r="V36" s="692" t="s">
        <v>2125</v>
      </c>
      <c r="W36" s="692"/>
      <c r="X36" s="761"/>
      <c r="Z36" s="713"/>
      <c r="AA36" s="10"/>
      <c r="AB36" s="8"/>
      <c r="AC36" s="8"/>
      <c r="AD36" s="8"/>
      <c r="AE36" s="8"/>
      <c r="AF36" s="8"/>
      <c r="AG36" s="8"/>
      <c r="AH36" s="761"/>
      <c r="AI36" s="761"/>
    </row>
    <row r="37" spans="1:35" ht="15.75">
      <c r="A37" s="692" t="s">
        <v>2363</v>
      </c>
      <c r="B37" s="692" t="s">
        <v>249</v>
      </c>
      <c r="D37" s="692" t="s">
        <v>892</v>
      </c>
      <c r="E37" s="692" t="s">
        <v>2126</v>
      </c>
      <c r="F37" s="692" t="s">
        <v>4053</v>
      </c>
      <c r="G37" s="692" t="s">
        <v>4396</v>
      </c>
      <c r="H37" s="692" t="s">
        <v>6</v>
      </c>
      <c r="I37" s="692" t="s">
        <v>41</v>
      </c>
      <c r="J37" s="692" t="s">
        <v>18</v>
      </c>
      <c r="K37" s="692" t="s">
        <v>3</v>
      </c>
      <c r="L37" s="692" t="str">
        <f t="shared" si="0"/>
        <v>1-13-01</v>
      </c>
      <c r="M37" s="692"/>
      <c r="N37" s="692"/>
      <c r="O37" s="692"/>
      <c r="P37" s="692" t="s">
        <v>2127</v>
      </c>
      <c r="Q37" s="692" t="s">
        <v>4804</v>
      </c>
      <c r="R37" s="692" t="s">
        <v>2833</v>
      </c>
      <c r="S37" s="692">
        <v>22400123</v>
      </c>
      <c r="T37" s="692">
        <v>22400123</v>
      </c>
      <c r="U37" s="692" t="s">
        <v>3807</v>
      </c>
      <c r="V37" s="692" t="s">
        <v>2128</v>
      </c>
      <c r="W37" s="692"/>
      <c r="X37" s="761"/>
      <c r="Z37" s="713"/>
      <c r="AA37" s="10"/>
      <c r="AB37" s="8"/>
      <c r="AC37" s="8"/>
      <c r="AD37" s="8"/>
      <c r="AE37" s="8"/>
      <c r="AF37" s="8"/>
      <c r="AG37" s="8"/>
      <c r="AH37" s="761"/>
      <c r="AI37" s="761"/>
    </row>
    <row r="38" spans="1:35" ht="15.75">
      <c r="A38" s="692" t="s">
        <v>2553</v>
      </c>
      <c r="B38" s="692" t="s">
        <v>1773</v>
      </c>
      <c r="D38" s="692" t="s">
        <v>1734</v>
      </c>
      <c r="E38" s="692" t="s">
        <v>2137</v>
      </c>
      <c r="F38" s="692" t="s">
        <v>2138</v>
      </c>
      <c r="G38" s="692" t="s">
        <v>4396</v>
      </c>
      <c r="H38" s="692" t="s">
        <v>7</v>
      </c>
      <c r="I38" s="692" t="s">
        <v>41</v>
      </c>
      <c r="J38" s="692" t="s">
        <v>118</v>
      </c>
      <c r="K38" s="692" t="s">
        <v>3</v>
      </c>
      <c r="L38" s="692" t="str">
        <f t="shared" si="0"/>
        <v>1-14-01</v>
      </c>
      <c r="M38" s="692"/>
      <c r="N38" s="692"/>
      <c r="O38" s="692"/>
      <c r="P38" s="692" t="s">
        <v>1741</v>
      </c>
      <c r="Q38" s="692" t="s">
        <v>4804</v>
      </c>
      <c r="R38" s="692" t="s">
        <v>5801</v>
      </c>
      <c r="S38" s="692">
        <v>22356785</v>
      </c>
      <c r="T38" s="692">
        <v>22369062</v>
      </c>
      <c r="U38" s="692" t="s">
        <v>3808</v>
      </c>
      <c r="V38" s="692" t="s">
        <v>2139</v>
      </c>
      <c r="W38" s="692"/>
      <c r="X38" s="761"/>
      <c r="Z38" s="713"/>
      <c r="AA38" s="10"/>
      <c r="AB38" s="8"/>
      <c r="AC38" s="8"/>
      <c r="AD38" s="8"/>
      <c r="AE38" s="8"/>
      <c r="AF38" s="8"/>
      <c r="AG38" s="8"/>
      <c r="AH38" s="761"/>
      <c r="AI38" s="761"/>
    </row>
    <row r="39" spans="1:35" ht="15.75">
      <c r="A39" s="692" t="s">
        <v>2615</v>
      </c>
      <c r="B39" s="692" t="s">
        <v>53</v>
      </c>
      <c r="D39" s="692" t="s">
        <v>98</v>
      </c>
      <c r="E39" s="692" t="s">
        <v>2140</v>
      </c>
      <c r="F39" s="692" t="s">
        <v>2141</v>
      </c>
      <c r="G39" s="692" t="s">
        <v>4396</v>
      </c>
      <c r="H39" s="692" t="s">
        <v>7</v>
      </c>
      <c r="I39" s="692" t="s">
        <v>41</v>
      </c>
      <c r="J39" s="692" t="s">
        <v>118</v>
      </c>
      <c r="K39" s="692" t="s">
        <v>3</v>
      </c>
      <c r="L39" s="692" t="str">
        <f t="shared" si="0"/>
        <v>1-14-01</v>
      </c>
      <c r="M39" s="692"/>
      <c r="N39" s="692"/>
      <c r="O39" s="692"/>
      <c r="P39" s="692" t="s">
        <v>239</v>
      </c>
      <c r="Q39" s="692" t="s">
        <v>3543</v>
      </c>
      <c r="R39" s="692" t="s">
        <v>4812</v>
      </c>
      <c r="S39" s="692">
        <v>22359414</v>
      </c>
      <c r="T39" s="692">
        <v>22359476</v>
      </c>
      <c r="U39" s="692" t="s">
        <v>5538</v>
      </c>
      <c r="V39" s="692" t="s">
        <v>2142</v>
      </c>
      <c r="W39" s="692"/>
      <c r="X39" s="761"/>
      <c r="Z39" s="713"/>
      <c r="AA39" s="10"/>
      <c r="AB39" s="8"/>
      <c r="AC39" s="8"/>
      <c r="AD39" s="8"/>
      <c r="AE39" s="8"/>
      <c r="AF39" s="8"/>
      <c r="AG39" s="8"/>
      <c r="AH39" s="761"/>
      <c r="AI39" s="761"/>
    </row>
    <row r="40" spans="1:35" ht="15.75">
      <c r="A40" s="692" t="s">
        <v>2550</v>
      </c>
      <c r="B40" s="692" t="s">
        <v>370</v>
      </c>
      <c r="D40" s="692" t="s">
        <v>95</v>
      </c>
      <c r="E40" s="692" t="s">
        <v>2143</v>
      </c>
      <c r="F40" s="692" t="s">
        <v>2144</v>
      </c>
      <c r="G40" s="692" t="s">
        <v>4396</v>
      </c>
      <c r="H40" s="692" t="s">
        <v>7</v>
      </c>
      <c r="I40" s="692" t="s">
        <v>41</v>
      </c>
      <c r="J40" s="692" t="s">
        <v>118</v>
      </c>
      <c r="K40" s="692" t="s">
        <v>3</v>
      </c>
      <c r="L40" s="692" t="str">
        <f t="shared" si="0"/>
        <v>1-14-01</v>
      </c>
      <c r="M40" s="692"/>
      <c r="N40" s="692"/>
      <c r="O40" s="692"/>
      <c r="P40" s="692" t="s">
        <v>89</v>
      </c>
      <c r="Q40" s="692" t="s">
        <v>4804</v>
      </c>
      <c r="R40" s="692" t="s">
        <v>2145</v>
      </c>
      <c r="S40" s="692">
        <v>22359282</v>
      </c>
      <c r="T40" s="692">
        <v>22351336</v>
      </c>
      <c r="U40" s="692" t="s">
        <v>4115</v>
      </c>
      <c r="V40" s="692" t="s">
        <v>2146</v>
      </c>
      <c r="W40" s="692"/>
      <c r="X40" s="761" t="s">
        <v>106</v>
      </c>
      <c r="Z40" s="713"/>
      <c r="AA40" s="10"/>
      <c r="AB40" s="8"/>
      <c r="AC40" s="8"/>
      <c r="AD40" s="8"/>
      <c r="AE40" s="8"/>
      <c r="AF40" s="8" t="s">
        <v>4493</v>
      </c>
      <c r="AG40" s="8"/>
      <c r="AH40" s="761"/>
      <c r="AI40" s="761"/>
    </row>
    <row r="41" spans="1:35" ht="15.75">
      <c r="A41" s="692" t="s">
        <v>2801</v>
      </c>
      <c r="B41" s="692" t="s">
        <v>330</v>
      </c>
      <c r="D41" s="692" t="s">
        <v>92</v>
      </c>
      <c r="E41" s="692" t="s">
        <v>2150</v>
      </c>
      <c r="F41" s="692" t="s">
        <v>2151</v>
      </c>
      <c r="G41" s="692" t="s">
        <v>4396</v>
      </c>
      <c r="H41" s="692" t="s">
        <v>5</v>
      </c>
      <c r="I41" s="692" t="s">
        <v>41</v>
      </c>
      <c r="J41" s="692" t="s">
        <v>107</v>
      </c>
      <c r="K41" s="692" t="s">
        <v>3</v>
      </c>
      <c r="L41" s="692" t="str">
        <f t="shared" si="0"/>
        <v>1-15-01</v>
      </c>
      <c r="M41" s="692"/>
      <c r="N41" s="692"/>
      <c r="O41" s="692"/>
      <c r="P41" s="692" t="s">
        <v>236</v>
      </c>
      <c r="Q41" s="692" t="s">
        <v>4804</v>
      </c>
      <c r="R41" s="692" t="s">
        <v>4813</v>
      </c>
      <c r="S41" s="692">
        <v>22250281</v>
      </c>
      <c r="T41" s="692">
        <v>22800232</v>
      </c>
      <c r="U41" s="692" t="s">
        <v>4622</v>
      </c>
      <c r="V41" s="692" t="s">
        <v>2152</v>
      </c>
      <c r="W41" s="692"/>
      <c r="X41" s="761"/>
      <c r="Z41" s="713"/>
      <c r="AA41" s="10"/>
      <c r="AB41" s="8"/>
      <c r="AC41" s="8"/>
      <c r="AD41" s="8"/>
      <c r="AE41" s="8"/>
      <c r="AF41" s="8"/>
      <c r="AG41" s="8"/>
      <c r="AH41" s="761"/>
      <c r="AI41" s="761"/>
    </row>
    <row r="42" spans="1:35" ht="15.75">
      <c r="A42" s="692" t="s">
        <v>2078</v>
      </c>
      <c r="B42" s="692" t="s">
        <v>1097</v>
      </c>
      <c r="D42" s="692" t="s">
        <v>100</v>
      </c>
      <c r="E42" s="692" t="s">
        <v>2153</v>
      </c>
      <c r="F42" s="692" t="s">
        <v>2154</v>
      </c>
      <c r="G42" s="692" t="s">
        <v>4396</v>
      </c>
      <c r="H42" s="692" t="s">
        <v>5</v>
      </c>
      <c r="I42" s="692" t="s">
        <v>41</v>
      </c>
      <c r="J42" s="692" t="s">
        <v>107</v>
      </c>
      <c r="K42" s="692" t="s">
        <v>4</v>
      </c>
      <c r="L42" s="692" t="str">
        <f t="shared" si="0"/>
        <v>1-15-02</v>
      </c>
      <c r="M42" s="692"/>
      <c r="N42" s="692"/>
      <c r="O42" s="692"/>
      <c r="P42" s="692" t="s">
        <v>289</v>
      </c>
      <c r="Q42" s="692" t="s">
        <v>4804</v>
      </c>
      <c r="R42" s="692" t="s">
        <v>2890</v>
      </c>
      <c r="S42" s="692">
        <v>22242015</v>
      </c>
      <c r="T42" s="692">
        <v>22250006</v>
      </c>
      <c r="U42" s="692" t="s">
        <v>3810</v>
      </c>
      <c r="V42" s="692" t="s">
        <v>133</v>
      </c>
      <c r="W42" s="692"/>
      <c r="X42" s="761" t="s">
        <v>325</v>
      </c>
      <c r="Z42" s="713"/>
      <c r="AA42" s="10"/>
      <c r="AB42" s="8"/>
      <c r="AC42" s="8"/>
      <c r="AD42" s="8"/>
      <c r="AE42" s="8"/>
      <c r="AF42" s="8"/>
      <c r="AG42" s="8"/>
      <c r="AH42" s="761"/>
      <c r="AI42" s="761"/>
    </row>
    <row r="43" spans="1:35" ht="15.75">
      <c r="A43" s="692" t="s">
        <v>2073</v>
      </c>
      <c r="B43" s="692" t="s">
        <v>1786</v>
      </c>
      <c r="D43" s="692" t="s">
        <v>124</v>
      </c>
      <c r="E43" s="692" t="s">
        <v>2155</v>
      </c>
      <c r="F43" s="692" t="s">
        <v>2156</v>
      </c>
      <c r="G43" s="692" t="s">
        <v>4396</v>
      </c>
      <c r="H43" s="692" t="s">
        <v>5</v>
      </c>
      <c r="I43" s="692" t="s">
        <v>41</v>
      </c>
      <c r="J43" s="692" t="s">
        <v>107</v>
      </c>
      <c r="K43" s="692" t="s">
        <v>5</v>
      </c>
      <c r="L43" s="692" t="str">
        <f t="shared" si="0"/>
        <v>1-15-03</v>
      </c>
      <c r="M43" s="692"/>
      <c r="N43" s="692"/>
      <c r="O43" s="692"/>
      <c r="P43" s="692" t="s">
        <v>103</v>
      </c>
      <c r="Q43" s="692" t="s">
        <v>4804</v>
      </c>
      <c r="R43" s="692" t="s">
        <v>5845</v>
      </c>
      <c r="S43" s="692">
        <v>22251272</v>
      </c>
      <c r="T43" s="692"/>
      <c r="U43" s="692" t="s">
        <v>2157</v>
      </c>
      <c r="V43" s="692" t="s">
        <v>2158</v>
      </c>
      <c r="W43" s="692"/>
      <c r="X43" s="761"/>
      <c r="Z43" s="713"/>
      <c r="AA43" s="10"/>
      <c r="AB43" s="8"/>
      <c r="AC43" s="8"/>
      <c r="AD43" s="8"/>
      <c r="AE43" s="8"/>
      <c r="AF43" s="8"/>
      <c r="AG43" s="8"/>
      <c r="AH43" s="761"/>
      <c r="AI43" s="761"/>
    </row>
    <row r="44" spans="1:35" ht="15.75">
      <c r="A44" s="692" t="s">
        <v>2075</v>
      </c>
      <c r="B44" s="692" t="s">
        <v>1122</v>
      </c>
      <c r="D44" s="692" t="s">
        <v>951</v>
      </c>
      <c r="E44" s="692" t="s">
        <v>2159</v>
      </c>
      <c r="F44" s="692" t="s">
        <v>2160</v>
      </c>
      <c r="G44" s="692" t="s">
        <v>4394</v>
      </c>
      <c r="H44" s="692" t="s">
        <v>6</v>
      </c>
      <c r="I44" s="692" t="s">
        <v>41</v>
      </c>
      <c r="J44" s="692" t="s">
        <v>70</v>
      </c>
      <c r="K44" s="692" t="s">
        <v>3</v>
      </c>
      <c r="L44" s="692" t="str">
        <f t="shared" si="0"/>
        <v>1-18-01</v>
      </c>
      <c r="M44" s="692"/>
      <c r="N44" s="692"/>
      <c r="O44" s="692"/>
      <c r="P44" s="692" t="s">
        <v>653</v>
      </c>
      <c r="Q44" s="692" t="s">
        <v>4804</v>
      </c>
      <c r="R44" s="692" t="s">
        <v>4814</v>
      </c>
      <c r="S44" s="692">
        <v>22721261</v>
      </c>
      <c r="T44" s="692">
        <v>22721261</v>
      </c>
      <c r="U44" s="692" t="s">
        <v>4815</v>
      </c>
      <c r="V44" s="692" t="s">
        <v>2161</v>
      </c>
      <c r="W44" s="692"/>
      <c r="X44" s="761"/>
      <c r="Z44" s="713"/>
      <c r="AA44" s="10"/>
      <c r="AB44" s="8"/>
      <c r="AC44" s="8"/>
      <c r="AD44" s="8"/>
      <c r="AE44" s="8"/>
      <c r="AF44" s="8"/>
      <c r="AG44" s="8"/>
      <c r="AH44" s="761"/>
      <c r="AI44" s="761"/>
    </row>
    <row r="45" spans="1:35" ht="15.75">
      <c r="A45" s="692" t="s">
        <v>2081</v>
      </c>
      <c r="B45" s="692" t="s">
        <v>1927</v>
      </c>
      <c r="D45" s="692" t="s">
        <v>950</v>
      </c>
      <c r="E45" s="692" t="s">
        <v>2162</v>
      </c>
      <c r="F45" s="692" t="s">
        <v>2163</v>
      </c>
      <c r="G45" s="692" t="s">
        <v>4394</v>
      </c>
      <c r="H45" s="692" t="s">
        <v>6</v>
      </c>
      <c r="I45" s="692" t="s">
        <v>41</v>
      </c>
      <c r="J45" s="692" t="s">
        <v>70</v>
      </c>
      <c r="K45" s="692" t="s">
        <v>4</v>
      </c>
      <c r="L45" s="692" t="str">
        <f t="shared" si="0"/>
        <v>1-18-02</v>
      </c>
      <c r="M45" s="692"/>
      <c r="N45" s="692"/>
      <c r="O45" s="692"/>
      <c r="P45" s="692" t="s">
        <v>1176</v>
      </c>
      <c r="Q45" s="692" t="s">
        <v>4804</v>
      </c>
      <c r="R45" s="692" t="s">
        <v>4623</v>
      </c>
      <c r="S45" s="692">
        <v>22736373</v>
      </c>
      <c r="T45" s="692">
        <v>22736380</v>
      </c>
      <c r="U45" s="692" t="s">
        <v>4624</v>
      </c>
      <c r="V45" s="692" t="s">
        <v>2164</v>
      </c>
      <c r="W45" s="692"/>
      <c r="X45" s="761"/>
      <c r="Z45" s="713"/>
      <c r="AA45" s="10"/>
      <c r="AB45" s="8"/>
      <c r="AC45" s="8"/>
      <c r="AD45" s="8"/>
      <c r="AE45" s="8"/>
      <c r="AF45" s="8"/>
      <c r="AG45" s="8"/>
      <c r="AH45" s="761"/>
      <c r="AI45" s="761"/>
    </row>
    <row r="46" spans="1:35" ht="15.75">
      <c r="A46" s="692" t="s">
        <v>2067</v>
      </c>
      <c r="B46" s="692" t="s">
        <v>944</v>
      </c>
      <c r="D46" s="692" t="s">
        <v>1093</v>
      </c>
      <c r="E46" s="692" t="s">
        <v>2165</v>
      </c>
      <c r="F46" s="692" t="s">
        <v>2166</v>
      </c>
      <c r="G46" s="692" t="s">
        <v>387</v>
      </c>
      <c r="H46" s="692" t="s">
        <v>3</v>
      </c>
      <c r="I46" s="692" t="s">
        <v>41</v>
      </c>
      <c r="J46" s="692" t="s">
        <v>388</v>
      </c>
      <c r="K46" s="692" t="s">
        <v>3</v>
      </c>
      <c r="L46" s="692" t="str">
        <f t="shared" si="0"/>
        <v>1-19-01</v>
      </c>
      <c r="M46" s="692"/>
      <c r="N46" s="692"/>
      <c r="O46" s="692"/>
      <c r="P46" s="692" t="s">
        <v>2167</v>
      </c>
      <c r="Q46" s="692" t="s">
        <v>4804</v>
      </c>
      <c r="R46" s="692" t="s">
        <v>4816</v>
      </c>
      <c r="S46" s="692">
        <v>27710425</v>
      </c>
      <c r="T46" s="692">
        <v>27710425</v>
      </c>
      <c r="U46" s="692" t="s">
        <v>4116</v>
      </c>
      <c r="V46" s="692" t="s">
        <v>4411</v>
      </c>
      <c r="W46" s="692"/>
      <c r="X46" s="761"/>
      <c r="Z46" s="713"/>
      <c r="AA46" s="10"/>
      <c r="AB46" s="8"/>
      <c r="AC46" s="8"/>
      <c r="AD46" s="8"/>
      <c r="AE46" s="8"/>
      <c r="AF46" s="8"/>
      <c r="AG46" s="8"/>
      <c r="AH46" s="761"/>
      <c r="AI46" s="761"/>
    </row>
    <row r="47" spans="1:35" ht="15.75">
      <c r="A47" s="692" t="s">
        <v>2084</v>
      </c>
      <c r="B47" s="692" t="s">
        <v>75</v>
      </c>
      <c r="D47" s="692" t="s">
        <v>1119</v>
      </c>
      <c r="E47" s="692" t="s">
        <v>2171</v>
      </c>
      <c r="F47" s="692" t="s">
        <v>2172</v>
      </c>
      <c r="G47" s="692" t="s">
        <v>66</v>
      </c>
      <c r="H47" s="692" t="s">
        <v>4</v>
      </c>
      <c r="I47" s="692" t="s">
        <v>43</v>
      </c>
      <c r="J47" s="692" t="s">
        <v>3</v>
      </c>
      <c r="K47" s="692" t="s">
        <v>3</v>
      </c>
      <c r="L47" s="692" t="str">
        <f t="shared" si="0"/>
        <v>2-01-01</v>
      </c>
      <c r="M47" s="692"/>
      <c r="N47" s="692"/>
      <c r="O47" s="692"/>
      <c r="P47" s="692" t="s">
        <v>764</v>
      </c>
      <c r="Q47" s="692" t="s">
        <v>4804</v>
      </c>
      <c r="R47" s="692" t="s">
        <v>5540</v>
      </c>
      <c r="S47" s="692">
        <v>40014363</v>
      </c>
      <c r="T47" s="692">
        <v>24313495</v>
      </c>
      <c r="U47" s="692" t="s">
        <v>3811</v>
      </c>
      <c r="V47" s="692" t="s">
        <v>2173</v>
      </c>
      <c r="W47" s="692"/>
      <c r="X47" s="761"/>
      <c r="Z47" s="713"/>
      <c r="AA47" s="10"/>
      <c r="AB47" s="8"/>
      <c r="AC47" s="8"/>
      <c r="AD47" s="8"/>
      <c r="AE47" s="8"/>
      <c r="AF47" s="8"/>
      <c r="AG47" s="8"/>
      <c r="AH47" s="761"/>
      <c r="AI47" s="761"/>
    </row>
    <row r="48" spans="1:35" ht="15.75">
      <c r="A48" s="692" t="s">
        <v>2093</v>
      </c>
      <c r="B48" s="692" t="s">
        <v>1089</v>
      </c>
      <c r="D48" s="692" t="s">
        <v>1118</v>
      </c>
      <c r="E48" s="692" t="s">
        <v>2174</v>
      </c>
      <c r="F48" s="692" t="s">
        <v>2175</v>
      </c>
      <c r="G48" s="692" t="s">
        <v>66</v>
      </c>
      <c r="H48" s="692" t="s">
        <v>4</v>
      </c>
      <c r="I48" s="692" t="s">
        <v>43</v>
      </c>
      <c r="J48" s="692" t="s">
        <v>3</v>
      </c>
      <c r="K48" s="692" t="s">
        <v>3</v>
      </c>
      <c r="L48" s="692" t="str">
        <f t="shared" si="0"/>
        <v>2-01-01</v>
      </c>
      <c r="M48" s="692"/>
      <c r="N48" s="692"/>
      <c r="O48" s="692"/>
      <c r="P48" s="692" t="s">
        <v>1726</v>
      </c>
      <c r="Q48" s="692" t="s">
        <v>4804</v>
      </c>
      <c r="R48" s="692" t="s">
        <v>3545</v>
      </c>
      <c r="S48" s="692">
        <v>24400844</v>
      </c>
      <c r="T48" s="692">
        <v>24400844</v>
      </c>
      <c r="U48" s="692" t="s">
        <v>4412</v>
      </c>
      <c r="V48" s="692" t="s">
        <v>2176</v>
      </c>
      <c r="W48" s="692"/>
      <c r="X48" s="761"/>
      <c r="Z48" s="713"/>
      <c r="AA48" s="10"/>
      <c r="AB48" s="8"/>
      <c r="AC48" s="8"/>
      <c r="AD48" s="8"/>
      <c r="AE48" s="8"/>
      <c r="AF48" s="8"/>
      <c r="AG48" s="8"/>
      <c r="AH48" s="761"/>
      <c r="AI48" s="761"/>
    </row>
    <row r="49" spans="1:35" ht="15.75">
      <c r="A49" s="692" t="s">
        <v>2414</v>
      </c>
      <c r="B49" s="692" t="s">
        <v>272</v>
      </c>
      <c r="D49" s="692" t="s">
        <v>150</v>
      </c>
      <c r="E49" s="692" t="s">
        <v>2177</v>
      </c>
      <c r="F49" s="692" t="s">
        <v>2178</v>
      </c>
      <c r="G49" s="692" t="s">
        <v>66</v>
      </c>
      <c r="H49" s="692" t="s">
        <v>4</v>
      </c>
      <c r="I49" s="692" t="s">
        <v>43</v>
      </c>
      <c r="J49" s="692" t="s">
        <v>3</v>
      </c>
      <c r="K49" s="692" t="s">
        <v>6</v>
      </c>
      <c r="L49" s="692" t="str">
        <f t="shared" si="0"/>
        <v>2-01-04</v>
      </c>
      <c r="M49" s="692"/>
      <c r="N49" s="692"/>
      <c r="O49" s="692"/>
      <c r="P49" s="692" t="s">
        <v>611</v>
      </c>
      <c r="Q49" s="692" t="s">
        <v>4804</v>
      </c>
      <c r="R49" s="692" t="s">
        <v>3812</v>
      </c>
      <c r="S49" s="692">
        <v>24300272</v>
      </c>
      <c r="T49" s="692">
        <v>24544012</v>
      </c>
      <c r="U49" s="692" t="s">
        <v>3572</v>
      </c>
      <c r="V49" s="692" t="s">
        <v>2179</v>
      </c>
      <c r="W49" s="692"/>
      <c r="X49" s="761"/>
      <c r="Z49" s="713"/>
      <c r="AA49" s="10"/>
      <c r="AB49" s="8"/>
      <c r="AC49" s="8"/>
      <c r="AD49" s="8"/>
      <c r="AE49" s="8"/>
      <c r="AF49" s="8" t="s">
        <v>4493</v>
      </c>
      <c r="AG49" s="8"/>
      <c r="AH49" s="761"/>
      <c r="AI49" s="761"/>
    </row>
    <row r="50" spans="1:35" ht="15.75">
      <c r="A50" s="692" t="s">
        <v>2097</v>
      </c>
      <c r="B50" s="692" t="s">
        <v>73</v>
      </c>
      <c r="D50" s="692" t="s">
        <v>52</v>
      </c>
      <c r="E50" s="692" t="s">
        <v>2180</v>
      </c>
      <c r="F50" s="692" t="s">
        <v>2181</v>
      </c>
      <c r="G50" s="692" t="s">
        <v>66</v>
      </c>
      <c r="H50" s="692" t="s">
        <v>3</v>
      </c>
      <c r="I50" s="692" t="s">
        <v>43</v>
      </c>
      <c r="J50" s="692" t="s">
        <v>3</v>
      </c>
      <c r="K50" s="692" t="s">
        <v>3</v>
      </c>
      <c r="L50" s="692" t="str">
        <f t="shared" si="0"/>
        <v>2-01-01</v>
      </c>
      <c r="M50" s="692"/>
      <c r="N50" s="692"/>
      <c r="O50" s="692"/>
      <c r="P50" s="692" t="s">
        <v>601</v>
      </c>
      <c r="Q50" s="692" t="s">
        <v>4804</v>
      </c>
      <c r="R50" s="692" t="s">
        <v>2182</v>
      </c>
      <c r="S50" s="692">
        <v>24304479</v>
      </c>
      <c r="T50" s="692">
        <v>24426601</v>
      </c>
      <c r="U50" s="692" t="s">
        <v>4117</v>
      </c>
      <c r="V50" s="692" t="s">
        <v>2183</v>
      </c>
      <c r="W50" s="692"/>
      <c r="X50" s="761"/>
      <c r="Z50" s="713"/>
      <c r="AA50" s="10"/>
      <c r="AB50" s="8"/>
      <c r="AC50" s="8"/>
      <c r="AD50" s="8"/>
      <c r="AE50" s="8"/>
      <c r="AF50" s="8"/>
      <c r="AG50" s="8"/>
      <c r="AH50" s="761"/>
      <c r="AI50" s="761"/>
    </row>
    <row r="51" spans="1:35" ht="15.75">
      <c r="A51" s="692" t="s">
        <v>2502</v>
      </c>
      <c r="B51" s="692" t="s">
        <v>348</v>
      </c>
      <c r="D51" s="692" t="s">
        <v>152</v>
      </c>
      <c r="E51" s="692" t="s">
        <v>2184</v>
      </c>
      <c r="F51" s="692" t="s">
        <v>2185</v>
      </c>
      <c r="G51" s="692" t="s">
        <v>66</v>
      </c>
      <c r="H51" s="692" t="s">
        <v>7</v>
      </c>
      <c r="I51" s="692" t="s">
        <v>43</v>
      </c>
      <c r="J51" s="692" t="s">
        <v>3</v>
      </c>
      <c r="K51" s="692" t="s">
        <v>4</v>
      </c>
      <c r="L51" s="692" t="str">
        <f t="shared" si="0"/>
        <v>2-01-02</v>
      </c>
      <c r="M51" s="692"/>
      <c r="N51" s="692"/>
      <c r="O51" s="692"/>
      <c r="P51" s="692" t="s">
        <v>42</v>
      </c>
      <c r="Q51" s="692" t="s">
        <v>4804</v>
      </c>
      <c r="R51" s="692" t="s">
        <v>5746</v>
      </c>
      <c r="S51" s="692">
        <v>24332871</v>
      </c>
      <c r="T51" s="692">
        <v>24338963</v>
      </c>
      <c r="U51" s="692" t="s">
        <v>4413</v>
      </c>
      <c r="V51" s="692" t="s">
        <v>2186</v>
      </c>
      <c r="W51" s="692"/>
      <c r="X51" s="761" t="s">
        <v>908</v>
      </c>
      <c r="Z51" s="713"/>
      <c r="AA51" s="10"/>
      <c r="AB51" s="8"/>
      <c r="AC51" s="8"/>
      <c r="AD51" s="8"/>
      <c r="AE51" s="8"/>
      <c r="AF51" s="8"/>
      <c r="AG51" s="8"/>
      <c r="AH51" s="761"/>
      <c r="AI51" s="761"/>
    </row>
    <row r="52" spans="1:35" ht="15.75">
      <c r="A52" s="692" t="s">
        <v>2843</v>
      </c>
      <c r="B52" s="692" t="s">
        <v>518</v>
      </c>
      <c r="D52" s="692" t="s">
        <v>155</v>
      </c>
      <c r="E52" s="692" t="s">
        <v>2188</v>
      </c>
      <c r="F52" s="692" t="s">
        <v>2189</v>
      </c>
      <c r="G52" s="692" t="s">
        <v>66</v>
      </c>
      <c r="H52" s="692" t="s">
        <v>5</v>
      </c>
      <c r="I52" s="692" t="s">
        <v>43</v>
      </c>
      <c r="J52" s="692" t="s">
        <v>3</v>
      </c>
      <c r="K52" s="692" t="s">
        <v>8</v>
      </c>
      <c r="L52" s="692" t="str">
        <f t="shared" si="0"/>
        <v>2-01-06</v>
      </c>
      <c r="M52" s="692"/>
      <c r="N52" s="692"/>
      <c r="O52" s="692"/>
      <c r="P52" s="692" t="s">
        <v>365</v>
      </c>
      <c r="Q52" s="692" t="s">
        <v>4804</v>
      </c>
      <c r="R52" s="692" t="s">
        <v>5541</v>
      </c>
      <c r="S52" s="692">
        <v>24496487</v>
      </c>
      <c r="T52" s="692">
        <v>24495080</v>
      </c>
      <c r="U52" s="692" t="s">
        <v>3813</v>
      </c>
      <c r="V52" s="692" t="s">
        <v>145</v>
      </c>
      <c r="W52" s="692"/>
      <c r="X52" s="761"/>
      <c r="Z52" s="713"/>
      <c r="AA52" s="10"/>
      <c r="AB52" s="8"/>
      <c r="AC52" s="8"/>
      <c r="AD52" s="8"/>
      <c r="AE52" s="8"/>
      <c r="AF52" s="8"/>
      <c r="AG52" s="8"/>
      <c r="AH52" s="761"/>
      <c r="AI52" s="761"/>
    </row>
    <row r="53" spans="1:35" ht="15.75">
      <c r="A53" s="692" t="s">
        <v>2099</v>
      </c>
      <c r="B53" s="692" t="s">
        <v>88</v>
      </c>
      <c r="D53" s="692" t="s">
        <v>1133</v>
      </c>
      <c r="E53" s="692" t="s">
        <v>2193</v>
      </c>
      <c r="F53" s="692" t="s">
        <v>2194</v>
      </c>
      <c r="G53" s="692" t="s">
        <v>66</v>
      </c>
      <c r="H53" s="692" t="s">
        <v>6</v>
      </c>
      <c r="I53" s="692" t="s">
        <v>43</v>
      </c>
      <c r="J53" s="692" t="s">
        <v>3</v>
      </c>
      <c r="K53" s="692" t="s">
        <v>11</v>
      </c>
      <c r="L53" s="692" t="str">
        <f t="shared" si="0"/>
        <v>2-01-08</v>
      </c>
      <c r="M53" s="692"/>
      <c r="N53" s="692"/>
      <c r="O53" s="692"/>
      <c r="P53" s="692" t="s">
        <v>89</v>
      </c>
      <c r="Q53" s="692" t="s">
        <v>4804</v>
      </c>
      <c r="R53" s="692" t="s">
        <v>3550</v>
      </c>
      <c r="S53" s="692">
        <v>24380495</v>
      </c>
      <c r="T53" s="692">
        <v>24380495</v>
      </c>
      <c r="U53" s="692" t="s">
        <v>3814</v>
      </c>
      <c r="V53" s="692" t="s">
        <v>2195</v>
      </c>
      <c r="W53" s="692"/>
      <c r="X53" s="761"/>
      <c r="Z53" s="713"/>
      <c r="AA53" s="10"/>
      <c r="AB53" s="8"/>
      <c r="AC53" s="8"/>
      <c r="AD53" s="8"/>
      <c r="AE53" s="8"/>
      <c r="AF53" s="8"/>
      <c r="AG53" s="8"/>
      <c r="AH53" s="761"/>
      <c r="AI53" s="761"/>
    </row>
    <row r="54" spans="1:35" ht="15.75">
      <c r="A54" s="692" t="s">
        <v>2087</v>
      </c>
      <c r="B54" s="692" t="s">
        <v>1733</v>
      </c>
      <c r="D54" s="692" t="s">
        <v>1130</v>
      </c>
      <c r="E54" s="692" t="s">
        <v>2196</v>
      </c>
      <c r="F54" s="692" t="s">
        <v>2197</v>
      </c>
      <c r="G54" s="692" t="s">
        <v>66</v>
      </c>
      <c r="H54" s="692" t="s">
        <v>7</v>
      </c>
      <c r="I54" s="692" t="s">
        <v>43</v>
      </c>
      <c r="J54" s="692" t="s">
        <v>3</v>
      </c>
      <c r="K54" s="692" t="s">
        <v>16</v>
      </c>
      <c r="L54" s="692" t="str">
        <f t="shared" si="0"/>
        <v>2-01-11</v>
      </c>
      <c r="M54" s="692"/>
      <c r="N54" s="692"/>
      <c r="O54" s="692"/>
      <c r="P54" s="692" t="s">
        <v>613</v>
      </c>
      <c r="Q54" s="692" t="s">
        <v>4804</v>
      </c>
      <c r="R54" s="692" t="s">
        <v>5542</v>
      </c>
      <c r="S54" s="692">
        <v>24876044</v>
      </c>
      <c r="T54" s="692">
        <v>24876044</v>
      </c>
      <c r="U54" s="692" t="s">
        <v>4118</v>
      </c>
      <c r="V54" s="692" t="s">
        <v>2198</v>
      </c>
      <c r="W54" s="692"/>
      <c r="X54" s="761"/>
      <c r="Z54" s="713"/>
      <c r="AA54" s="10"/>
      <c r="AB54" s="8"/>
      <c r="AC54" s="8"/>
      <c r="AD54" s="8"/>
      <c r="AE54" s="8"/>
      <c r="AF54" s="8"/>
      <c r="AG54" s="8"/>
      <c r="AH54" s="761" t="s">
        <v>4493</v>
      </c>
      <c r="AI54" s="761"/>
    </row>
    <row r="55" spans="1:35" ht="15.75">
      <c r="A55" s="692" t="s">
        <v>2534</v>
      </c>
      <c r="B55" s="692" t="s">
        <v>221</v>
      </c>
      <c r="D55" s="692" t="s">
        <v>160</v>
      </c>
      <c r="E55" s="692" t="s">
        <v>2199</v>
      </c>
      <c r="F55" s="692" t="s">
        <v>4054</v>
      </c>
      <c r="G55" s="692" t="s">
        <v>65</v>
      </c>
      <c r="H55" s="692" t="s">
        <v>3</v>
      </c>
      <c r="I55" s="692" t="s">
        <v>43</v>
      </c>
      <c r="J55" s="692" t="s">
        <v>4</v>
      </c>
      <c r="K55" s="692" t="s">
        <v>3</v>
      </c>
      <c r="L55" s="692" t="str">
        <f t="shared" si="0"/>
        <v>2-02-01</v>
      </c>
      <c r="M55" s="692"/>
      <c r="N55" s="692"/>
      <c r="O55" s="692"/>
      <c r="P55" s="692" t="s">
        <v>3795</v>
      </c>
      <c r="Q55" s="692" t="s">
        <v>3543</v>
      </c>
      <c r="R55" s="692" t="s">
        <v>2200</v>
      </c>
      <c r="S55" s="692">
        <v>24455670</v>
      </c>
      <c r="T55" s="692">
        <v>24456160</v>
      </c>
      <c r="U55" s="692" t="s">
        <v>3816</v>
      </c>
      <c r="V55" s="692" t="s">
        <v>675</v>
      </c>
      <c r="W55" s="692"/>
      <c r="X55" s="761"/>
      <c r="Z55" s="713"/>
      <c r="AA55" s="10"/>
      <c r="AB55" s="8"/>
      <c r="AC55" s="8"/>
      <c r="AD55" s="8"/>
      <c r="AE55" s="8"/>
      <c r="AF55" s="8"/>
      <c r="AG55" s="8"/>
      <c r="AH55" s="761"/>
      <c r="AI55" s="761"/>
    </row>
    <row r="56" spans="1:35" ht="15.75">
      <c r="A56" s="692" t="s">
        <v>2643</v>
      </c>
      <c r="B56" s="692" t="s">
        <v>1142</v>
      </c>
      <c r="D56" s="692" t="s">
        <v>1094</v>
      </c>
      <c r="E56" s="692" t="s">
        <v>2201</v>
      </c>
      <c r="F56" s="692" t="s">
        <v>4055</v>
      </c>
      <c r="G56" s="692" t="s">
        <v>65</v>
      </c>
      <c r="H56" s="692" t="s">
        <v>3</v>
      </c>
      <c r="I56" s="692" t="s">
        <v>43</v>
      </c>
      <c r="J56" s="692" t="s">
        <v>4</v>
      </c>
      <c r="K56" s="692" t="s">
        <v>3</v>
      </c>
      <c r="L56" s="692" t="str">
        <f t="shared" si="0"/>
        <v>2-02-01</v>
      </c>
      <c r="M56" s="692"/>
      <c r="N56" s="692"/>
      <c r="O56" s="692"/>
      <c r="P56" s="692" t="s">
        <v>3796</v>
      </c>
      <c r="Q56" s="692" t="s">
        <v>4804</v>
      </c>
      <c r="R56" s="692" t="s">
        <v>4817</v>
      </c>
      <c r="S56" s="692">
        <v>24451140</v>
      </c>
      <c r="T56" s="692"/>
      <c r="U56" s="692" t="s">
        <v>3817</v>
      </c>
      <c r="V56" s="692" t="s">
        <v>2202</v>
      </c>
      <c r="W56" s="692"/>
      <c r="X56" s="761"/>
      <c r="Z56" s="713"/>
      <c r="AA56" s="10"/>
      <c r="AB56" s="8"/>
      <c r="AC56" s="8"/>
      <c r="AD56" s="8"/>
      <c r="AE56" s="8"/>
      <c r="AF56" s="8"/>
      <c r="AG56" s="8"/>
      <c r="AH56" s="761"/>
      <c r="AI56" s="761"/>
    </row>
    <row r="57" spans="1:35" ht="15.75">
      <c r="A57" s="692" t="s">
        <v>2344</v>
      </c>
      <c r="B57" s="692" t="s">
        <v>1146</v>
      </c>
      <c r="D57" s="692" t="s">
        <v>163</v>
      </c>
      <c r="E57" s="692" t="s">
        <v>2203</v>
      </c>
      <c r="F57" s="692" t="s">
        <v>2141</v>
      </c>
      <c r="G57" s="692" t="s">
        <v>66</v>
      </c>
      <c r="H57" s="692" t="s">
        <v>13</v>
      </c>
      <c r="I57" s="692" t="s">
        <v>43</v>
      </c>
      <c r="J57" s="692" t="s">
        <v>5</v>
      </c>
      <c r="K57" s="692" t="s">
        <v>3</v>
      </c>
      <c r="L57" s="692" t="str">
        <f t="shared" si="0"/>
        <v>2-03-01</v>
      </c>
      <c r="M57" s="692"/>
      <c r="N57" s="692"/>
      <c r="O57" s="692"/>
      <c r="P57" s="692" t="s">
        <v>237</v>
      </c>
      <c r="Q57" s="692" t="s">
        <v>3543</v>
      </c>
      <c r="R57" s="692" t="s">
        <v>5868</v>
      </c>
      <c r="S57" s="692">
        <v>24942422</v>
      </c>
      <c r="T57" s="692">
        <v>24942344</v>
      </c>
      <c r="U57" s="692" t="s">
        <v>5543</v>
      </c>
      <c r="V57" s="692" t="s">
        <v>2204</v>
      </c>
      <c r="W57" s="692"/>
      <c r="X57" s="761"/>
      <c r="Z57" s="713"/>
      <c r="AA57" s="10"/>
      <c r="AB57" s="8"/>
      <c r="AC57" s="8"/>
      <c r="AD57" s="8"/>
      <c r="AE57" s="8"/>
      <c r="AF57" s="8"/>
      <c r="AG57" s="8"/>
      <c r="AH57" s="761"/>
      <c r="AI57" s="761"/>
    </row>
    <row r="58" spans="1:35" ht="15.75">
      <c r="A58" s="692" t="s">
        <v>2388</v>
      </c>
      <c r="B58" s="692" t="s">
        <v>896</v>
      </c>
      <c r="D58" s="692" t="s">
        <v>141</v>
      </c>
      <c r="E58" s="692" t="s">
        <v>2205</v>
      </c>
      <c r="F58" s="692" t="s">
        <v>2206</v>
      </c>
      <c r="G58" s="692" t="s">
        <v>66</v>
      </c>
      <c r="H58" s="692" t="s">
        <v>8</v>
      </c>
      <c r="I58" s="692" t="s">
        <v>43</v>
      </c>
      <c r="J58" s="692" t="s">
        <v>5</v>
      </c>
      <c r="K58" s="692" t="s">
        <v>6</v>
      </c>
      <c r="L58" s="692" t="str">
        <f t="shared" si="0"/>
        <v>2-03-04</v>
      </c>
      <c r="M58" s="692"/>
      <c r="N58" s="692"/>
      <c r="O58" s="692"/>
      <c r="P58" s="692" t="s">
        <v>753</v>
      </c>
      <c r="Q58" s="692" t="s">
        <v>4804</v>
      </c>
      <c r="R58" s="692" t="s">
        <v>4119</v>
      </c>
      <c r="S58" s="692">
        <v>24940841</v>
      </c>
      <c r="T58" s="692">
        <v>24943338</v>
      </c>
      <c r="U58" s="692" t="s">
        <v>3573</v>
      </c>
      <c r="V58" s="692" t="s">
        <v>2207</v>
      </c>
      <c r="W58" s="692"/>
      <c r="X58" s="761" t="s">
        <v>349</v>
      </c>
      <c r="Z58" s="713"/>
      <c r="AA58" s="10"/>
      <c r="AB58" s="8"/>
      <c r="AC58" s="8"/>
      <c r="AD58" s="8"/>
      <c r="AE58" s="8"/>
      <c r="AF58" s="8"/>
      <c r="AG58" s="8"/>
      <c r="AH58" s="761"/>
      <c r="AI58" s="761"/>
    </row>
    <row r="59" spans="1:35" ht="15.75">
      <c r="A59" s="692" t="s">
        <v>2392</v>
      </c>
      <c r="B59" s="692" t="s">
        <v>897</v>
      </c>
      <c r="D59" s="692" t="s">
        <v>164</v>
      </c>
      <c r="E59" s="692" t="s">
        <v>2208</v>
      </c>
      <c r="F59" s="692" t="s">
        <v>2209</v>
      </c>
      <c r="G59" s="692" t="s">
        <v>66</v>
      </c>
      <c r="H59" s="692" t="s">
        <v>11</v>
      </c>
      <c r="I59" s="692" t="s">
        <v>43</v>
      </c>
      <c r="J59" s="692" t="s">
        <v>7</v>
      </c>
      <c r="K59" s="692" t="s">
        <v>3</v>
      </c>
      <c r="L59" s="692" t="str">
        <f t="shared" si="0"/>
        <v>2-05-01</v>
      </c>
      <c r="M59" s="692"/>
      <c r="N59" s="692"/>
      <c r="O59" s="692"/>
      <c r="P59" s="692" t="s">
        <v>664</v>
      </c>
      <c r="Q59" s="692" t="s">
        <v>4804</v>
      </c>
      <c r="R59" s="692" t="s">
        <v>2210</v>
      </c>
      <c r="S59" s="692">
        <v>24460559</v>
      </c>
      <c r="T59" s="692">
        <v>24469001</v>
      </c>
      <c r="U59" s="692" t="s">
        <v>3574</v>
      </c>
      <c r="V59" s="692" t="s">
        <v>2211</v>
      </c>
      <c r="W59" s="692"/>
      <c r="X59" s="761" t="s">
        <v>451</v>
      </c>
      <c r="Z59" s="713"/>
      <c r="AA59" s="10"/>
      <c r="AB59" s="8"/>
      <c r="AC59" s="8"/>
      <c r="AD59" s="8"/>
      <c r="AE59" s="8"/>
      <c r="AF59" s="8" t="s">
        <v>4493</v>
      </c>
      <c r="AG59" s="8"/>
      <c r="AH59" s="761"/>
      <c r="AI59" s="761"/>
    </row>
    <row r="60" spans="1:35" ht="15.75">
      <c r="A60" s="692" t="s">
        <v>2389</v>
      </c>
      <c r="B60" s="692" t="s">
        <v>947</v>
      </c>
      <c r="D60" s="692" t="s">
        <v>134</v>
      </c>
      <c r="E60" s="692" t="s">
        <v>2212</v>
      </c>
      <c r="F60" s="692" t="s">
        <v>2213</v>
      </c>
      <c r="G60" s="692" t="s">
        <v>65</v>
      </c>
      <c r="H60" s="692" t="s">
        <v>11</v>
      </c>
      <c r="I60" s="692" t="s">
        <v>43</v>
      </c>
      <c r="J60" s="692" t="s">
        <v>8</v>
      </c>
      <c r="K60" s="692" t="s">
        <v>3</v>
      </c>
      <c r="L60" s="692" t="str">
        <f t="shared" si="0"/>
        <v>2-06-01</v>
      </c>
      <c r="M60" s="692"/>
      <c r="N60" s="692"/>
      <c r="O60" s="692"/>
      <c r="P60" s="692" t="s">
        <v>54</v>
      </c>
      <c r="Q60" s="692" t="s">
        <v>4804</v>
      </c>
      <c r="R60" s="692" t="s">
        <v>5874</v>
      </c>
      <c r="S60" s="692">
        <v>24500056</v>
      </c>
      <c r="T60" s="692">
        <v>24500056</v>
      </c>
      <c r="U60" s="692" t="s">
        <v>3818</v>
      </c>
      <c r="V60" s="692" t="s">
        <v>4120</v>
      </c>
      <c r="W60" s="692"/>
      <c r="X60" s="761"/>
      <c r="Z60" s="713"/>
      <c r="AA60" s="10"/>
      <c r="AB60" s="8"/>
      <c r="AC60" s="8"/>
      <c r="AD60" s="8"/>
      <c r="AE60" s="8"/>
      <c r="AF60" s="8"/>
      <c r="AG60" s="8"/>
      <c r="AH60" s="761"/>
      <c r="AI60" s="761"/>
    </row>
    <row r="61" spans="1:35" ht="15.75">
      <c r="A61" s="692" t="s">
        <v>2569</v>
      </c>
      <c r="B61" s="692" t="s">
        <v>380</v>
      </c>
      <c r="D61" s="692" t="s">
        <v>167</v>
      </c>
      <c r="E61" s="692" t="s">
        <v>2214</v>
      </c>
      <c r="F61" s="692" t="s">
        <v>2215</v>
      </c>
      <c r="G61" s="692" t="s">
        <v>65</v>
      </c>
      <c r="H61" s="692" t="s">
        <v>8</v>
      </c>
      <c r="I61" s="692" t="s">
        <v>43</v>
      </c>
      <c r="J61" s="692" t="s">
        <v>9</v>
      </c>
      <c r="K61" s="692" t="s">
        <v>3</v>
      </c>
      <c r="L61" s="692" t="str">
        <f t="shared" si="0"/>
        <v>2-07-01</v>
      </c>
      <c r="M61" s="692"/>
      <c r="N61" s="692"/>
      <c r="O61" s="692"/>
      <c r="P61" s="692" t="s">
        <v>481</v>
      </c>
      <c r="Q61" s="692" t="s">
        <v>4804</v>
      </c>
      <c r="R61" s="692" t="s">
        <v>5856</v>
      </c>
      <c r="S61" s="692">
        <v>24520835</v>
      </c>
      <c r="T61" s="692">
        <v>24539006</v>
      </c>
      <c r="U61" s="692" t="s">
        <v>4414</v>
      </c>
      <c r="V61" s="692" t="s">
        <v>2216</v>
      </c>
      <c r="W61" s="692"/>
      <c r="X61" s="761"/>
      <c r="Z61" s="713"/>
      <c r="AA61" s="10"/>
      <c r="AB61" s="8"/>
      <c r="AC61" s="8"/>
      <c r="AD61" s="8"/>
      <c r="AE61" s="8"/>
      <c r="AF61" s="8" t="s">
        <v>4493</v>
      </c>
      <c r="AG61" s="8"/>
      <c r="AH61" s="761"/>
      <c r="AI61" s="761"/>
    </row>
    <row r="62" spans="1:35" ht="15.75">
      <c r="A62" s="692" t="s">
        <v>2860</v>
      </c>
      <c r="B62" s="692" t="s">
        <v>1159</v>
      </c>
      <c r="D62" s="692" t="s">
        <v>144</v>
      </c>
      <c r="E62" s="692" t="s">
        <v>2217</v>
      </c>
      <c r="F62" s="692" t="s">
        <v>2218</v>
      </c>
      <c r="G62" s="692" t="s">
        <v>66</v>
      </c>
      <c r="H62" s="692" t="s">
        <v>9</v>
      </c>
      <c r="I62" s="692" t="s">
        <v>43</v>
      </c>
      <c r="J62" s="692" t="s">
        <v>11</v>
      </c>
      <c r="K62" s="692" t="s">
        <v>3</v>
      </c>
      <c r="L62" s="692" t="str">
        <f t="shared" si="0"/>
        <v>2-08-01</v>
      </c>
      <c r="M62" s="692"/>
      <c r="N62" s="692"/>
      <c r="O62" s="692"/>
      <c r="P62" s="692" t="s">
        <v>236</v>
      </c>
      <c r="Q62" s="692" t="s">
        <v>4804</v>
      </c>
      <c r="R62" s="692" t="s">
        <v>2219</v>
      </c>
      <c r="S62" s="692">
        <v>24485027</v>
      </c>
      <c r="T62" s="692">
        <v>24484500</v>
      </c>
      <c r="U62" s="692" t="s">
        <v>3819</v>
      </c>
      <c r="V62" s="692" t="s">
        <v>2220</v>
      </c>
      <c r="W62" s="692"/>
      <c r="X62" s="761" t="s">
        <v>416</v>
      </c>
      <c r="Z62" s="713"/>
      <c r="AA62" s="10"/>
      <c r="AB62" s="8"/>
      <c r="AC62" s="8"/>
      <c r="AD62" s="8"/>
      <c r="AE62" s="8"/>
      <c r="AF62" s="8" t="s">
        <v>4493</v>
      </c>
      <c r="AG62" s="8"/>
      <c r="AH62" s="761"/>
      <c r="AI62" s="761"/>
    </row>
    <row r="63" spans="1:35" ht="15.75">
      <c r="A63" s="692" t="s">
        <v>2486</v>
      </c>
      <c r="B63" s="692" t="s">
        <v>334</v>
      </c>
      <c r="D63" s="692" t="s">
        <v>171</v>
      </c>
      <c r="E63" s="692" t="s">
        <v>2221</v>
      </c>
      <c r="F63" s="692" t="s">
        <v>3478</v>
      </c>
      <c r="G63" s="692" t="s">
        <v>117</v>
      </c>
      <c r="H63" s="692" t="s">
        <v>118</v>
      </c>
      <c r="I63" s="692" t="s">
        <v>43</v>
      </c>
      <c r="J63" s="692" t="s">
        <v>13</v>
      </c>
      <c r="K63" s="692" t="s">
        <v>3</v>
      </c>
      <c r="L63" s="692" t="str">
        <f t="shared" si="0"/>
        <v>2-10-01</v>
      </c>
      <c r="M63" s="692"/>
      <c r="N63" s="692"/>
      <c r="O63" s="692"/>
      <c r="P63" s="692" t="s">
        <v>712</v>
      </c>
      <c r="Q63" s="692" t="s">
        <v>3543</v>
      </c>
      <c r="R63" s="692" t="s">
        <v>4818</v>
      </c>
      <c r="S63" s="692">
        <v>24607513</v>
      </c>
      <c r="T63" s="692">
        <v>24600545</v>
      </c>
      <c r="U63" s="692" t="s">
        <v>3820</v>
      </c>
      <c r="V63" s="692" t="s">
        <v>713</v>
      </c>
      <c r="W63" s="692"/>
      <c r="X63" s="761"/>
      <c r="Z63" s="713"/>
      <c r="AA63" s="10"/>
      <c r="AB63" s="8"/>
      <c r="AC63" s="8"/>
      <c r="AD63" s="8"/>
      <c r="AE63" s="8"/>
      <c r="AF63" s="8"/>
      <c r="AG63" s="8"/>
      <c r="AH63" s="761"/>
      <c r="AI63" s="761"/>
    </row>
    <row r="64" spans="1:35" ht="15.75">
      <c r="A64" s="692" t="s">
        <v>2489</v>
      </c>
      <c r="B64" s="692" t="s">
        <v>335</v>
      </c>
      <c r="D64" s="692" t="s">
        <v>174</v>
      </c>
      <c r="E64" s="692" t="s">
        <v>2222</v>
      </c>
      <c r="F64" s="692" t="s">
        <v>2223</v>
      </c>
      <c r="G64" s="692" t="s">
        <v>117</v>
      </c>
      <c r="H64" s="692" t="s">
        <v>5</v>
      </c>
      <c r="I64" s="692" t="s">
        <v>43</v>
      </c>
      <c r="J64" s="692" t="s">
        <v>13</v>
      </c>
      <c r="K64" s="692" t="s">
        <v>3</v>
      </c>
      <c r="L64" s="692" t="str">
        <f t="shared" si="0"/>
        <v>2-10-01</v>
      </c>
      <c r="M64" s="692"/>
      <c r="N64" s="692"/>
      <c r="O64" s="692"/>
      <c r="P64" s="692" t="s">
        <v>629</v>
      </c>
      <c r="Q64" s="692" t="s">
        <v>4804</v>
      </c>
      <c r="R64" s="692" t="s">
        <v>5821</v>
      </c>
      <c r="S64" s="692">
        <v>24600332</v>
      </c>
      <c r="T64" s="692">
        <v>24600186</v>
      </c>
      <c r="U64" s="692" t="s">
        <v>3821</v>
      </c>
      <c r="V64" s="692" t="s">
        <v>2224</v>
      </c>
      <c r="W64" s="692"/>
      <c r="X64" s="761" t="s">
        <v>226</v>
      </c>
      <c r="Z64" s="713"/>
      <c r="AA64" s="10"/>
      <c r="AB64" s="8"/>
      <c r="AC64" s="8"/>
      <c r="AD64" s="8"/>
      <c r="AE64" s="8"/>
      <c r="AF64" s="8" t="s">
        <v>4493</v>
      </c>
      <c r="AG64" s="8"/>
      <c r="AH64" s="761"/>
      <c r="AI64" s="761"/>
    </row>
    <row r="65" spans="1:35" ht="15.75">
      <c r="A65" s="692" t="s">
        <v>2165</v>
      </c>
      <c r="B65" s="692" t="s">
        <v>1093</v>
      </c>
      <c r="D65" s="692" t="s">
        <v>1124</v>
      </c>
      <c r="E65" s="692" t="s">
        <v>2225</v>
      </c>
      <c r="F65" s="692" t="s">
        <v>2226</v>
      </c>
      <c r="G65" s="692" t="s">
        <v>65</v>
      </c>
      <c r="H65" s="692" t="s">
        <v>9</v>
      </c>
      <c r="I65" s="692" t="s">
        <v>43</v>
      </c>
      <c r="J65" s="692" t="s">
        <v>16</v>
      </c>
      <c r="K65" s="692" t="s">
        <v>3</v>
      </c>
      <c r="L65" s="692" t="str">
        <f t="shared" si="0"/>
        <v>2-11-01</v>
      </c>
      <c r="M65" s="692"/>
      <c r="N65" s="692"/>
      <c r="O65" s="692"/>
      <c r="P65" s="692" t="s">
        <v>2227</v>
      </c>
      <c r="Q65" s="692" t="s">
        <v>4804</v>
      </c>
      <c r="R65" s="692" t="s">
        <v>4819</v>
      </c>
      <c r="S65" s="692">
        <v>24633163</v>
      </c>
      <c r="T65" s="692">
        <v>24633451</v>
      </c>
      <c r="U65" s="692" t="s">
        <v>4625</v>
      </c>
      <c r="V65" s="692" t="s">
        <v>2228</v>
      </c>
      <c r="W65" s="692"/>
      <c r="X65" s="761" t="s">
        <v>483</v>
      </c>
      <c r="Z65" s="713"/>
      <c r="AA65" s="10"/>
      <c r="AB65" s="8"/>
      <c r="AC65" s="8"/>
      <c r="AD65" s="8"/>
      <c r="AE65" s="8"/>
      <c r="AF65" s="8"/>
      <c r="AG65" s="8"/>
      <c r="AH65" s="761"/>
      <c r="AI65" s="761"/>
    </row>
    <row r="66" spans="1:35" ht="15.75">
      <c r="A66" s="692" t="s">
        <v>2381</v>
      </c>
      <c r="B66" s="692" t="s">
        <v>1134</v>
      </c>
      <c r="D66" s="692" t="s">
        <v>154</v>
      </c>
      <c r="E66" s="692" t="s">
        <v>2229</v>
      </c>
      <c r="F66" s="692" t="s">
        <v>2230</v>
      </c>
      <c r="G66" s="692" t="s">
        <v>128</v>
      </c>
      <c r="H66" s="692" t="s">
        <v>3</v>
      </c>
      <c r="I66" s="692" t="s">
        <v>56</v>
      </c>
      <c r="J66" s="692" t="s">
        <v>3</v>
      </c>
      <c r="K66" s="692" t="s">
        <v>3</v>
      </c>
      <c r="L66" s="692" t="str">
        <f t="shared" si="0"/>
        <v>3-01-01</v>
      </c>
      <c r="M66" s="692"/>
      <c r="N66" s="692"/>
      <c r="O66" s="692"/>
      <c r="P66" s="692" t="s">
        <v>707</v>
      </c>
      <c r="Q66" s="692" t="s">
        <v>3543</v>
      </c>
      <c r="R66" s="692" t="s">
        <v>4820</v>
      </c>
      <c r="S66" s="692">
        <v>25913646</v>
      </c>
      <c r="T66" s="692">
        <v>25923679</v>
      </c>
      <c r="U66" s="692" t="s">
        <v>5544</v>
      </c>
      <c r="V66" s="692" t="s">
        <v>5545</v>
      </c>
      <c r="W66" s="692"/>
      <c r="X66" s="761"/>
      <c r="Z66" s="713"/>
      <c r="AA66" s="10"/>
      <c r="AB66" s="8"/>
      <c r="AC66" s="8"/>
      <c r="AD66" s="8"/>
      <c r="AE66" s="8"/>
      <c r="AF66" s="8"/>
      <c r="AG66" s="8"/>
      <c r="AH66" s="761"/>
      <c r="AI66" s="761"/>
    </row>
    <row r="67" spans="1:35" ht="15.75">
      <c r="A67" s="692" t="s">
        <v>2622</v>
      </c>
      <c r="B67" s="692" t="s">
        <v>412</v>
      </c>
      <c r="D67" s="692" t="s">
        <v>159</v>
      </c>
      <c r="E67" s="692" t="s">
        <v>2231</v>
      </c>
      <c r="F67" s="692" t="s">
        <v>2232</v>
      </c>
      <c r="G67" s="692" t="s">
        <v>128</v>
      </c>
      <c r="H67" s="692" t="s">
        <v>3</v>
      </c>
      <c r="I67" s="692" t="s">
        <v>56</v>
      </c>
      <c r="J67" s="692" t="s">
        <v>3</v>
      </c>
      <c r="K67" s="692" t="s">
        <v>4</v>
      </c>
      <c r="L67" s="692" t="str">
        <f t="shared" ref="L67:L130" si="1">CONCATENATE(I67,"-",J67,"-",K67)</f>
        <v>3-01-02</v>
      </c>
      <c r="M67" s="692"/>
      <c r="N67" s="692"/>
      <c r="O67" s="692"/>
      <c r="P67" s="692" t="s">
        <v>707</v>
      </c>
      <c r="Q67" s="692" t="s">
        <v>4804</v>
      </c>
      <c r="R67" s="692" t="s">
        <v>5734</v>
      </c>
      <c r="S67" s="692">
        <v>25510565</v>
      </c>
      <c r="T67" s="692">
        <v>25510565</v>
      </c>
      <c r="U67" s="692" t="s">
        <v>4121</v>
      </c>
      <c r="V67" s="692" t="s">
        <v>2233</v>
      </c>
      <c r="W67" s="692"/>
      <c r="X67" s="761"/>
      <c r="Z67" s="713"/>
      <c r="AA67" s="10"/>
      <c r="AB67" s="8"/>
      <c r="AC67" s="8"/>
      <c r="AD67" s="8"/>
      <c r="AE67" s="8"/>
      <c r="AF67" s="8"/>
      <c r="AG67" s="8"/>
      <c r="AH67" s="761"/>
      <c r="AI67" s="761"/>
    </row>
    <row r="68" spans="1:35" ht="15.75">
      <c r="A68" s="692" t="s">
        <v>2532</v>
      </c>
      <c r="B68" s="692" t="s">
        <v>368</v>
      </c>
      <c r="D68" s="692" t="s">
        <v>188</v>
      </c>
      <c r="E68" s="692" t="s">
        <v>2234</v>
      </c>
      <c r="F68" s="692" t="s">
        <v>2235</v>
      </c>
      <c r="G68" s="692" t="s">
        <v>128</v>
      </c>
      <c r="H68" s="692" t="s">
        <v>3</v>
      </c>
      <c r="I68" s="692" t="s">
        <v>56</v>
      </c>
      <c r="J68" s="692" t="s">
        <v>3</v>
      </c>
      <c r="K68" s="692" t="s">
        <v>3</v>
      </c>
      <c r="L68" s="692" t="str">
        <f t="shared" si="1"/>
        <v>3-01-01</v>
      </c>
      <c r="M68" s="692"/>
      <c r="N68" s="692"/>
      <c r="O68" s="692"/>
      <c r="P68" s="692" t="s">
        <v>60</v>
      </c>
      <c r="Q68" s="692" t="s">
        <v>4804</v>
      </c>
      <c r="R68" s="692" t="s">
        <v>2815</v>
      </c>
      <c r="S68" s="692">
        <v>25521701</v>
      </c>
      <c r="T68" s="692">
        <v>25514276</v>
      </c>
      <c r="U68" s="692" t="s">
        <v>3822</v>
      </c>
      <c r="V68" s="692" t="s">
        <v>5546</v>
      </c>
      <c r="W68" s="692"/>
      <c r="X68" s="761"/>
      <c r="Z68" s="713"/>
      <c r="AA68" s="10"/>
      <c r="AB68" s="8"/>
      <c r="AC68" s="8"/>
      <c r="AD68" s="8"/>
      <c r="AE68" s="8"/>
      <c r="AF68" s="8"/>
      <c r="AG68" s="8"/>
      <c r="AH68" s="761"/>
      <c r="AI68" s="761"/>
    </row>
    <row r="69" spans="1:35" ht="15.75">
      <c r="A69" s="692" t="s">
        <v>2593</v>
      </c>
      <c r="B69" s="692" t="s">
        <v>396</v>
      </c>
      <c r="D69" s="692" t="s">
        <v>1724</v>
      </c>
      <c r="E69" s="692" t="s">
        <v>2236</v>
      </c>
      <c r="F69" s="692" t="s">
        <v>2237</v>
      </c>
      <c r="G69" s="692" t="s">
        <v>128</v>
      </c>
      <c r="H69" s="692" t="s">
        <v>4</v>
      </c>
      <c r="I69" s="692" t="s">
        <v>56</v>
      </c>
      <c r="J69" s="692" t="s">
        <v>3</v>
      </c>
      <c r="K69" s="692" t="s">
        <v>4</v>
      </c>
      <c r="L69" s="692" t="str">
        <f t="shared" si="1"/>
        <v>3-01-02</v>
      </c>
      <c r="M69" s="692"/>
      <c r="N69" s="692"/>
      <c r="O69" s="692"/>
      <c r="P69" s="692" t="s">
        <v>2238</v>
      </c>
      <c r="Q69" s="692" t="s">
        <v>4804</v>
      </c>
      <c r="R69" s="692" t="s">
        <v>2239</v>
      </c>
      <c r="S69" s="692">
        <v>40700895</v>
      </c>
      <c r="T69" s="692">
        <v>40700895</v>
      </c>
      <c r="U69" s="692" t="s">
        <v>4122</v>
      </c>
      <c r="V69" s="692" t="s">
        <v>5547</v>
      </c>
      <c r="W69" s="692"/>
      <c r="X69" s="761"/>
      <c r="Z69" s="713"/>
      <c r="AA69" s="10"/>
      <c r="AB69" s="8"/>
      <c r="AC69" s="8"/>
      <c r="AD69" s="8"/>
      <c r="AE69" s="8"/>
      <c r="AF69" s="8"/>
      <c r="AG69" s="8"/>
      <c r="AH69" s="761"/>
      <c r="AI69" s="761"/>
    </row>
    <row r="70" spans="1:35" ht="15.75">
      <c r="A70" s="692" t="s">
        <v>2596</v>
      </c>
      <c r="B70" s="692" t="s">
        <v>397</v>
      </c>
      <c r="D70" s="692" t="s">
        <v>1735</v>
      </c>
      <c r="E70" s="692" t="s">
        <v>2240</v>
      </c>
      <c r="F70" s="692" t="s">
        <v>2241</v>
      </c>
      <c r="G70" s="692" t="s">
        <v>128</v>
      </c>
      <c r="H70" s="692" t="s">
        <v>4</v>
      </c>
      <c r="I70" s="692" t="s">
        <v>56</v>
      </c>
      <c r="J70" s="692" t="s">
        <v>3</v>
      </c>
      <c r="K70" s="692" t="s">
        <v>6</v>
      </c>
      <c r="L70" s="692" t="str">
        <f t="shared" si="1"/>
        <v>3-01-04</v>
      </c>
      <c r="M70" s="692"/>
      <c r="N70" s="692"/>
      <c r="O70" s="692"/>
      <c r="P70" s="692" t="s">
        <v>756</v>
      </c>
      <c r="Q70" s="692" t="s">
        <v>3543</v>
      </c>
      <c r="R70" s="692" t="s">
        <v>4626</v>
      </c>
      <c r="S70" s="692">
        <v>25372032</v>
      </c>
      <c r="T70" s="692">
        <v>25372220</v>
      </c>
      <c r="U70" s="692" t="s">
        <v>4123</v>
      </c>
      <c r="V70" s="692" t="s">
        <v>5548</v>
      </c>
      <c r="W70" s="692"/>
      <c r="X70" s="761"/>
      <c r="Z70" s="713"/>
      <c r="AA70" s="10"/>
      <c r="AB70" s="8"/>
      <c r="AC70" s="8"/>
      <c r="AD70" s="8"/>
      <c r="AE70" s="8"/>
      <c r="AF70" s="8"/>
      <c r="AG70" s="8"/>
      <c r="AH70" s="761"/>
      <c r="AI70" s="761"/>
    </row>
    <row r="71" spans="1:35" ht="15.75">
      <c r="A71" s="692" t="s">
        <v>2590</v>
      </c>
      <c r="B71" s="692" t="s">
        <v>283</v>
      </c>
      <c r="D71" s="692" t="s">
        <v>153</v>
      </c>
      <c r="E71" s="692" t="s">
        <v>2243</v>
      </c>
      <c r="F71" s="692" t="s">
        <v>2244</v>
      </c>
      <c r="G71" s="692" t="s">
        <v>128</v>
      </c>
      <c r="H71" s="692" t="s">
        <v>7</v>
      </c>
      <c r="I71" s="692" t="s">
        <v>56</v>
      </c>
      <c r="J71" s="692" t="s">
        <v>4</v>
      </c>
      <c r="K71" s="692" t="s">
        <v>3</v>
      </c>
      <c r="L71" s="692" t="str">
        <f t="shared" si="1"/>
        <v>3-02-01</v>
      </c>
      <c r="M71" s="692"/>
      <c r="N71" s="692"/>
      <c r="O71" s="692"/>
      <c r="P71" s="692" t="s">
        <v>132</v>
      </c>
      <c r="Q71" s="692" t="s">
        <v>4804</v>
      </c>
      <c r="R71" s="692" t="s">
        <v>4627</v>
      </c>
      <c r="S71" s="692">
        <v>25744600</v>
      </c>
      <c r="T71" s="692">
        <v>25747404</v>
      </c>
      <c r="U71" s="692" t="s">
        <v>3823</v>
      </c>
      <c r="V71" s="692" t="s">
        <v>3575</v>
      </c>
      <c r="W71" s="692"/>
      <c r="X71" s="761" t="s">
        <v>403</v>
      </c>
      <c r="Z71" s="713"/>
      <c r="AA71" s="10"/>
      <c r="AB71" s="8"/>
      <c r="AC71" s="8"/>
      <c r="AD71" s="8"/>
      <c r="AE71" s="8"/>
      <c r="AF71" s="8"/>
      <c r="AG71" s="8"/>
      <c r="AH71" s="761"/>
      <c r="AI71" s="761" t="s">
        <v>4821</v>
      </c>
    </row>
    <row r="72" spans="1:35" ht="15.75">
      <c r="A72" s="692" t="s">
        <v>2180</v>
      </c>
      <c r="B72" s="692" t="s">
        <v>52</v>
      </c>
      <c r="D72" s="692" t="s">
        <v>1152</v>
      </c>
      <c r="E72" s="692" t="s">
        <v>2245</v>
      </c>
      <c r="F72" s="692" t="s">
        <v>2246</v>
      </c>
      <c r="G72" s="692" t="s">
        <v>767</v>
      </c>
      <c r="H72" s="692" t="s">
        <v>3</v>
      </c>
      <c r="I72" s="692" t="s">
        <v>56</v>
      </c>
      <c r="J72" s="692" t="s">
        <v>6</v>
      </c>
      <c r="K72" s="692" t="s">
        <v>3</v>
      </c>
      <c r="L72" s="692" t="str">
        <f t="shared" si="1"/>
        <v>3-04-01</v>
      </c>
      <c r="M72" s="692"/>
      <c r="N72" s="692"/>
      <c r="O72" s="692"/>
      <c r="P72" s="692" t="s">
        <v>769</v>
      </c>
      <c r="Q72" s="692" t="s">
        <v>4804</v>
      </c>
      <c r="R72" s="692" t="s">
        <v>2509</v>
      </c>
      <c r="S72" s="692">
        <v>25322274</v>
      </c>
      <c r="T72" s="692">
        <v>25323000</v>
      </c>
      <c r="U72" s="692" t="s">
        <v>4822</v>
      </c>
      <c r="V72" s="692" t="s">
        <v>2247</v>
      </c>
      <c r="W72" s="692"/>
      <c r="X72" s="761" t="s">
        <v>530</v>
      </c>
      <c r="Z72" s="713"/>
      <c r="AA72" s="10"/>
      <c r="AB72" s="8"/>
      <c r="AC72" s="8"/>
      <c r="AD72" s="8"/>
      <c r="AE72" s="8"/>
      <c r="AF72" s="8"/>
      <c r="AG72" s="8"/>
      <c r="AH72" s="761"/>
      <c r="AI72" s="761"/>
    </row>
    <row r="73" spans="1:35" ht="15.75">
      <c r="A73" s="692" t="s">
        <v>2208</v>
      </c>
      <c r="B73" s="692" t="s">
        <v>164</v>
      </c>
      <c r="D73" s="692" t="s">
        <v>1153</v>
      </c>
      <c r="E73" s="692" t="s">
        <v>2248</v>
      </c>
      <c r="F73" s="692" t="s">
        <v>2249</v>
      </c>
      <c r="G73" s="692" t="s">
        <v>767</v>
      </c>
      <c r="H73" s="692" t="s">
        <v>4</v>
      </c>
      <c r="I73" s="692" t="s">
        <v>56</v>
      </c>
      <c r="J73" s="692" t="s">
        <v>7</v>
      </c>
      <c r="K73" s="692" t="s">
        <v>3</v>
      </c>
      <c r="L73" s="692" t="str">
        <f t="shared" si="1"/>
        <v>3-05-01</v>
      </c>
      <c r="M73" s="692"/>
      <c r="N73" s="692"/>
      <c r="O73" s="692"/>
      <c r="P73" s="692" t="s">
        <v>861</v>
      </c>
      <c r="Q73" s="692" t="s">
        <v>4804</v>
      </c>
      <c r="R73" s="692" t="s">
        <v>5870</v>
      </c>
      <c r="S73" s="692">
        <v>25560025</v>
      </c>
      <c r="T73" s="692">
        <v>25560207</v>
      </c>
      <c r="U73" s="692" t="s">
        <v>4823</v>
      </c>
      <c r="V73" s="692" t="s">
        <v>2250</v>
      </c>
      <c r="W73" s="692"/>
      <c r="X73" s="761"/>
      <c r="Z73" s="713"/>
      <c r="AA73" s="10"/>
      <c r="AB73" s="8"/>
      <c r="AC73" s="8"/>
      <c r="AD73" s="8"/>
      <c r="AE73" s="8"/>
      <c r="AF73" s="8" t="s">
        <v>4493</v>
      </c>
      <c r="AG73" s="8"/>
      <c r="AH73" s="761" t="s">
        <v>4493</v>
      </c>
      <c r="AI73" s="761"/>
    </row>
    <row r="74" spans="1:35" ht="15.75">
      <c r="A74" s="692" t="s">
        <v>2205</v>
      </c>
      <c r="B74" s="692" t="s">
        <v>141</v>
      </c>
      <c r="D74" s="692" t="s">
        <v>1135</v>
      </c>
      <c r="E74" s="692" t="s">
        <v>2251</v>
      </c>
      <c r="F74" s="692" t="s">
        <v>2252</v>
      </c>
      <c r="G74" s="692" t="s">
        <v>128</v>
      </c>
      <c r="H74" s="692" t="s">
        <v>6</v>
      </c>
      <c r="I74" s="692" t="s">
        <v>56</v>
      </c>
      <c r="J74" s="692" t="s">
        <v>9</v>
      </c>
      <c r="K74" s="692" t="s">
        <v>3</v>
      </c>
      <c r="L74" s="692" t="str">
        <f t="shared" si="1"/>
        <v>3-07-01</v>
      </c>
      <c r="M74" s="692"/>
      <c r="N74" s="692"/>
      <c r="O74" s="692"/>
      <c r="P74" s="692" t="s">
        <v>224</v>
      </c>
      <c r="Q74" s="692" t="s">
        <v>4804</v>
      </c>
      <c r="R74" s="692" t="s">
        <v>5549</v>
      </c>
      <c r="S74" s="692">
        <v>25513934</v>
      </c>
      <c r="T74" s="692"/>
      <c r="U74" s="692" t="s">
        <v>3824</v>
      </c>
      <c r="V74" s="692" t="s">
        <v>5550</v>
      </c>
      <c r="W74" s="692"/>
      <c r="X74" s="761" t="s">
        <v>1735</v>
      </c>
      <c r="Z74" s="713"/>
      <c r="AA74" s="10"/>
      <c r="AB74" s="8"/>
      <c r="AC74" s="8"/>
      <c r="AD74" s="8"/>
      <c r="AE74" s="8"/>
      <c r="AF74" s="8"/>
      <c r="AG74" s="8"/>
      <c r="AH74" s="761"/>
      <c r="AI74" s="761"/>
    </row>
    <row r="75" spans="1:35" ht="15.75">
      <c r="A75" s="692" t="s">
        <v>2217</v>
      </c>
      <c r="B75" s="692" t="s">
        <v>144</v>
      </c>
      <c r="D75" s="692" t="s">
        <v>1128</v>
      </c>
      <c r="E75" s="692" t="s">
        <v>2253</v>
      </c>
      <c r="F75" s="692" t="s">
        <v>2254</v>
      </c>
      <c r="G75" s="692" t="s">
        <v>128</v>
      </c>
      <c r="H75" s="692" t="s">
        <v>5</v>
      </c>
      <c r="I75" s="692" t="s">
        <v>56</v>
      </c>
      <c r="J75" s="692" t="s">
        <v>11</v>
      </c>
      <c r="K75" s="692" t="s">
        <v>3</v>
      </c>
      <c r="L75" s="692" t="str">
        <f t="shared" si="1"/>
        <v>3-08-01</v>
      </c>
      <c r="M75" s="692"/>
      <c r="N75" s="692"/>
      <c r="O75" s="692"/>
      <c r="P75" s="692" t="s">
        <v>760</v>
      </c>
      <c r="Q75" s="692" t="s">
        <v>4804</v>
      </c>
      <c r="R75" s="692" t="s">
        <v>4124</v>
      </c>
      <c r="S75" s="692">
        <v>25529191</v>
      </c>
      <c r="T75" s="692">
        <v>25521818</v>
      </c>
      <c r="U75" s="692" t="s">
        <v>3825</v>
      </c>
      <c r="V75" s="692" t="s">
        <v>5551</v>
      </c>
      <c r="W75" s="692"/>
      <c r="X75" s="761"/>
      <c r="Z75" s="713"/>
      <c r="AA75" s="10"/>
      <c r="AB75" s="8"/>
      <c r="AC75" s="8"/>
      <c r="AD75" s="8"/>
      <c r="AE75" s="8"/>
      <c r="AF75" s="8"/>
      <c r="AG75" s="8"/>
      <c r="AH75" s="761"/>
      <c r="AI75" s="761"/>
    </row>
    <row r="76" spans="1:35" ht="15.75">
      <c r="A76" s="692" t="s">
        <v>2177</v>
      </c>
      <c r="B76" s="692" t="s">
        <v>150</v>
      </c>
      <c r="D76" s="692" t="s">
        <v>1129</v>
      </c>
      <c r="E76" s="692" t="s">
        <v>2256</v>
      </c>
      <c r="F76" s="692" t="s">
        <v>5552</v>
      </c>
      <c r="G76" s="692" t="s">
        <v>111</v>
      </c>
      <c r="H76" s="692" t="s">
        <v>3</v>
      </c>
      <c r="I76" s="692" t="s">
        <v>110</v>
      </c>
      <c r="J76" s="692" t="s">
        <v>3</v>
      </c>
      <c r="K76" s="692" t="s">
        <v>5</v>
      </c>
      <c r="L76" s="692" t="str">
        <f t="shared" si="1"/>
        <v>4-01-03</v>
      </c>
      <c r="M76" s="692"/>
      <c r="N76" s="692"/>
      <c r="O76" s="692"/>
      <c r="P76" s="692" t="s">
        <v>774</v>
      </c>
      <c r="Q76" s="692" t="s">
        <v>4804</v>
      </c>
      <c r="R76" s="692" t="s">
        <v>4628</v>
      </c>
      <c r="S76" s="692">
        <v>22372433</v>
      </c>
      <c r="T76" s="692">
        <v>22372433</v>
      </c>
      <c r="U76" s="692" t="s">
        <v>3826</v>
      </c>
      <c r="V76" s="692" t="s">
        <v>2257</v>
      </c>
      <c r="W76" s="692"/>
      <c r="X76" s="761" t="s">
        <v>1161</v>
      </c>
      <c r="Z76" s="713"/>
      <c r="AA76" s="10"/>
      <c r="AB76" s="8"/>
      <c r="AC76" s="8"/>
      <c r="AD76" s="8"/>
      <c r="AE76" s="8"/>
      <c r="AF76" s="8"/>
      <c r="AG76" s="8"/>
      <c r="AH76" s="761"/>
      <c r="AI76" s="761"/>
    </row>
    <row r="77" spans="1:35" ht="15.75">
      <c r="A77" s="692" t="s">
        <v>2171</v>
      </c>
      <c r="B77" s="692" t="s">
        <v>1119</v>
      </c>
      <c r="D77" s="692" t="s">
        <v>933</v>
      </c>
      <c r="E77" s="692" t="s">
        <v>2258</v>
      </c>
      <c r="F77" s="692" t="s">
        <v>2259</v>
      </c>
      <c r="G77" s="692" t="s">
        <v>111</v>
      </c>
      <c r="H77" s="692" t="s">
        <v>3</v>
      </c>
      <c r="I77" s="692" t="s">
        <v>110</v>
      </c>
      <c r="J77" s="692" t="s">
        <v>3</v>
      </c>
      <c r="K77" s="692" t="s">
        <v>3</v>
      </c>
      <c r="L77" s="692" t="str">
        <f t="shared" si="1"/>
        <v>4-01-01</v>
      </c>
      <c r="M77" s="692"/>
      <c r="N77" s="692"/>
      <c r="O77" s="692"/>
      <c r="P77" s="692" t="s">
        <v>111</v>
      </c>
      <c r="Q77" s="692" t="s">
        <v>4804</v>
      </c>
      <c r="R77" s="692" t="s">
        <v>4252</v>
      </c>
      <c r="S77" s="692">
        <v>22370113</v>
      </c>
      <c r="T77" s="692">
        <v>22370421</v>
      </c>
      <c r="U77" s="692" t="s">
        <v>4824</v>
      </c>
      <c r="V77" s="692" t="s">
        <v>2260</v>
      </c>
      <c r="W77" s="692"/>
      <c r="X77" s="761"/>
      <c r="Z77" s="713"/>
      <c r="AA77" s="10"/>
      <c r="AB77" s="8"/>
      <c r="AC77" s="8"/>
      <c r="AD77" s="8"/>
      <c r="AE77" s="8"/>
      <c r="AF77" s="8"/>
      <c r="AG77" s="8"/>
      <c r="AH77" s="761"/>
      <c r="AI77" s="761"/>
    </row>
    <row r="78" spans="1:35" ht="15.75">
      <c r="A78" s="692" t="s">
        <v>2184</v>
      </c>
      <c r="B78" s="692" t="s">
        <v>152</v>
      </c>
      <c r="D78" s="692" t="s">
        <v>1155</v>
      </c>
      <c r="E78" s="692" t="s">
        <v>2261</v>
      </c>
      <c r="F78" s="692" t="s">
        <v>2262</v>
      </c>
      <c r="G78" s="692" t="s">
        <v>111</v>
      </c>
      <c r="H78" s="692" t="s">
        <v>4</v>
      </c>
      <c r="I78" s="692" t="s">
        <v>110</v>
      </c>
      <c r="J78" s="692" t="s">
        <v>3</v>
      </c>
      <c r="K78" s="692" t="s">
        <v>4</v>
      </c>
      <c r="L78" s="692" t="str">
        <f t="shared" si="1"/>
        <v>4-01-02</v>
      </c>
      <c r="M78" s="692"/>
      <c r="N78" s="692"/>
      <c r="O78" s="692"/>
      <c r="P78" s="692" t="s">
        <v>294</v>
      </c>
      <c r="Q78" s="692" t="s">
        <v>3543</v>
      </c>
      <c r="R78" s="692" t="s">
        <v>5878</v>
      </c>
      <c r="S78" s="692">
        <v>22603732</v>
      </c>
      <c r="T78" s="692">
        <v>22603732</v>
      </c>
      <c r="U78" s="692" t="s">
        <v>2263</v>
      </c>
      <c r="V78" s="692" t="s">
        <v>2264</v>
      </c>
      <c r="W78" s="692"/>
      <c r="X78" s="761"/>
      <c r="Z78" s="713"/>
      <c r="AA78" s="10"/>
      <c r="AB78" s="8"/>
      <c r="AC78" s="8"/>
      <c r="AD78" s="8"/>
      <c r="AE78" s="8"/>
      <c r="AF78" s="8"/>
      <c r="AG78" s="8"/>
      <c r="AH78" s="761"/>
      <c r="AI78" s="761"/>
    </row>
    <row r="79" spans="1:35" ht="15.75">
      <c r="A79" s="692" t="s">
        <v>2188</v>
      </c>
      <c r="B79" s="692" t="s">
        <v>155</v>
      </c>
      <c r="D79" s="692" t="s">
        <v>199</v>
      </c>
      <c r="E79" s="692" t="s">
        <v>2265</v>
      </c>
      <c r="F79" s="692" t="s">
        <v>3785</v>
      </c>
      <c r="G79" s="692" t="s">
        <v>111</v>
      </c>
      <c r="H79" s="692" t="s">
        <v>4</v>
      </c>
      <c r="I79" s="692" t="s">
        <v>110</v>
      </c>
      <c r="J79" s="692" t="s">
        <v>3</v>
      </c>
      <c r="K79" s="692" t="s">
        <v>4</v>
      </c>
      <c r="L79" s="692" t="str">
        <f t="shared" si="1"/>
        <v>4-01-02</v>
      </c>
      <c r="M79" s="692"/>
      <c r="N79" s="692"/>
      <c r="O79" s="692"/>
      <c r="P79" s="692" t="s">
        <v>5697</v>
      </c>
      <c r="Q79" s="692" t="s">
        <v>4804</v>
      </c>
      <c r="R79" s="692" t="s">
        <v>4419</v>
      </c>
      <c r="S79" s="692">
        <v>22610174</v>
      </c>
      <c r="T79" s="692"/>
      <c r="U79" s="692" t="s">
        <v>4629</v>
      </c>
      <c r="V79" s="692" t="s">
        <v>4825</v>
      </c>
      <c r="W79" s="692"/>
      <c r="X79" s="761"/>
      <c r="Z79" s="713"/>
      <c r="AA79" s="10"/>
      <c r="AB79" s="8"/>
      <c r="AC79" s="8"/>
      <c r="AD79" s="8"/>
      <c r="AE79" s="8"/>
      <c r="AF79" s="8"/>
      <c r="AG79" s="8"/>
      <c r="AH79" s="761"/>
      <c r="AI79" s="761"/>
    </row>
    <row r="80" spans="1:35" ht="15.75">
      <c r="A80" s="692" t="s">
        <v>2203</v>
      </c>
      <c r="B80" s="692" t="s">
        <v>163</v>
      </c>
      <c r="D80" s="692" t="s">
        <v>3452</v>
      </c>
      <c r="E80" s="692" t="s">
        <v>3453</v>
      </c>
      <c r="F80" s="692" t="s">
        <v>3454</v>
      </c>
      <c r="G80" s="692" t="s">
        <v>111</v>
      </c>
      <c r="H80" s="692" t="s">
        <v>9</v>
      </c>
      <c r="I80" s="692" t="s">
        <v>110</v>
      </c>
      <c r="J80" s="692" t="s">
        <v>3</v>
      </c>
      <c r="K80" s="692" t="s">
        <v>6</v>
      </c>
      <c r="L80" s="692" t="str">
        <f t="shared" si="1"/>
        <v>4-01-04</v>
      </c>
      <c r="M80" s="692"/>
      <c r="N80" s="692"/>
      <c r="O80" s="692"/>
      <c r="P80" s="692" t="s">
        <v>3455</v>
      </c>
      <c r="Q80" s="692" t="s">
        <v>4804</v>
      </c>
      <c r="R80" s="692" t="s">
        <v>4415</v>
      </c>
      <c r="S80" s="692">
        <v>22938335</v>
      </c>
      <c r="T80" s="692">
        <v>22938334</v>
      </c>
      <c r="U80" s="692" t="s">
        <v>4416</v>
      </c>
      <c r="V80" s="692" t="s">
        <v>3456</v>
      </c>
      <c r="W80" s="692"/>
      <c r="X80" s="761"/>
      <c r="Z80" s="713"/>
      <c r="AA80" s="10"/>
      <c r="AB80" s="8"/>
      <c r="AC80" s="8"/>
      <c r="AD80" s="8"/>
      <c r="AE80" s="8"/>
      <c r="AF80" s="8"/>
      <c r="AG80" s="8"/>
      <c r="AH80" s="761"/>
      <c r="AI80" s="761"/>
    </row>
    <row r="81" spans="1:35" ht="15.75">
      <c r="A81" s="692" t="s">
        <v>2193</v>
      </c>
      <c r="B81" s="692" t="s">
        <v>1133</v>
      </c>
      <c r="D81" s="692" t="s">
        <v>170</v>
      </c>
      <c r="E81" s="692" t="s">
        <v>2266</v>
      </c>
      <c r="F81" s="692" t="s">
        <v>3786</v>
      </c>
      <c r="G81" s="692" t="s">
        <v>111</v>
      </c>
      <c r="H81" s="692" t="s">
        <v>6</v>
      </c>
      <c r="I81" s="692" t="s">
        <v>110</v>
      </c>
      <c r="J81" s="692" t="s">
        <v>4</v>
      </c>
      <c r="K81" s="692" t="s">
        <v>3</v>
      </c>
      <c r="L81" s="692" t="str">
        <f t="shared" si="1"/>
        <v>4-02-01</v>
      </c>
      <c r="M81" s="692"/>
      <c r="N81" s="692"/>
      <c r="O81" s="692"/>
      <c r="P81" s="692" t="s">
        <v>778</v>
      </c>
      <c r="Q81" s="692" t="s">
        <v>4804</v>
      </c>
      <c r="R81" s="692" t="s">
        <v>5863</v>
      </c>
      <c r="S81" s="692">
        <v>22373980</v>
      </c>
      <c r="T81" s="692"/>
      <c r="U81" s="692" t="s">
        <v>4630</v>
      </c>
      <c r="V81" s="692" t="s">
        <v>2267</v>
      </c>
      <c r="W81" s="692"/>
      <c r="X81" s="761" t="s">
        <v>726</v>
      </c>
      <c r="Z81" s="713"/>
      <c r="AA81" s="10"/>
      <c r="AB81" s="8"/>
      <c r="AC81" s="8"/>
      <c r="AD81" s="8"/>
      <c r="AE81" s="8"/>
      <c r="AF81" s="8"/>
      <c r="AG81" s="8"/>
      <c r="AH81" s="761"/>
      <c r="AI81" s="761"/>
    </row>
    <row r="82" spans="1:35" ht="15.75">
      <c r="A82" s="692" t="s">
        <v>2174</v>
      </c>
      <c r="B82" s="692" t="s">
        <v>1118</v>
      </c>
      <c r="D82" s="692" t="s">
        <v>177</v>
      </c>
      <c r="E82" s="692" t="s">
        <v>2268</v>
      </c>
      <c r="F82" s="692" t="s">
        <v>3787</v>
      </c>
      <c r="G82" s="692" t="s">
        <v>111</v>
      </c>
      <c r="H82" s="692" t="s">
        <v>7</v>
      </c>
      <c r="I82" s="692" t="s">
        <v>110</v>
      </c>
      <c r="J82" s="692" t="s">
        <v>5</v>
      </c>
      <c r="K82" s="692" t="s">
        <v>4</v>
      </c>
      <c r="L82" s="692" t="str">
        <f t="shared" si="1"/>
        <v>4-03-02</v>
      </c>
      <c r="M82" s="692"/>
      <c r="N82" s="692"/>
      <c r="O82" s="692"/>
      <c r="P82" s="692" t="s">
        <v>2269</v>
      </c>
      <c r="Q82" s="692" t="s">
        <v>3543</v>
      </c>
      <c r="R82" s="692" t="s">
        <v>2270</v>
      </c>
      <c r="S82" s="692">
        <v>22440749</v>
      </c>
      <c r="T82" s="692">
        <v>22444935</v>
      </c>
      <c r="U82" s="692" t="s">
        <v>2271</v>
      </c>
      <c r="V82" s="692" t="s">
        <v>2272</v>
      </c>
      <c r="W82" s="692"/>
      <c r="X82" s="761"/>
      <c r="Z82" s="713"/>
      <c r="AA82" s="10"/>
      <c r="AB82" s="8"/>
      <c r="AC82" s="8"/>
      <c r="AD82" s="8"/>
      <c r="AE82" s="8"/>
      <c r="AF82" s="8"/>
      <c r="AG82" s="8"/>
      <c r="AH82" s="761"/>
      <c r="AI82" s="761"/>
    </row>
    <row r="83" spans="1:35" ht="15.75">
      <c r="A83" s="692" t="s">
        <v>2196</v>
      </c>
      <c r="B83" s="692" t="s">
        <v>1130</v>
      </c>
      <c r="D83" s="692" t="s">
        <v>187</v>
      </c>
      <c r="E83" s="692" t="s">
        <v>2273</v>
      </c>
      <c r="F83" s="692" t="s">
        <v>5553</v>
      </c>
      <c r="G83" s="692" t="s">
        <v>111</v>
      </c>
      <c r="H83" s="692" t="s">
        <v>5</v>
      </c>
      <c r="I83" s="692" t="s">
        <v>110</v>
      </c>
      <c r="J83" s="692" t="s">
        <v>6</v>
      </c>
      <c r="K83" s="692" t="s">
        <v>3</v>
      </c>
      <c r="L83" s="692" t="str">
        <f t="shared" si="1"/>
        <v>4-04-01</v>
      </c>
      <c r="M83" s="692"/>
      <c r="N83" s="692"/>
      <c r="O83" s="692"/>
      <c r="P83" s="692" t="s">
        <v>776</v>
      </c>
      <c r="Q83" s="692" t="s">
        <v>4804</v>
      </c>
      <c r="R83" s="692" t="s">
        <v>4125</v>
      </c>
      <c r="S83" s="692">
        <v>22696969</v>
      </c>
      <c r="T83" s="692">
        <v>22690078</v>
      </c>
      <c r="U83" s="692" t="s">
        <v>3827</v>
      </c>
      <c r="V83" s="692" t="s">
        <v>3828</v>
      </c>
      <c r="W83" s="692"/>
      <c r="X83" s="761"/>
      <c r="Z83" s="713"/>
      <c r="AA83" s="10"/>
      <c r="AB83" s="8"/>
      <c r="AC83" s="8"/>
      <c r="AD83" s="8"/>
      <c r="AE83" s="8"/>
      <c r="AF83" s="8"/>
      <c r="AG83" s="8"/>
      <c r="AH83" s="761"/>
      <c r="AI83" s="761"/>
    </row>
    <row r="84" spans="1:35" ht="15.75">
      <c r="A84" s="692" t="s">
        <v>2395</v>
      </c>
      <c r="B84" s="692" t="s">
        <v>1066</v>
      </c>
      <c r="D84" s="692" t="s">
        <v>185</v>
      </c>
      <c r="E84" s="692" t="s">
        <v>2274</v>
      </c>
      <c r="F84" s="692" t="s">
        <v>5554</v>
      </c>
      <c r="G84" s="692" t="s">
        <v>111</v>
      </c>
      <c r="H84" s="692" t="s">
        <v>5</v>
      </c>
      <c r="I84" s="692" t="s">
        <v>110</v>
      </c>
      <c r="J84" s="692" t="s">
        <v>6</v>
      </c>
      <c r="K84" s="692" t="s">
        <v>7</v>
      </c>
      <c r="L84" s="692" t="str">
        <f t="shared" si="1"/>
        <v>4-04-05</v>
      </c>
      <c r="M84" s="692"/>
      <c r="N84" s="692"/>
      <c r="O84" s="692"/>
      <c r="P84" s="692" t="s">
        <v>455</v>
      </c>
      <c r="Q84" s="692" t="s">
        <v>4804</v>
      </c>
      <c r="R84" s="692" t="s">
        <v>5555</v>
      </c>
      <c r="S84" s="692">
        <v>24830095</v>
      </c>
      <c r="T84" s="692">
        <v>24830095</v>
      </c>
      <c r="U84" s="692" t="s">
        <v>3830</v>
      </c>
      <c r="V84" s="692" t="s">
        <v>2275</v>
      </c>
      <c r="W84" s="692"/>
      <c r="X84" s="761" t="s">
        <v>644</v>
      </c>
      <c r="Z84" s="713"/>
      <c r="AA84" s="10"/>
      <c r="AB84" s="8"/>
      <c r="AC84" s="8"/>
      <c r="AD84" s="8"/>
      <c r="AE84" s="8"/>
      <c r="AF84" s="8"/>
      <c r="AG84" s="8"/>
      <c r="AH84" s="761"/>
      <c r="AI84" s="761"/>
    </row>
    <row r="85" spans="1:35" ht="15.75">
      <c r="A85" s="692" t="s">
        <v>2648</v>
      </c>
      <c r="B85" s="692" t="s">
        <v>425</v>
      </c>
      <c r="D85" s="692" t="s">
        <v>181</v>
      </c>
      <c r="E85" s="692" t="s">
        <v>2276</v>
      </c>
      <c r="F85" s="692" t="s">
        <v>2277</v>
      </c>
      <c r="G85" s="692" t="s">
        <v>111</v>
      </c>
      <c r="H85" s="692" t="s">
        <v>6</v>
      </c>
      <c r="I85" s="692" t="s">
        <v>110</v>
      </c>
      <c r="J85" s="692" t="s">
        <v>7</v>
      </c>
      <c r="K85" s="692" t="s">
        <v>3</v>
      </c>
      <c r="L85" s="692" t="str">
        <f t="shared" si="1"/>
        <v>4-05-01</v>
      </c>
      <c r="M85" s="692"/>
      <c r="N85" s="692"/>
      <c r="O85" s="692"/>
      <c r="P85" s="692" t="s">
        <v>1168</v>
      </c>
      <c r="Q85" s="692" t="s">
        <v>4804</v>
      </c>
      <c r="R85" s="692" t="s">
        <v>3809</v>
      </c>
      <c r="S85" s="692">
        <v>22372710</v>
      </c>
      <c r="T85" s="692">
        <v>22370266</v>
      </c>
      <c r="U85" s="692" t="s">
        <v>4417</v>
      </c>
      <c r="V85" s="692" t="s">
        <v>2278</v>
      </c>
      <c r="W85" s="692"/>
      <c r="X85" s="761"/>
      <c r="Z85" s="713"/>
      <c r="AA85" s="10"/>
      <c r="AB85" s="8"/>
      <c r="AC85" s="8"/>
      <c r="AD85" s="8"/>
      <c r="AE85" s="8"/>
      <c r="AF85" s="8"/>
      <c r="AG85" s="8"/>
      <c r="AH85" s="761"/>
      <c r="AI85" s="761"/>
    </row>
    <row r="86" spans="1:35" ht="15.75">
      <c r="A86" s="692" t="s">
        <v>2607</v>
      </c>
      <c r="B86" s="692" t="s">
        <v>1151</v>
      </c>
      <c r="D86" s="692" t="s">
        <v>186</v>
      </c>
      <c r="E86" s="692" t="s">
        <v>2279</v>
      </c>
      <c r="F86" s="692" t="s">
        <v>2280</v>
      </c>
      <c r="G86" s="692" t="s">
        <v>111</v>
      </c>
      <c r="H86" s="692" t="s">
        <v>8</v>
      </c>
      <c r="I86" s="692" t="s">
        <v>110</v>
      </c>
      <c r="J86" s="692" t="s">
        <v>8</v>
      </c>
      <c r="K86" s="692" t="s">
        <v>3</v>
      </c>
      <c r="L86" s="692" t="str">
        <f t="shared" si="1"/>
        <v>4-06-01</v>
      </c>
      <c r="M86" s="692"/>
      <c r="N86" s="692"/>
      <c r="O86" s="692"/>
      <c r="P86" s="692" t="s">
        <v>140</v>
      </c>
      <c r="Q86" s="692" t="s">
        <v>4804</v>
      </c>
      <c r="R86" s="692" t="s">
        <v>3829</v>
      </c>
      <c r="S86" s="692">
        <v>22685809</v>
      </c>
      <c r="T86" s="692">
        <v>22688037</v>
      </c>
      <c r="U86" s="692" t="s">
        <v>4418</v>
      </c>
      <c r="V86" s="692" t="s">
        <v>2281</v>
      </c>
      <c r="W86" s="692"/>
      <c r="X86" s="761"/>
      <c r="Z86" s="713"/>
      <c r="AA86" s="10"/>
      <c r="AB86" s="8"/>
      <c r="AC86" s="8"/>
      <c r="AD86" s="8"/>
      <c r="AE86" s="8"/>
      <c r="AF86" s="8"/>
      <c r="AG86" s="8"/>
      <c r="AH86" s="761" t="s">
        <v>4493</v>
      </c>
      <c r="AI86" s="761"/>
    </row>
    <row r="87" spans="1:35" ht="15.75">
      <c r="A87" s="692" t="s">
        <v>2201</v>
      </c>
      <c r="B87" s="692" t="s">
        <v>1094</v>
      </c>
      <c r="D87" s="692" t="s">
        <v>182</v>
      </c>
      <c r="E87" s="692" t="s">
        <v>2282</v>
      </c>
      <c r="F87" s="692" t="s">
        <v>3788</v>
      </c>
      <c r="G87" s="692" t="s">
        <v>111</v>
      </c>
      <c r="H87" s="692" t="s">
        <v>9</v>
      </c>
      <c r="I87" s="692" t="s">
        <v>110</v>
      </c>
      <c r="J87" s="692" t="s">
        <v>9</v>
      </c>
      <c r="K87" s="692" t="s">
        <v>3</v>
      </c>
      <c r="L87" s="692" t="str">
        <f t="shared" si="1"/>
        <v>4-07-01</v>
      </c>
      <c r="M87" s="692"/>
      <c r="N87" s="692"/>
      <c r="O87" s="692"/>
      <c r="P87" s="692" t="s">
        <v>132</v>
      </c>
      <c r="Q87" s="692" t="s">
        <v>4804</v>
      </c>
      <c r="R87" s="692" t="s">
        <v>2283</v>
      </c>
      <c r="S87" s="692">
        <v>22390901</v>
      </c>
      <c r="T87" s="692">
        <v>22390901</v>
      </c>
      <c r="U87" s="692" t="s">
        <v>5556</v>
      </c>
      <c r="V87" s="692" t="s">
        <v>5557</v>
      </c>
      <c r="W87" s="692"/>
      <c r="X87" s="761" t="s">
        <v>1188</v>
      </c>
      <c r="Z87" s="713"/>
      <c r="AA87" s="10"/>
      <c r="AB87" s="8"/>
      <c r="AC87" s="8"/>
      <c r="AD87" s="8"/>
      <c r="AE87" s="8"/>
      <c r="AF87" s="8"/>
      <c r="AG87" s="8"/>
      <c r="AH87" s="761"/>
      <c r="AI87" s="761"/>
    </row>
    <row r="88" spans="1:35" ht="15.75">
      <c r="A88" s="692" t="s">
        <v>2214</v>
      </c>
      <c r="B88" s="692" t="s">
        <v>167</v>
      </c>
      <c r="D88" s="692" t="s">
        <v>180</v>
      </c>
      <c r="E88" s="692" t="s">
        <v>2284</v>
      </c>
      <c r="F88" s="692" t="s">
        <v>2285</v>
      </c>
      <c r="G88" s="692" t="s">
        <v>111</v>
      </c>
      <c r="H88" s="692" t="s">
        <v>9</v>
      </c>
      <c r="I88" s="692" t="s">
        <v>110</v>
      </c>
      <c r="J88" s="692" t="s">
        <v>11</v>
      </c>
      <c r="K88" s="692" t="s">
        <v>3</v>
      </c>
      <c r="L88" s="692" t="str">
        <f t="shared" si="1"/>
        <v>4-08-01</v>
      </c>
      <c r="M88" s="692"/>
      <c r="N88" s="692"/>
      <c r="O88" s="692"/>
      <c r="P88" s="692" t="s">
        <v>3797</v>
      </c>
      <c r="Q88" s="692" t="s">
        <v>4804</v>
      </c>
      <c r="R88" s="692" t="s">
        <v>5797</v>
      </c>
      <c r="S88" s="692">
        <v>22655650</v>
      </c>
      <c r="T88" s="692">
        <v>22655650</v>
      </c>
      <c r="U88" s="692" t="s">
        <v>3831</v>
      </c>
      <c r="V88" s="692" t="s">
        <v>2286</v>
      </c>
      <c r="W88" s="692"/>
      <c r="X88" s="761"/>
      <c r="Z88" s="713"/>
      <c r="AA88" s="10"/>
      <c r="AB88" s="8"/>
      <c r="AC88" s="8"/>
      <c r="AD88" s="8"/>
      <c r="AE88" s="8"/>
      <c r="AF88" s="8"/>
      <c r="AG88" s="8"/>
      <c r="AH88" s="761"/>
      <c r="AI88" s="761"/>
    </row>
    <row r="89" spans="1:35" ht="15.75">
      <c r="A89" s="692" t="s">
        <v>2212</v>
      </c>
      <c r="B89" s="692" t="s">
        <v>134</v>
      </c>
      <c r="D89" s="692" t="s">
        <v>184</v>
      </c>
      <c r="E89" s="692" t="s">
        <v>2287</v>
      </c>
      <c r="F89" s="692" t="s">
        <v>2288</v>
      </c>
      <c r="G89" s="692" t="s">
        <v>111</v>
      </c>
      <c r="H89" s="692" t="s">
        <v>8</v>
      </c>
      <c r="I89" s="692" t="s">
        <v>110</v>
      </c>
      <c r="J89" s="692" t="s">
        <v>12</v>
      </c>
      <c r="K89" s="692" t="s">
        <v>3</v>
      </c>
      <c r="L89" s="692" t="str">
        <f t="shared" si="1"/>
        <v>4-09-01</v>
      </c>
      <c r="M89" s="692"/>
      <c r="N89" s="692"/>
      <c r="O89" s="692"/>
      <c r="P89" s="692" t="s">
        <v>357</v>
      </c>
      <c r="Q89" s="692" t="s">
        <v>4804</v>
      </c>
      <c r="R89" s="692" t="s">
        <v>5558</v>
      </c>
      <c r="S89" s="692">
        <v>22606231</v>
      </c>
      <c r="T89" s="692">
        <v>22606231</v>
      </c>
      <c r="U89" s="692" t="s">
        <v>3832</v>
      </c>
      <c r="V89" s="692" t="s">
        <v>2289</v>
      </c>
      <c r="W89" s="692"/>
      <c r="X89" s="761"/>
      <c r="Z89" s="713"/>
      <c r="AA89" s="10"/>
      <c r="AB89" s="8"/>
      <c r="AC89" s="8"/>
      <c r="AD89" s="8"/>
      <c r="AE89" s="8"/>
      <c r="AF89" s="8"/>
      <c r="AG89" s="8"/>
      <c r="AH89" s="761"/>
      <c r="AI89" s="761"/>
    </row>
    <row r="90" spans="1:35" ht="15.75">
      <c r="A90" s="692" t="s">
        <v>2371</v>
      </c>
      <c r="B90" s="692" t="s">
        <v>207</v>
      </c>
      <c r="D90" s="692" t="s">
        <v>1156</v>
      </c>
      <c r="E90" s="692" t="s">
        <v>2291</v>
      </c>
      <c r="F90" s="692" t="s">
        <v>2292</v>
      </c>
      <c r="G90" s="692" t="s">
        <v>298</v>
      </c>
      <c r="H90" s="692" t="s">
        <v>4</v>
      </c>
      <c r="I90" s="692" t="s">
        <v>126</v>
      </c>
      <c r="J90" s="692" t="s">
        <v>3</v>
      </c>
      <c r="K90" s="692" t="s">
        <v>3</v>
      </c>
      <c r="L90" s="692" t="str">
        <f t="shared" si="1"/>
        <v>5-01-01</v>
      </c>
      <c r="M90" s="692"/>
      <c r="N90" s="692"/>
      <c r="O90" s="692"/>
      <c r="P90" s="692" t="s">
        <v>5698</v>
      </c>
      <c r="Q90" s="692" t="s">
        <v>4804</v>
      </c>
      <c r="R90" s="692" t="s">
        <v>5848</v>
      </c>
      <c r="S90" s="692">
        <v>26660229</v>
      </c>
      <c r="T90" s="692">
        <v>26660229</v>
      </c>
      <c r="U90" s="692" t="s">
        <v>3576</v>
      </c>
      <c r="V90" s="692" t="s">
        <v>2293</v>
      </c>
      <c r="W90" s="692"/>
      <c r="X90" s="761"/>
      <c r="Z90" s="713"/>
      <c r="AA90" s="10"/>
      <c r="AB90" s="8"/>
      <c r="AC90" s="8"/>
      <c r="AD90" s="8"/>
      <c r="AE90" s="8"/>
      <c r="AF90" s="8"/>
      <c r="AG90" s="8"/>
      <c r="AH90" s="761"/>
      <c r="AI90" s="761"/>
    </row>
    <row r="91" spans="1:35" ht="15.75">
      <c r="A91" s="692" t="s">
        <v>2199</v>
      </c>
      <c r="B91" s="692" t="s">
        <v>160</v>
      </c>
      <c r="D91" s="692" t="s">
        <v>894</v>
      </c>
      <c r="E91" s="692" t="s">
        <v>2294</v>
      </c>
      <c r="F91" s="692" t="s">
        <v>2295</v>
      </c>
      <c r="G91" s="692" t="s">
        <v>298</v>
      </c>
      <c r="H91" s="692" t="s">
        <v>6</v>
      </c>
      <c r="I91" s="692" t="s">
        <v>126</v>
      </c>
      <c r="J91" s="692" t="s">
        <v>3</v>
      </c>
      <c r="K91" s="692" t="s">
        <v>3</v>
      </c>
      <c r="L91" s="692" t="str">
        <f t="shared" si="1"/>
        <v>5-01-01</v>
      </c>
      <c r="M91" s="692"/>
      <c r="N91" s="692"/>
      <c r="O91" s="692"/>
      <c r="P91" s="692" t="s">
        <v>5699</v>
      </c>
      <c r="Q91" s="692" t="s">
        <v>4804</v>
      </c>
      <c r="R91" s="692" t="s">
        <v>5802</v>
      </c>
      <c r="S91" s="692">
        <v>26660765</v>
      </c>
      <c r="T91" s="692">
        <v>26660765</v>
      </c>
      <c r="U91" s="692" t="s">
        <v>4126</v>
      </c>
      <c r="V91" s="692" t="s">
        <v>2296</v>
      </c>
      <c r="W91" s="692"/>
      <c r="X91" s="761"/>
      <c r="Z91" s="713"/>
      <c r="AA91" s="10"/>
      <c r="AB91" s="8"/>
      <c r="AC91" s="8"/>
      <c r="AD91" s="8"/>
      <c r="AE91" s="8"/>
      <c r="AF91" s="8"/>
      <c r="AG91" s="8"/>
      <c r="AH91" s="761"/>
      <c r="AI91" s="761"/>
    </row>
    <row r="92" spans="1:35" ht="15.75">
      <c r="A92" s="692" t="s">
        <v>2636</v>
      </c>
      <c r="B92" s="692" t="s">
        <v>176</v>
      </c>
      <c r="D92" s="692" t="s">
        <v>1157</v>
      </c>
      <c r="E92" s="692" t="s">
        <v>2297</v>
      </c>
      <c r="F92" s="692" t="s">
        <v>2298</v>
      </c>
      <c r="G92" s="692" t="s">
        <v>798</v>
      </c>
      <c r="H92" s="692" t="s">
        <v>3</v>
      </c>
      <c r="I92" s="692" t="s">
        <v>126</v>
      </c>
      <c r="J92" s="692" t="s">
        <v>4</v>
      </c>
      <c r="K92" s="692" t="s">
        <v>3</v>
      </c>
      <c r="L92" s="692" t="str">
        <f t="shared" si="1"/>
        <v>5-02-01</v>
      </c>
      <c r="M92" s="692"/>
      <c r="N92" s="692"/>
      <c r="O92" s="692"/>
      <c r="P92" s="692" t="s">
        <v>798</v>
      </c>
      <c r="Q92" s="692" t="s">
        <v>4804</v>
      </c>
      <c r="R92" s="692" t="s">
        <v>4826</v>
      </c>
      <c r="S92" s="692">
        <v>26855115</v>
      </c>
      <c r="T92" s="692">
        <v>26855808</v>
      </c>
      <c r="U92" s="692" t="s">
        <v>5825</v>
      </c>
      <c r="V92" s="692" t="s">
        <v>5559</v>
      </c>
      <c r="W92" s="692"/>
      <c r="X92" s="761"/>
      <c r="Z92" s="713"/>
      <c r="AA92" s="10"/>
      <c r="AB92" s="8"/>
      <c r="AC92" s="8"/>
      <c r="AD92" s="8"/>
      <c r="AE92" s="8"/>
      <c r="AF92" s="8"/>
      <c r="AG92" s="8"/>
      <c r="AH92" s="761"/>
      <c r="AI92" s="761"/>
    </row>
    <row r="93" spans="1:35" ht="15.75">
      <c r="A93" s="692" t="s">
        <v>2744</v>
      </c>
      <c r="B93" s="692" t="s">
        <v>478</v>
      </c>
      <c r="D93" s="692" t="s">
        <v>191</v>
      </c>
      <c r="E93" s="692" t="s">
        <v>2299</v>
      </c>
      <c r="F93" s="692" t="s">
        <v>3479</v>
      </c>
      <c r="G93" s="692" t="s">
        <v>125</v>
      </c>
      <c r="H93" s="692" t="s">
        <v>3</v>
      </c>
      <c r="I93" s="692" t="s">
        <v>126</v>
      </c>
      <c r="J93" s="692" t="s">
        <v>5</v>
      </c>
      <c r="K93" s="692" t="s">
        <v>3</v>
      </c>
      <c r="L93" s="692" t="str">
        <f t="shared" si="1"/>
        <v>5-03-01</v>
      </c>
      <c r="M93" s="692"/>
      <c r="N93" s="692"/>
      <c r="O93" s="692"/>
      <c r="P93" s="692" t="s">
        <v>125</v>
      </c>
      <c r="Q93" s="692" t="s">
        <v>4804</v>
      </c>
      <c r="R93" s="692" t="s">
        <v>5560</v>
      </c>
      <c r="S93" s="692">
        <v>26800219</v>
      </c>
      <c r="T93" s="692">
        <v>26800219</v>
      </c>
      <c r="U93" s="692" t="s">
        <v>3577</v>
      </c>
      <c r="V93" s="692" t="s">
        <v>4420</v>
      </c>
      <c r="W93" s="692"/>
      <c r="X93" s="761"/>
      <c r="Z93" s="713"/>
      <c r="AA93" s="10"/>
      <c r="AB93" s="8"/>
      <c r="AC93" s="8"/>
      <c r="AD93" s="8"/>
      <c r="AE93" s="8"/>
      <c r="AF93" s="8"/>
      <c r="AG93" s="8"/>
      <c r="AH93" s="761"/>
      <c r="AI93" s="761"/>
    </row>
    <row r="94" spans="1:35" ht="15.75">
      <c r="A94" s="692" t="s">
        <v>2225</v>
      </c>
      <c r="B94" s="692" t="s">
        <v>1124</v>
      </c>
      <c r="D94" s="692" t="s">
        <v>194</v>
      </c>
      <c r="E94" s="692" t="s">
        <v>2300</v>
      </c>
      <c r="F94" s="692" t="s">
        <v>2301</v>
      </c>
      <c r="G94" s="692" t="s">
        <v>298</v>
      </c>
      <c r="H94" s="692" t="s">
        <v>5</v>
      </c>
      <c r="I94" s="692" t="s">
        <v>126</v>
      </c>
      <c r="J94" s="692" t="s">
        <v>6</v>
      </c>
      <c r="K94" s="692" t="s">
        <v>3</v>
      </c>
      <c r="L94" s="692" t="str">
        <f t="shared" si="1"/>
        <v>5-04-01</v>
      </c>
      <c r="M94" s="692"/>
      <c r="N94" s="692"/>
      <c r="O94" s="692"/>
      <c r="P94" s="692" t="s">
        <v>299</v>
      </c>
      <c r="Q94" s="692" t="s">
        <v>4804</v>
      </c>
      <c r="R94" s="692" t="s">
        <v>3559</v>
      </c>
      <c r="S94" s="692">
        <v>26711116</v>
      </c>
      <c r="T94" s="692">
        <v>26711116</v>
      </c>
      <c r="U94" s="692" t="s">
        <v>5876</v>
      </c>
      <c r="V94" s="692" t="s">
        <v>5877</v>
      </c>
      <c r="W94" s="692"/>
      <c r="X94" s="761" t="s">
        <v>656</v>
      </c>
      <c r="Z94" s="713"/>
      <c r="AA94" s="10"/>
      <c r="AB94" s="8"/>
      <c r="AC94" s="8"/>
      <c r="AD94" s="8"/>
      <c r="AE94" s="8"/>
      <c r="AF94" s="8" t="s">
        <v>4493</v>
      </c>
      <c r="AG94" s="8"/>
      <c r="AH94" s="761" t="s">
        <v>4493</v>
      </c>
      <c r="AI94" s="761"/>
    </row>
    <row r="95" spans="1:35" ht="15.75">
      <c r="A95" s="692" t="s">
        <v>2526</v>
      </c>
      <c r="B95" s="692" t="s">
        <v>363</v>
      </c>
      <c r="D95" s="692" t="s">
        <v>204</v>
      </c>
      <c r="E95" s="692" t="s">
        <v>2302</v>
      </c>
      <c r="F95" s="692" t="s">
        <v>2303</v>
      </c>
      <c r="G95" s="692" t="s">
        <v>558</v>
      </c>
      <c r="H95" s="692" t="s">
        <v>3</v>
      </c>
      <c r="I95" s="692" t="s">
        <v>126</v>
      </c>
      <c r="J95" s="692" t="s">
        <v>8</v>
      </c>
      <c r="K95" s="692" t="s">
        <v>3</v>
      </c>
      <c r="L95" s="692" t="str">
        <f t="shared" si="1"/>
        <v>5-06-01</v>
      </c>
      <c r="M95" s="692"/>
      <c r="N95" s="692"/>
      <c r="O95" s="692"/>
      <c r="P95" s="692" t="s">
        <v>558</v>
      </c>
      <c r="Q95" s="692" t="s">
        <v>4804</v>
      </c>
      <c r="R95" s="692" t="s">
        <v>5800</v>
      </c>
      <c r="S95" s="692">
        <v>26686002</v>
      </c>
      <c r="T95" s="692">
        <v>26690113</v>
      </c>
      <c r="U95" s="692" t="s">
        <v>4631</v>
      </c>
      <c r="V95" s="692" t="s">
        <v>2304</v>
      </c>
      <c r="W95" s="692"/>
      <c r="X95" s="761" t="s">
        <v>337</v>
      </c>
      <c r="Z95" s="713"/>
      <c r="AA95" s="10"/>
      <c r="AB95" s="8"/>
      <c r="AC95" s="8"/>
      <c r="AD95" s="8"/>
      <c r="AE95" s="8"/>
      <c r="AF95" s="8"/>
      <c r="AG95" s="8"/>
      <c r="AH95" s="761"/>
      <c r="AI95" s="761"/>
    </row>
    <row r="96" spans="1:35" ht="15.75">
      <c r="A96" s="692" t="s">
        <v>2524</v>
      </c>
      <c r="B96" s="692" t="s">
        <v>362</v>
      </c>
      <c r="D96" s="692" t="s">
        <v>197</v>
      </c>
      <c r="E96" s="692" t="s">
        <v>2305</v>
      </c>
      <c r="F96" s="692" t="s">
        <v>2306</v>
      </c>
      <c r="G96" s="692" t="s">
        <v>558</v>
      </c>
      <c r="H96" s="692" t="s">
        <v>5</v>
      </c>
      <c r="I96" s="692" t="s">
        <v>126</v>
      </c>
      <c r="J96" s="692" t="s">
        <v>11</v>
      </c>
      <c r="K96" s="692" t="s">
        <v>3</v>
      </c>
      <c r="L96" s="692" t="str">
        <f t="shared" si="1"/>
        <v>5-08-01</v>
      </c>
      <c r="M96" s="692"/>
      <c r="N96" s="692"/>
      <c r="O96" s="692"/>
      <c r="P96" s="692" t="s">
        <v>723</v>
      </c>
      <c r="Q96" s="692" t="s">
        <v>4804</v>
      </c>
      <c r="R96" s="692" t="s">
        <v>3833</v>
      </c>
      <c r="S96" s="692">
        <v>26956091</v>
      </c>
      <c r="T96" s="692">
        <v>26956000</v>
      </c>
      <c r="U96" s="692" t="s">
        <v>3578</v>
      </c>
      <c r="V96" s="692" t="s">
        <v>2307</v>
      </c>
      <c r="W96" s="692"/>
      <c r="X96" s="761" t="s">
        <v>948</v>
      </c>
      <c r="Z96" s="713"/>
      <c r="AA96" s="10"/>
      <c r="AB96" s="8"/>
      <c r="AC96" s="8"/>
      <c r="AD96" s="8"/>
      <c r="AE96" s="8"/>
      <c r="AF96" s="8"/>
      <c r="AG96" s="8"/>
      <c r="AH96" s="761"/>
      <c r="AI96" s="761"/>
    </row>
    <row r="97" spans="1:35" ht="15.75">
      <c r="A97" s="692" t="s">
        <v>2587</v>
      </c>
      <c r="B97" s="692" t="s">
        <v>392</v>
      </c>
      <c r="D97" s="692" t="s">
        <v>206</v>
      </c>
      <c r="E97" s="692" t="s">
        <v>2308</v>
      </c>
      <c r="F97" s="692" t="s">
        <v>2309</v>
      </c>
      <c r="G97" s="692" t="s">
        <v>298</v>
      </c>
      <c r="H97" s="692" t="s">
        <v>3</v>
      </c>
      <c r="I97" s="692" t="s">
        <v>126</v>
      </c>
      <c r="J97" s="692" t="s">
        <v>13</v>
      </c>
      <c r="K97" s="692" t="s">
        <v>3</v>
      </c>
      <c r="L97" s="692" t="str">
        <f t="shared" si="1"/>
        <v>5-10-01</v>
      </c>
      <c r="M97" s="692"/>
      <c r="N97" s="692"/>
      <c r="O97" s="692"/>
      <c r="P97" s="692" t="s">
        <v>256</v>
      </c>
      <c r="Q97" s="692" t="s">
        <v>4804</v>
      </c>
      <c r="R97" s="692" t="s">
        <v>4827</v>
      </c>
      <c r="S97" s="692">
        <v>26799038</v>
      </c>
      <c r="T97" s="692">
        <v>26799038</v>
      </c>
      <c r="U97" s="692" t="s">
        <v>4127</v>
      </c>
      <c r="V97" s="692" t="s">
        <v>2310</v>
      </c>
      <c r="W97" s="692"/>
      <c r="X97" s="761"/>
      <c r="Z97" s="713"/>
      <c r="AA97" s="10"/>
      <c r="AB97" s="8"/>
      <c r="AC97" s="8"/>
      <c r="AD97" s="8"/>
      <c r="AE97" s="8"/>
      <c r="AF97" s="8"/>
      <c r="AG97" s="8"/>
      <c r="AH97" s="761"/>
      <c r="AI97" s="761"/>
    </row>
    <row r="98" spans="1:35" ht="15.75">
      <c r="A98" s="692" t="s">
        <v>2619</v>
      </c>
      <c r="B98" s="692" t="s">
        <v>411</v>
      </c>
      <c r="D98" s="692" t="s">
        <v>215</v>
      </c>
      <c r="E98" s="692" t="s">
        <v>2312</v>
      </c>
      <c r="F98" s="692" t="s">
        <v>2313</v>
      </c>
      <c r="G98" s="692" t="s">
        <v>81</v>
      </c>
      <c r="H98" s="692" t="s">
        <v>7</v>
      </c>
      <c r="I98" s="692" t="s">
        <v>80</v>
      </c>
      <c r="J98" s="692" t="s">
        <v>3</v>
      </c>
      <c r="K98" s="692" t="s">
        <v>3</v>
      </c>
      <c r="L98" s="692" t="str">
        <f t="shared" si="1"/>
        <v>6-01-01</v>
      </c>
      <c r="M98" s="692"/>
      <c r="N98" s="692"/>
      <c r="O98" s="692"/>
      <c r="P98" s="692" t="s">
        <v>81</v>
      </c>
      <c r="Q98" s="692" t="s">
        <v>4804</v>
      </c>
      <c r="R98" s="692" t="s">
        <v>4421</v>
      </c>
      <c r="S98" s="692">
        <v>21057071</v>
      </c>
      <c r="T98" s="692">
        <v>21057071</v>
      </c>
      <c r="U98" s="692" t="s">
        <v>3579</v>
      </c>
      <c r="V98" s="692" t="s">
        <v>2314</v>
      </c>
      <c r="W98" s="692"/>
      <c r="X98" s="761" t="s">
        <v>935</v>
      </c>
      <c r="Z98" s="713"/>
      <c r="AA98" s="10"/>
      <c r="AB98" s="8"/>
      <c r="AC98" s="8"/>
      <c r="AD98" s="8"/>
      <c r="AE98" s="8"/>
      <c r="AF98" s="8"/>
      <c r="AG98" s="8"/>
      <c r="AH98" s="761" t="s">
        <v>4493</v>
      </c>
      <c r="AI98" s="761"/>
    </row>
    <row r="99" spans="1:35" ht="15.75">
      <c r="A99" s="692" t="s">
        <v>2222</v>
      </c>
      <c r="B99" s="692" t="s">
        <v>174</v>
      </c>
      <c r="D99" s="692" t="s">
        <v>219</v>
      </c>
      <c r="E99" s="692" t="s">
        <v>2315</v>
      </c>
      <c r="F99" s="692" t="s">
        <v>2316</v>
      </c>
      <c r="G99" s="692" t="s">
        <v>81</v>
      </c>
      <c r="H99" s="692" t="s">
        <v>7</v>
      </c>
      <c r="I99" s="692" t="s">
        <v>80</v>
      </c>
      <c r="J99" s="692" t="s">
        <v>3</v>
      </c>
      <c r="K99" s="692" t="s">
        <v>17</v>
      </c>
      <c r="L99" s="692" t="str">
        <f t="shared" si="1"/>
        <v>6-01-12</v>
      </c>
      <c r="M99" s="692"/>
      <c r="N99" s="692"/>
      <c r="O99" s="692"/>
      <c r="P99" s="692" t="s">
        <v>1162</v>
      </c>
      <c r="Q99" s="692" t="s">
        <v>4804</v>
      </c>
      <c r="R99" s="692" t="s">
        <v>2317</v>
      </c>
      <c r="S99" s="692">
        <v>26610262</v>
      </c>
      <c r="T99" s="692">
        <v>26610248</v>
      </c>
      <c r="U99" s="692" t="s">
        <v>4632</v>
      </c>
      <c r="V99" s="692" t="s">
        <v>5561</v>
      </c>
      <c r="W99" s="692"/>
      <c r="X99" s="761"/>
      <c r="Z99" s="713"/>
      <c r="AA99" s="10"/>
      <c r="AB99" s="8"/>
      <c r="AC99" s="8"/>
      <c r="AD99" s="8"/>
      <c r="AE99" s="8"/>
      <c r="AF99" s="8"/>
      <c r="AG99" s="8"/>
      <c r="AH99" s="761"/>
      <c r="AI99" s="761"/>
    </row>
    <row r="100" spans="1:35" ht="15.75">
      <c r="A100" s="692" t="s">
        <v>2221</v>
      </c>
      <c r="B100" s="692" t="s">
        <v>171</v>
      </c>
      <c r="D100" s="692" t="s">
        <v>2318</v>
      </c>
      <c r="E100" s="692" t="s">
        <v>2319</v>
      </c>
      <c r="F100" s="692" t="s">
        <v>2320</v>
      </c>
      <c r="G100" s="692" t="s">
        <v>81</v>
      </c>
      <c r="H100" s="692" t="s">
        <v>11</v>
      </c>
      <c r="I100" s="692" t="s">
        <v>80</v>
      </c>
      <c r="J100" s="692" t="s">
        <v>4</v>
      </c>
      <c r="K100" s="692" t="s">
        <v>3</v>
      </c>
      <c r="L100" s="692" t="str">
        <f t="shared" si="1"/>
        <v>6-02-01</v>
      </c>
      <c r="M100" s="692"/>
      <c r="N100" s="692"/>
      <c r="O100" s="692"/>
      <c r="P100" s="692" t="s">
        <v>816</v>
      </c>
      <c r="Q100" s="692" t="s">
        <v>4804</v>
      </c>
      <c r="R100" s="692" t="s">
        <v>3834</v>
      </c>
      <c r="S100" s="692">
        <v>26355016</v>
      </c>
      <c r="T100" s="692">
        <v>26355016</v>
      </c>
      <c r="U100" s="692" t="s">
        <v>3835</v>
      </c>
      <c r="V100" s="692" t="s">
        <v>3836</v>
      </c>
      <c r="W100" s="692"/>
      <c r="X100" s="761"/>
      <c r="Z100" s="713"/>
      <c r="AA100" s="10"/>
      <c r="AB100" s="8"/>
      <c r="AC100" s="8"/>
      <c r="AD100" s="8"/>
      <c r="AE100" s="8"/>
      <c r="AF100" s="8"/>
      <c r="AG100" s="8"/>
      <c r="AH100" s="761"/>
      <c r="AI100" s="761"/>
    </row>
    <row r="101" spans="1:35" ht="15.75">
      <c r="A101" s="692" t="s">
        <v>2583</v>
      </c>
      <c r="B101" s="692" t="s">
        <v>391</v>
      </c>
      <c r="D101" s="692" t="s">
        <v>1736</v>
      </c>
      <c r="E101" s="692" t="s">
        <v>2321</v>
      </c>
      <c r="F101" s="692" t="s">
        <v>2322</v>
      </c>
      <c r="G101" s="692" t="s">
        <v>81</v>
      </c>
      <c r="H101" s="692" t="s">
        <v>6</v>
      </c>
      <c r="I101" s="692" t="s">
        <v>80</v>
      </c>
      <c r="J101" s="692" t="s">
        <v>6</v>
      </c>
      <c r="K101" s="692" t="s">
        <v>3</v>
      </c>
      <c r="L101" s="692" t="str">
        <f t="shared" si="1"/>
        <v>6-04-01</v>
      </c>
      <c r="M101" s="692"/>
      <c r="N101" s="692"/>
      <c r="O101" s="692"/>
      <c r="P101" s="692" t="s">
        <v>801</v>
      </c>
      <c r="Q101" s="692" t="s">
        <v>4804</v>
      </c>
      <c r="R101" s="692" t="s">
        <v>4422</v>
      </c>
      <c r="S101" s="692">
        <v>26397360</v>
      </c>
      <c r="T101" s="692">
        <v>26399069</v>
      </c>
      <c r="U101" s="692" t="s">
        <v>5826</v>
      </c>
      <c r="V101" s="692" t="s">
        <v>3580</v>
      </c>
      <c r="W101" s="692"/>
      <c r="X101" s="761" t="s">
        <v>406</v>
      </c>
      <c r="Z101" s="713"/>
      <c r="AA101" s="10"/>
      <c r="AB101" s="8"/>
      <c r="AC101" s="8"/>
      <c r="AD101" s="8"/>
      <c r="AE101" s="8"/>
      <c r="AF101" s="8" t="s">
        <v>4493</v>
      </c>
      <c r="AG101" s="8"/>
      <c r="AH101" s="761"/>
      <c r="AI101" s="761"/>
    </row>
    <row r="102" spans="1:35" ht="15.75">
      <c r="A102" s="692" t="s">
        <v>2840</v>
      </c>
      <c r="B102" s="692" t="s">
        <v>517</v>
      </c>
      <c r="D102" s="692" t="s">
        <v>1126</v>
      </c>
      <c r="E102" s="692" t="s">
        <v>2324</v>
      </c>
      <c r="F102" s="692" t="s">
        <v>2325</v>
      </c>
      <c r="G102" s="692" t="s">
        <v>79</v>
      </c>
      <c r="H102" s="692" t="s">
        <v>12</v>
      </c>
      <c r="I102" s="692" t="s">
        <v>80</v>
      </c>
      <c r="J102" s="692" t="s">
        <v>13</v>
      </c>
      <c r="K102" s="692" t="s">
        <v>3</v>
      </c>
      <c r="L102" s="692" t="str">
        <f t="shared" si="1"/>
        <v>6-10-01</v>
      </c>
      <c r="M102" s="692"/>
      <c r="N102" s="692"/>
      <c r="O102" s="692"/>
      <c r="P102" s="692" t="s">
        <v>836</v>
      </c>
      <c r="Q102" s="692" t="s">
        <v>4804</v>
      </c>
      <c r="R102" s="692" t="s">
        <v>5842</v>
      </c>
      <c r="S102" s="692">
        <v>27833134</v>
      </c>
      <c r="T102" s="692">
        <v>27833134</v>
      </c>
      <c r="U102" s="692" t="s">
        <v>3581</v>
      </c>
      <c r="V102" s="692" t="s">
        <v>3582</v>
      </c>
      <c r="W102" s="692"/>
      <c r="X102" s="761" t="s">
        <v>1775</v>
      </c>
      <c r="Z102" s="713"/>
      <c r="AA102" s="10"/>
      <c r="AB102" s="8"/>
      <c r="AC102" s="8"/>
      <c r="AD102" s="8"/>
      <c r="AE102" s="8"/>
      <c r="AF102" s="8"/>
      <c r="AG102" s="8"/>
      <c r="AH102" s="761"/>
      <c r="AI102" s="761"/>
    </row>
    <row r="103" spans="1:35" ht="15.75">
      <c r="A103" s="692" t="s">
        <v>2748</v>
      </c>
      <c r="B103" s="692" t="s">
        <v>480</v>
      </c>
      <c r="D103" s="692" t="s">
        <v>227</v>
      </c>
      <c r="E103" s="692" t="s">
        <v>2329</v>
      </c>
      <c r="F103" s="692" t="s">
        <v>4609</v>
      </c>
      <c r="G103" s="692" t="s">
        <v>5729</v>
      </c>
      <c r="H103" s="692" t="s">
        <v>4</v>
      </c>
      <c r="I103" s="692" t="s">
        <v>68</v>
      </c>
      <c r="J103" s="692" t="s">
        <v>3</v>
      </c>
      <c r="K103" s="692" t="s">
        <v>3</v>
      </c>
      <c r="L103" s="692" t="str">
        <f t="shared" si="1"/>
        <v>7-01-01</v>
      </c>
      <c r="M103" s="692"/>
      <c r="N103" s="692"/>
      <c r="O103" s="692"/>
      <c r="P103" s="692" t="s">
        <v>839</v>
      </c>
      <c r="Q103" s="692" t="s">
        <v>4804</v>
      </c>
      <c r="R103" s="692" t="s">
        <v>5562</v>
      </c>
      <c r="S103" s="692">
        <v>27580980</v>
      </c>
      <c r="T103" s="692">
        <v>27580980</v>
      </c>
      <c r="U103" s="692" t="s">
        <v>2330</v>
      </c>
      <c r="V103" s="692" t="s">
        <v>2331</v>
      </c>
      <c r="W103" s="692"/>
      <c r="X103" s="761"/>
      <c r="Z103" s="713"/>
      <c r="AA103" s="10"/>
      <c r="AB103" s="8"/>
      <c r="AC103" s="8"/>
      <c r="AD103" s="8"/>
      <c r="AE103" s="8"/>
      <c r="AF103" s="8" t="s">
        <v>4493</v>
      </c>
      <c r="AG103" s="8"/>
      <c r="AH103" s="761"/>
      <c r="AI103" s="761"/>
    </row>
    <row r="104" spans="1:35" ht="15.75">
      <c r="A104" s="692" t="s">
        <v>2234</v>
      </c>
      <c r="B104" s="692" t="s">
        <v>188</v>
      </c>
      <c r="D104" s="692" t="s">
        <v>1738</v>
      </c>
      <c r="E104" s="692" t="s">
        <v>2332</v>
      </c>
      <c r="F104" s="692" t="s">
        <v>2333</v>
      </c>
      <c r="G104" s="692" t="s">
        <v>5729</v>
      </c>
      <c r="H104" s="692" t="s">
        <v>3</v>
      </c>
      <c r="I104" s="692" t="s">
        <v>68</v>
      </c>
      <c r="J104" s="692" t="s">
        <v>3</v>
      </c>
      <c r="K104" s="692" t="s">
        <v>3</v>
      </c>
      <c r="L104" s="692" t="str">
        <f t="shared" si="1"/>
        <v>7-01-01</v>
      </c>
      <c r="M104" s="692"/>
      <c r="N104" s="692"/>
      <c r="O104" s="692"/>
      <c r="P104" s="692" t="s">
        <v>2334</v>
      </c>
      <c r="Q104" s="692" t="s">
        <v>4804</v>
      </c>
      <c r="R104" s="692" t="s">
        <v>5563</v>
      </c>
      <c r="S104" s="692">
        <v>27580027</v>
      </c>
      <c r="T104" s="692">
        <v>27983652</v>
      </c>
      <c r="U104" s="692" t="s">
        <v>3583</v>
      </c>
      <c r="V104" s="692" t="s">
        <v>3584</v>
      </c>
      <c r="W104" s="692"/>
      <c r="X104" s="761" t="s">
        <v>300</v>
      </c>
      <c r="Z104" s="713"/>
      <c r="AA104" s="10"/>
      <c r="AB104" s="8"/>
      <c r="AC104" s="8"/>
      <c r="AD104" s="8"/>
      <c r="AE104" s="8"/>
      <c r="AF104" s="8"/>
      <c r="AG104" s="8"/>
      <c r="AH104" s="761"/>
      <c r="AI104" s="761"/>
    </row>
    <row r="105" spans="1:35" ht="15.75">
      <c r="A105" s="692" t="s">
        <v>2236</v>
      </c>
      <c r="B105" s="692" t="s">
        <v>1724</v>
      </c>
      <c r="D105" s="692" t="s">
        <v>1121</v>
      </c>
      <c r="E105" s="692" t="s">
        <v>2337</v>
      </c>
      <c r="F105" s="692" t="s">
        <v>2338</v>
      </c>
      <c r="G105" s="692" t="s">
        <v>111</v>
      </c>
      <c r="H105" s="692" t="s">
        <v>4</v>
      </c>
      <c r="I105" s="692" t="s">
        <v>110</v>
      </c>
      <c r="J105" s="692" t="s">
        <v>3</v>
      </c>
      <c r="K105" s="692" t="s">
        <v>5</v>
      </c>
      <c r="L105" s="692" t="str">
        <f t="shared" si="1"/>
        <v>4-01-03</v>
      </c>
      <c r="M105" s="692"/>
      <c r="N105" s="692"/>
      <c r="O105" s="692"/>
      <c r="P105" s="692" t="s">
        <v>1781</v>
      </c>
      <c r="Q105" s="692" t="s">
        <v>4804</v>
      </c>
      <c r="R105" s="692" t="s">
        <v>4128</v>
      </c>
      <c r="S105" s="692">
        <v>22606296</v>
      </c>
      <c r="T105" s="692">
        <v>22607657</v>
      </c>
      <c r="U105" s="692" t="s">
        <v>3837</v>
      </c>
      <c r="V105" s="692" t="s">
        <v>4828</v>
      </c>
      <c r="W105" s="692"/>
      <c r="X105" s="761"/>
      <c r="Z105" s="713"/>
      <c r="AA105" s="10"/>
      <c r="AB105" s="8"/>
      <c r="AC105" s="8"/>
      <c r="AD105" s="8"/>
      <c r="AE105" s="8"/>
      <c r="AF105" s="8"/>
      <c r="AG105" s="8"/>
      <c r="AH105" s="761"/>
      <c r="AI105" s="761"/>
    </row>
    <row r="106" spans="1:35" ht="15.75">
      <c r="A106" s="692" t="s">
        <v>2243</v>
      </c>
      <c r="B106" s="692" t="s">
        <v>153</v>
      </c>
      <c r="D106" s="692" t="s">
        <v>229</v>
      </c>
      <c r="E106" s="692" t="s">
        <v>2339</v>
      </c>
      <c r="F106" s="692" t="s">
        <v>2340</v>
      </c>
      <c r="G106" s="692" t="s">
        <v>111</v>
      </c>
      <c r="H106" s="692" t="s">
        <v>7</v>
      </c>
      <c r="I106" s="692" t="s">
        <v>110</v>
      </c>
      <c r="J106" s="692" t="s">
        <v>5</v>
      </c>
      <c r="K106" s="692" t="s">
        <v>4</v>
      </c>
      <c r="L106" s="692" t="str">
        <f t="shared" si="1"/>
        <v>4-03-02</v>
      </c>
      <c r="M106" s="692"/>
      <c r="N106" s="692"/>
      <c r="O106" s="692"/>
      <c r="P106" s="692" t="s">
        <v>510</v>
      </c>
      <c r="Q106" s="692" t="s">
        <v>4804</v>
      </c>
      <c r="R106" s="692" t="s">
        <v>5539</v>
      </c>
      <c r="S106" s="692">
        <v>22443552</v>
      </c>
      <c r="T106" s="692">
        <v>22443552</v>
      </c>
      <c r="U106" s="692" t="s">
        <v>4423</v>
      </c>
      <c r="V106" s="692" t="s">
        <v>2341</v>
      </c>
      <c r="W106" s="692"/>
      <c r="X106" s="761" t="s">
        <v>779</v>
      </c>
      <c r="Z106" s="713"/>
      <c r="AA106" s="10"/>
      <c r="AB106" s="8"/>
      <c r="AC106" s="8"/>
      <c r="AD106" s="8"/>
      <c r="AE106" s="8"/>
      <c r="AF106" s="8" t="s">
        <v>4493</v>
      </c>
      <c r="AG106" s="8"/>
      <c r="AH106" s="761"/>
      <c r="AI106" s="761"/>
    </row>
    <row r="107" spans="1:35" ht="15.75">
      <c r="A107" s="692" t="s">
        <v>2253</v>
      </c>
      <c r="B107" s="692" t="s">
        <v>1128</v>
      </c>
      <c r="D107" s="692" t="s">
        <v>1146</v>
      </c>
      <c r="E107" s="692" t="s">
        <v>2344</v>
      </c>
      <c r="F107" s="692" t="s">
        <v>4056</v>
      </c>
      <c r="G107" s="692" t="s">
        <v>387</v>
      </c>
      <c r="H107" s="692" t="s">
        <v>3</v>
      </c>
      <c r="I107" s="692" t="s">
        <v>41</v>
      </c>
      <c r="J107" s="692" t="s">
        <v>388</v>
      </c>
      <c r="K107" s="692" t="s">
        <v>3</v>
      </c>
      <c r="L107" s="692" t="str">
        <f t="shared" si="1"/>
        <v>1-19-01</v>
      </c>
      <c r="M107" s="692"/>
      <c r="N107" s="692"/>
      <c r="O107" s="692"/>
      <c r="P107" s="692" t="s">
        <v>2345</v>
      </c>
      <c r="Q107" s="692" t="s">
        <v>4804</v>
      </c>
      <c r="R107" s="692" t="s">
        <v>4129</v>
      </c>
      <c r="S107" s="692">
        <v>27713020</v>
      </c>
      <c r="T107" s="692">
        <v>27713020</v>
      </c>
      <c r="U107" s="692" t="s">
        <v>4130</v>
      </c>
      <c r="V107" s="692" t="s">
        <v>2346</v>
      </c>
      <c r="W107" s="692"/>
      <c r="X107" s="761"/>
      <c r="Z107" s="713"/>
      <c r="AA107" s="10"/>
      <c r="AB107" s="8"/>
      <c r="AC107" s="8"/>
      <c r="AD107" s="8"/>
      <c r="AE107" s="8"/>
      <c r="AF107" s="8"/>
      <c r="AG107" s="8"/>
      <c r="AH107" s="761"/>
      <c r="AI107" s="761"/>
    </row>
    <row r="108" spans="1:35" ht="15.75">
      <c r="A108" s="692" t="s">
        <v>2240</v>
      </c>
      <c r="B108" s="692" t="s">
        <v>1735</v>
      </c>
      <c r="D108" s="692" t="s">
        <v>240</v>
      </c>
      <c r="E108" s="692" t="s">
        <v>2352</v>
      </c>
      <c r="F108" s="692" t="s">
        <v>2353</v>
      </c>
      <c r="G108" s="692" t="s">
        <v>81</v>
      </c>
      <c r="H108" s="692" t="s">
        <v>3</v>
      </c>
      <c r="I108" s="692" t="s">
        <v>80</v>
      </c>
      <c r="J108" s="692" t="s">
        <v>3</v>
      </c>
      <c r="K108" s="692" t="s">
        <v>11</v>
      </c>
      <c r="L108" s="692" t="str">
        <f t="shared" si="1"/>
        <v>6-01-08</v>
      </c>
      <c r="M108" s="692"/>
      <c r="N108" s="692"/>
      <c r="O108" s="692"/>
      <c r="P108" s="692" t="s">
        <v>734</v>
      </c>
      <c r="Q108" s="692" t="s">
        <v>4804</v>
      </c>
      <c r="R108" s="692" t="s">
        <v>2354</v>
      </c>
      <c r="S108" s="692">
        <v>26632984</v>
      </c>
      <c r="T108" s="692">
        <v>26632984</v>
      </c>
      <c r="U108" s="692" t="s">
        <v>3585</v>
      </c>
      <c r="V108" s="692" t="s">
        <v>2355</v>
      </c>
      <c r="W108" s="692"/>
      <c r="X108" s="761"/>
      <c r="Z108" s="713"/>
      <c r="AA108" s="10"/>
      <c r="AB108" s="8"/>
      <c r="AC108" s="8"/>
      <c r="AD108" s="8"/>
      <c r="AE108" s="8"/>
      <c r="AF108" s="8"/>
      <c r="AG108" s="8"/>
      <c r="AH108" s="761" t="s">
        <v>4493</v>
      </c>
      <c r="AI108" s="761"/>
    </row>
    <row r="109" spans="1:35" ht="15.75">
      <c r="A109" s="692" t="s">
        <v>2229</v>
      </c>
      <c r="B109" s="692" t="s">
        <v>154</v>
      </c>
      <c r="D109" s="692" t="s">
        <v>249</v>
      </c>
      <c r="E109" s="692" t="s">
        <v>2363</v>
      </c>
      <c r="F109" s="692" t="s">
        <v>2364</v>
      </c>
      <c r="G109" s="692" t="s">
        <v>4396</v>
      </c>
      <c r="H109" s="692" t="s">
        <v>6</v>
      </c>
      <c r="I109" s="692" t="s">
        <v>41</v>
      </c>
      <c r="J109" s="692" t="s">
        <v>18</v>
      </c>
      <c r="K109" s="692" t="s">
        <v>3</v>
      </c>
      <c r="L109" s="692" t="str">
        <f t="shared" si="1"/>
        <v>1-13-01</v>
      </c>
      <c r="M109" s="692"/>
      <c r="N109" s="692"/>
      <c r="O109" s="692"/>
      <c r="P109" s="692" t="s">
        <v>102</v>
      </c>
      <c r="Q109" s="692" t="s">
        <v>4804</v>
      </c>
      <c r="R109" s="692" t="s">
        <v>1174</v>
      </c>
      <c r="S109" s="692">
        <v>22350146</v>
      </c>
      <c r="T109" s="692">
        <v>22350146</v>
      </c>
      <c r="U109" s="692" t="s">
        <v>4633</v>
      </c>
      <c r="V109" s="692" t="s">
        <v>1175</v>
      </c>
      <c r="W109" s="692"/>
      <c r="X109" s="761"/>
      <c r="Z109" s="713"/>
      <c r="AA109" s="10"/>
      <c r="AB109" s="8"/>
      <c r="AC109" s="8"/>
      <c r="AD109" s="8"/>
      <c r="AE109" s="8"/>
      <c r="AF109" s="8"/>
      <c r="AG109" s="8"/>
      <c r="AH109" s="761"/>
      <c r="AI109" s="761"/>
    </row>
    <row r="110" spans="1:35" ht="15.75">
      <c r="A110" s="692" t="s">
        <v>2231</v>
      </c>
      <c r="B110" s="692" t="s">
        <v>159</v>
      </c>
      <c r="D110" s="692" t="s">
        <v>250</v>
      </c>
      <c r="E110" s="692" t="s">
        <v>2365</v>
      </c>
      <c r="F110" s="692" t="s">
        <v>2366</v>
      </c>
      <c r="G110" s="692" t="s">
        <v>750</v>
      </c>
      <c r="H110" s="692" t="s">
        <v>5</v>
      </c>
      <c r="I110" s="692" t="s">
        <v>68</v>
      </c>
      <c r="J110" s="692" t="s">
        <v>4</v>
      </c>
      <c r="K110" s="692" t="s">
        <v>7</v>
      </c>
      <c r="L110" s="692" t="str">
        <f t="shared" si="1"/>
        <v>7-02-05</v>
      </c>
      <c r="M110" s="692"/>
      <c r="N110" s="692"/>
      <c r="O110" s="692"/>
      <c r="P110" s="692" t="s">
        <v>856</v>
      </c>
      <c r="Q110" s="692" t="s">
        <v>4804</v>
      </c>
      <c r="R110" s="692" t="s">
        <v>2367</v>
      </c>
      <c r="S110" s="692">
        <v>27677180</v>
      </c>
      <c r="T110" s="692"/>
      <c r="U110" s="692" t="s">
        <v>3586</v>
      </c>
      <c r="V110" s="692" t="s">
        <v>2368</v>
      </c>
      <c r="W110" s="692"/>
      <c r="X110" s="761" t="s">
        <v>4290</v>
      </c>
      <c r="Z110" s="713"/>
      <c r="AA110" s="10"/>
      <c r="AB110" s="8"/>
      <c r="AC110" s="8"/>
      <c r="AD110" s="8"/>
      <c r="AE110" s="8"/>
      <c r="AF110" s="8" t="s">
        <v>4493</v>
      </c>
      <c r="AG110" s="8"/>
      <c r="AH110" s="761"/>
      <c r="AI110" s="761"/>
    </row>
    <row r="111" spans="1:35" ht="15.75">
      <c r="A111" s="692" t="s">
        <v>2090</v>
      </c>
      <c r="B111" s="692" t="s">
        <v>84</v>
      </c>
      <c r="D111" s="692" t="s">
        <v>207</v>
      </c>
      <c r="E111" s="692" t="s">
        <v>2371</v>
      </c>
      <c r="F111" s="692" t="s">
        <v>2372</v>
      </c>
      <c r="G111" s="692" t="s">
        <v>65</v>
      </c>
      <c r="H111" s="692" t="s">
        <v>12</v>
      </c>
      <c r="I111" s="692" t="s">
        <v>43</v>
      </c>
      <c r="J111" s="692" t="s">
        <v>4</v>
      </c>
      <c r="K111" s="692" t="s">
        <v>118</v>
      </c>
      <c r="L111" s="692" t="str">
        <f t="shared" si="1"/>
        <v>2-02-14</v>
      </c>
      <c r="M111" s="692"/>
      <c r="N111" s="692"/>
      <c r="O111" s="692"/>
      <c r="P111" s="692" t="s">
        <v>679</v>
      </c>
      <c r="Q111" s="692" t="s">
        <v>4804</v>
      </c>
      <c r="R111" s="692" t="s">
        <v>3554</v>
      </c>
      <c r="S111" s="692">
        <v>47005145</v>
      </c>
      <c r="T111" s="692"/>
      <c r="U111" s="692" t="s">
        <v>4424</v>
      </c>
      <c r="V111" s="692" t="s">
        <v>3838</v>
      </c>
      <c r="W111" s="692"/>
      <c r="X111" s="761" t="s">
        <v>790</v>
      </c>
      <c r="Z111" s="713"/>
      <c r="AA111" s="10"/>
      <c r="AB111" s="8"/>
      <c r="AC111" s="8"/>
      <c r="AD111" s="8"/>
      <c r="AE111" s="8"/>
      <c r="AF111" s="8"/>
      <c r="AG111" s="8"/>
      <c r="AH111" s="761"/>
      <c r="AI111" s="761"/>
    </row>
    <row r="112" spans="1:35" ht="15.75">
      <c r="A112" s="692" t="s">
        <v>2408</v>
      </c>
      <c r="B112" s="692" t="s">
        <v>269</v>
      </c>
      <c r="D112" s="692" t="s">
        <v>1134</v>
      </c>
      <c r="E112" s="692" t="s">
        <v>2381</v>
      </c>
      <c r="F112" s="692" t="s">
        <v>2382</v>
      </c>
      <c r="G112" s="692" t="s">
        <v>387</v>
      </c>
      <c r="H112" s="692" t="s">
        <v>12</v>
      </c>
      <c r="I112" s="692" t="s">
        <v>41</v>
      </c>
      <c r="J112" s="692" t="s">
        <v>388</v>
      </c>
      <c r="K112" s="692" t="s">
        <v>7</v>
      </c>
      <c r="L112" s="692" t="str">
        <f t="shared" si="1"/>
        <v>1-19-05</v>
      </c>
      <c r="M112" s="692"/>
      <c r="N112" s="692"/>
      <c r="O112" s="692"/>
      <c r="P112" s="692" t="s">
        <v>236</v>
      </c>
      <c r="Q112" s="692" t="s">
        <v>4804</v>
      </c>
      <c r="R112" s="692" t="s">
        <v>5564</v>
      </c>
      <c r="S112" s="692">
        <v>27311153</v>
      </c>
      <c r="T112" s="692"/>
      <c r="U112" s="692" t="s">
        <v>3587</v>
      </c>
      <c r="V112" s="692" t="s">
        <v>2384</v>
      </c>
      <c r="W112" s="692"/>
      <c r="X112" s="761"/>
      <c r="Z112" s="713"/>
      <c r="AA112" s="10"/>
      <c r="AB112" s="8"/>
      <c r="AC112" s="8"/>
      <c r="AD112" s="8"/>
      <c r="AE112" s="8"/>
      <c r="AF112" s="8"/>
      <c r="AG112" s="8"/>
      <c r="AH112" s="761"/>
      <c r="AI112" s="761"/>
    </row>
    <row r="113" spans="1:35" ht="15.75">
      <c r="A113" s="692" t="s">
        <v>2581</v>
      </c>
      <c r="B113" s="692" t="s">
        <v>390</v>
      </c>
      <c r="D113" s="692" t="s">
        <v>1064</v>
      </c>
      <c r="E113" s="692" t="s">
        <v>2385</v>
      </c>
      <c r="F113" s="692" t="s">
        <v>2386</v>
      </c>
      <c r="G113" s="692" t="s">
        <v>111</v>
      </c>
      <c r="H113" s="692" t="s">
        <v>9</v>
      </c>
      <c r="I113" s="692" t="s">
        <v>110</v>
      </c>
      <c r="J113" s="692" t="s">
        <v>3</v>
      </c>
      <c r="K113" s="692" t="s">
        <v>6</v>
      </c>
      <c r="L113" s="692" t="str">
        <f t="shared" si="1"/>
        <v>4-01-04</v>
      </c>
      <c r="M113" s="692"/>
      <c r="N113" s="692"/>
      <c r="O113" s="692"/>
      <c r="P113" s="692" t="s">
        <v>138</v>
      </c>
      <c r="Q113" s="692" t="s">
        <v>4804</v>
      </c>
      <c r="R113" s="692" t="s">
        <v>4829</v>
      </c>
      <c r="S113" s="692">
        <v>22935863</v>
      </c>
      <c r="T113" s="692">
        <v>22935863</v>
      </c>
      <c r="U113" s="692" t="s">
        <v>4425</v>
      </c>
      <c r="V113" s="692" t="s">
        <v>2387</v>
      </c>
      <c r="W113" s="692"/>
      <c r="X113" s="761"/>
      <c r="Z113" s="713"/>
      <c r="AA113" s="10"/>
      <c r="AB113" s="8"/>
      <c r="AC113" s="8"/>
      <c r="AD113" s="8"/>
      <c r="AE113" s="8"/>
      <c r="AF113" s="8"/>
      <c r="AG113" s="8"/>
      <c r="AH113" s="761"/>
      <c r="AI113" s="761"/>
    </row>
    <row r="114" spans="1:35" ht="15.75">
      <c r="A114" s="692" t="s">
        <v>2441</v>
      </c>
      <c r="B114" s="692" t="s">
        <v>1747</v>
      </c>
      <c r="D114" s="692" t="s">
        <v>896</v>
      </c>
      <c r="E114" s="692" t="s">
        <v>2388</v>
      </c>
      <c r="F114" s="692" t="s">
        <v>4057</v>
      </c>
      <c r="G114" s="692" t="s">
        <v>387</v>
      </c>
      <c r="H114" s="692" t="s">
        <v>5</v>
      </c>
      <c r="I114" s="692" t="s">
        <v>41</v>
      </c>
      <c r="J114" s="692" t="s">
        <v>388</v>
      </c>
      <c r="K114" s="692" t="s">
        <v>5</v>
      </c>
      <c r="L114" s="692" t="str">
        <f t="shared" si="1"/>
        <v>1-19-03</v>
      </c>
      <c r="M114" s="692"/>
      <c r="N114" s="692"/>
      <c r="O114" s="692"/>
      <c r="P114" s="692" t="s">
        <v>119</v>
      </c>
      <c r="Q114" s="692" t="s">
        <v>4804</v>
      </c>
      <c r="R114" s="692" t="s">
        <v>3839</v>
      </c>
      <c r="S114" s="692">
        <v>27715223</v>
      </c>
      <c r="T114" s="692">
        <v>27715223</v>
      </c>
      <c r="U114" s="692" t="s">
        <v>3588</v>
      </c>
      <c r="V114" s="692" t="s">
        <v>169</v>
      </c>
      <c r="W114" s="692"/>
      <c r="X114" s="761"/>
      <c r="Z114" s="713"/>
      <c r="AA114" s="10"/>
      <c r="AB114" s="8"/>
      <c r="AC114" s="8"/>
      <c r="AD114" s="8"/>
      <c r="AE114" s="8"/>
      <c r="AF114" s="8"/>
      <c r="AG114" s="8"/>
      <c r="AH114" s="761"/>
      <c r="AI114" s="761"/>
    </row>
    <row r="115" spans="1:35" ht="15.75">
      <c r="A115" s="692" t="s">
        <v>2564</v>
      </c>
      <c r="B115" s="692" t="s">
        <v>374</v>
      </c>
      <c r="D115" s="692" t="s">
        <v>947</v>
      </c>
      <c r="E115" s="692" t="s">
        <v>2389</v>
      </c>
      <c r="F115" s="692" t="s">
        <v>2390</v>
      </c>
      <c r="G115" s="692" t="s">
        <v>4397</v>
      </c>
      <c r="H115" s="692" t="s">
        <v>6</v>
      </c>
      <c r="I115" s="692" t="s">
        <v>80</v>
      </c>
      <c r="J115" s="692" t="s">
        <v>5</v>
      </c>
      <c r="K115" s="692" t="s">
        <v>11</v>
      </c>
      <c r="L115" s="692" t="str">
        <f t="shared" si="1"/>
        <v>6-03-08</v>
      </c>
      <c r="M115" s="692"/>
      <c r="N115" s="692"/>
      <c r="O115" s="692"/>
      <c r="P115" s="692" t="s">
        <v>175</v>
      </c>
      <c r="Q115" s="692" t="s">
        <v>4804</v>
      </c>
      <c r="R115" s="692" t="s">
        <v>3546</v>
      </c>
      <c r="S115" s="692">
        <v>27431006</v>
      </c>
      <c r="T115" s="692">
        <v>27431006</v>
      </c>
      <c r="U115" s="692" t="s">
        <v>4426</v>
      </c>
      <c r="V115" s="692" t="s">
        <v>2391</v>
      </c>
      <c r="W115" s="692"/>
      <c r="X115" s="761"/>
      <c r="Z115" s="713"/>
      <c r="AA115" s="10"/>
      <c r="AB115" s="8"/>
      <c r="AC115" s="8"/>
      <c r="AD115" s="8"/>
      <c r="AE115" s="8"/>
      <c r="AF115" s="8"/>
      <c r="AG115" s="8"/>
      <c r="AH115" s="761"/>
      <c r="AI115" s="761"/>
    </row>
    <row r="116" spans="1:35" ht="15.75">
      <c r="A116" s="692" t="s">
        <v>2566</v>
      </c>
      <c r="B116" s="692" t="s">
        <v>302</v>
      </c>
      <c r="D116" s="692" t="s">
        <v>897</v>
      </c>
      <c r="E116" s="692" t="s">
        <v>2392</v>
      </c>
      <c r="F116" s="692" t="s">
        <v>2393</v>
      </c>
      <c r="G116" s="692" t="s">
        <v>4397</v>
      </c>
      <c r="H116" s="692" t="s">
        <v>5</v>
      </c>
      <c r="I116" s="692" t="s">
        <v>80</v>
      </c>
      <c r="J116" s="692" t="s">
        <v>5</v>
      </c>
      <c r="K116" s="692" t="s">
        <v>5</v>
      </c>
      <c r="L116" s="692" t="str">
        <f t="shared" si="1"/>
        <v>6-03-03</v>
      </c>
      <c r="M116" s="692"/>
      <c r="N116" s="692"/>
      <c r="O116" s="692"/>
      <c r="P116" s="692" t="s">
        <v>542</v>
      </c>
      <c r="Q116" s="692" t="s">
        <v>4804</v>
      </c>
      <c r="R116" s="692" t="s">
        <v>3547</v>
      </c>
      <c r="S116" s="692">
        <v>27428036</v>
      </c>
      <c r="T116" s="692">
        <v>27428036</v>
      </c>
      <c r="U116" s="692" t="s">
        <v>4131</v>
      </c>
      <c r="V116" s="692" t="s">
        <v>2394</v>
      </c>
      <c r="W116" s="692"/>
      <c r="X116" s="761"/>
      <c r="Z116" s="713"/>
      <c r="AA116" s="10"/>
      <c r="AB116" s="8"/>
      <c r="AC116" s="8"/>
      <c r="AD116" s="8"/>
      <c r="AE116" s="8"/>
      <c r="AF116" s="8"/>
      <c r="AG116" s="8"/>
      <c r="AH116" s="761"/>
      <c r="AI116" s="761"/>
    </row>
    <row r="117" spans="1:35" ht="15.75">
      <c r="A117" s="714" t="s">
        <v>2447</v>
      </c>
      <c r="B117" s="714" t="s">
        <v>1751</v>
      </c>
      <c r="D117" s="692" t="s">
        <v>1066</v>
      </c>
      <c r="E117" s="692" t="s">
        <v>2395</v>
      </c>
      <c r="F117" s="692" t="s">
        <v>5565</v>
      </c>
      <c r="G117" s="692" t="s">
        <v>66</v>
      </c>
      <c r="H117" s="692" t="s">
        <v>13</v>
      </c>
      <c r="I117" s="692" t="s">
        <v>43</v>
      </c>
      <c r="J117" s="692" t="s">
        <v>5</v>
      </c>
      <c r="K117" s="692" t="s">
        <v>6</v>
      </c>
      <c r="L117" s="692" t="str">
        <f t="shared" si="1"/>
        <v>2-03-04</v>
      </c>
      <c r="M117" s="692"/>
      <c r="N117" s="692"/>
      <c r="O117" s="692"/>
      <c r="P117" s="692" t="s">
        <v>637</v>
      </c>
      <c r="Q117" s="692" t="s">
        <v>4804</v>
      </c>
      <c r="R117" s="692" t="s">
        <v>2396</v>
      </c>
      <c r="S117" s="692">
        <v>24441220</v>
      </c>
      <c r="T117" s="692">
        <v>24441220</v>
      </c>
      <c r="U117" s="692" t="s">
        <v>3840</v>
      </c>
      <c r="V117" s="692" t="s">
        <v>2397</v>
      </c>
      <c r="W117" s="692"/>
      <c r="X117" s="761"/>
      <c r="Z117" s="713"/>
      <c r="AA117" s="10"/>
      <c r="AB117" s="8"/>
      <c r="AC117" s="8"/>
      <c r="AD117" s="8"/>
      <c r="AE117" s="8"/>
      <c r="AF117" s="8"/>
      <c r="AG117" s="8"/>
      <c r="AH117" s="761"/>
      <c r="AI117" s="761"/>
    </row>
    <row r="118" spans="1:35" ht="15.75">
      <c r="A118" s="692" t="s">
        <v>2406</v>
      </c>
      <c r="B118" s="692" t="s">
        <v>268</v>
      </c>
      <c r="D118" s="692" t="s">
        <v>264</v>
      </c>
      <c r="E118" s="692" t="s">
        <v>2400</v>
      </c>
      <c r="F118" s="692" t="s">
        <v>2401</v>
      </c>
      <c r="G118" s="692" t="s">
        <v>5729</v>
      </c>
      <c r="H118" s="692" t="s">
        <v>7</v>
      </c>
      <c r="I118" s="692" t="s">
        <v>68</v>
      </c>
      <c r="J118" s="692" t="s">
        <v>5</v>
      </c>
      <c r="K118" s="692" t="s">
        <v>9</v>
      </c>
      <c r="L118" s="692" t="str">
        <f t="shared" si="1"/>
        <v>7-03-07</v>
      </c>
      <c r="M118" s="692"/>
      <c r="N118" s="692"/>
      <c r="O118" s="692"/>
      <c r="P118" s="692" t="s">
        <v>2402</v>
      </c>
      <c r="Q118" s="692" t="s">
        <v>4804</v>
      </c>
      <c r="R118" s="692" t="s">
        <v>5566</v>
      </c>
      <c r="S118" s="692">
        <v>22002903</v>
      </c>
      <c r="T118" s="692">
        <v>27687141</v>
      </c>
      <c r="U118" s="692" t="s">
        <v>4427</v>
      </c>
      <c r="V118" s="692" t="s">
        <v>2403</v>
      </c>
      <c r="W118" s="692"/>
      <c r="X118" s="761"/>
      <c r="Z118" s="713"/>
      <c r="AA118" s="10"/>
      <c r="AB118" s="8"/>
      <c r="AC118" s="8"/>
      <c r="AD118" s="8"/>
      <c r="AE118" s="8"/>
      <c r="AF118" s="8"/>
      <c r="AG118" s="8"/>
      <c r="AH118" s="761"/>
      <c r="AI118" s="761"/>
    </row>
    <row r="119" spans="1:35" ht="15.75">
      <c r="A119" s="692" t="s">
        <v>2251</v>
      </c>
      <c r="B119" s="692" t="s">
        <v>1135</v>
      </c>
      <c r="D119" s="692" t="s">
        <v>265</v>
      </c>
      <c r="E119" s="692" t="s">
        <v>2404</v>
      </c>
      <c r="F119" s="692" t="s">
        <v>5567</v>
      </c>
      <c r="G119" s="692" t="s">
        <v>4398</v>
      </c>
      <c r="H119" s="692" t="s">
        <v>4</v>
      </c>
      <c r="I119" s="692" t="s">
        <v>68</v>
      </c>
      <c r="J119" s="692" t="s">
        <v>6</v>
      </c>
      <c r="K119" s="692" t="s">
        <v>6</v>
      </c>
      <c r="L119" s="692" t="str">
        <f t="shared" si="1"/>
        <v>7-04-04</v>
      </c>
      <c r="M119" s="692"/>
      <c r="N119" s="692"/>
      <c r="O119" s="692"/>
      <c r="P119" s="692" t="s">
        <v>848</v>
      </c>
      <c r="Q119" s="692" t="s">
        <v>4804</v>
      </c>
      <c r="R119" s="692" t="s">
        <v>4683</v>
      </c>
      <c r="S119" s="692">
        <v>86949102</v>
      </c>
      <c r="T119" s="692"/>
      <c r="U119" s="692" t="s">
        <v>4830</v>
      </c>
      <c r="V119" s="692" t="s">
        <v>2405</v>
      </c>
      <c r="W119" s="692"/>
      <c r="X119" s="761"/>
      <c r="Z119" s="713"/>
      <c r="AA119" s="10"/>
      <c r="AB119" s="8"/>
      <c r="AC119" s="8"/>
      <c r="AD119" s="8"/>
      <c r="AE119" s="8"/>
      <c r="AF119" s="8"/>
      <c r="AG119" s="8"/>
      <c r="AH119" s="761"/>
      <c r="AI119" s="761"/>
    </row>
    <row r="120" spans="1:35" ht="15.75">
      <c r="A120" s="692" t="s">
        <v>2856</v>
      </c>
      <c r="B120" s="692" t="s">
        <v>908</v>
      </c>
      <c r="D120" s="692" t="s">
        <v>268</v>
      </c>
      <c r="E120" s="692" t="s">
        <v>2406</v>
      </c>
      <c r="F120" s="692" t="s">
        <v>5731</v>
      </c>
      <c r="G120" s="692" t="s">
        <v>128</v>
      </c>
      <c r="H120" s="692" t="s">
        <v>4</v>
      </c>
      <c r="I120" s="692" t="s">
        <v>56</v>
      </c>
      <c r="J120" s="692" t="s">
        <v>3</v>
      </c>
      <c r="K120" s="692" t="s">
        <v>6</v>
      </c>
      <c r="L120" s="692" t="str">
        <f t="shared" si="1"/>
        <v>3-01-04</v>
      </c>
      <c r="M120" s="692"/>
      <c r="N120" s="692"/>
      <c r="O120" s="692"/>
      <c r="P120" s="692" t="s">
        <v>2407</v>
      </c>
      <c r="Q120" s="692" t="s">
        <v>3543</v>
      </c>
      <c r="R120" s="692" t="s">
        <v>5811</v>
      </c>
      <c r="S120" s="692">
        <v>25372425</v>
      </c>
      <c r="T120" s="692">
        <v>25372425</v>
      </c>
      <c r="U120" s="692" t="s">
        <v>3841</v>
      </c>
      <c r="V120" s="692" t="s">
        <v>5812</v>
      </c>
      <c r="W120" s="692"/>
      <c r="X120" s="761"/>
      <c r="Z120" s="713"/>
      <c r="AA120" s="10"/>
      <c r="AB120" s="8"/>
      <c r="AC120" s="8"/>
      <c r="AD120" s="8"/>
      <c r="AE120" s="8"/>
      <c r="AF120" s="8"/>
      <c r="AG120" s="8"/>
      <c r="AH120" s="761"/>
      <c r="AI120" s="761"/>
    </row>
    <row r="121" spans="1:35" ht="15.75">
      <c r="A121" s="692" t="s">
        <v>2248</v>
      </c>
      <c r="B121" s="692" t="s">
        <v>1153</v>
      </c>
      <c r="D121" s="692" t="s">
        <v>269</v>
      </c>
      <c r="E121" s="692" t="s">
        <v>2408</v>
      </c>
      <c r="F121" s="692" t="s">
        <v>2409</v>
      </c>
      <c r="G121" s="692" t="s">
        <v>128</v>
      </c>
      <c r="H121" s="692" t="s">
        <v>6</v>
      </c>
      <c r="I121" s="692" t="s">
        <v>56</v>
      </c>
      <c r="J121" s="692" t="s">
        <v>9</v>
      </c>
      <c r="K121" s="692" t="s">
        <v>4</v>
      </c>
      <c r="L121" s="692" t="str">
        <f t="shared" si="1"/>
        <v>3-07-02</v>
      </c>
      <c r="M121" s="692"/>
      <c r="N121" s="692"/>
      <c r="O121" s="692"/>
      <c r="P121" s="692" t="s">
        <v>761</v>
      </c>
      <c r="Q121" s="692" t="s">
        <v>4804</v>
      </c>
      <c r="R121" s="692" t="s">
        <v>4179</v>
      </c>
      <c r="S121" s="692">
        <v>25366509</v>
      </c>
      <c r="T121" s="692">
        <v>25366509</v>
      </c>
      <c r="U121" s="692" t="s">
        <v>5830</v>
      </c>
      <c r="V121" s="692" t="s">
        <v>3589</v>
      </c>
      <c r="W121" s="692"/>
      <c r="X121" s="761"/>
      <c r="Z121" s="713"/>
      <c r="AA121" s="10"/>
      <c r="AB121" s="8"/>
      <c r="AC121" s="8"/>
      <c r="AD121" s="8"/>
      <c r="AE121" s="8"/>
      <c r="AF121" s="8" t="s">
        <v>4493</v>
      </c>
      <c r="AG121" s="8"/>
      <c r="AH121" s="761"/>
      <c r="AI121" s="761"/>
    </row>
    <row r="122" spans="1:35" ht="15.75">
      <c r="A122" s="692" t="s">
        <v>2245</v>
      </c>
      <c r="B122" s="692" t="s">
        <v>1152</v>
      </c>
      <c r="D122" s="692" t="s">
        <v>74</v>
      </c>
      <c r="E122" s="692" t="s">
        <v>2410</v>
      </c>
      <c r="F122" s="692" t="s">
        <v>2185</v>
      </c>
      <c r="G122" s="692" t="s">
        <v>5730</v>
      </c>
      <c r="H122" s="692" t="s">
        <v>5</v>
      </c>
      <c r="I122" s="692" t="s">
        <v>43</v>
      </c>
      <c r="J122" s="692" t="s">
        <v>18</v>
      </c>
      <c r="K122" s="692" t="s">
        <v>5</v>
      </c>
      <c r="L122" s="692" t="str">
        <f t="shared" si="1"/>
        <v>2-13-03</v>
      </c>
      <c r="M122" s="692"/>
      <c r="N122" s="692"/>
      <c r="O122" s="692"/>
      <c r="P122" s="692" t="s">
        <v>129</v>
      </c>
      <c r="Q122" s="692" t="s">
        <v>4804</v>
      </c>
      <c r="R122" s="692" t="s">
        <v>5747</v>
      </c>
      <c r="S122" s="692">
        <v>24701615</v>
      </c>
      <c r="T122" s="692">
        <v>24701615</v>
      </c>
      <c r="U122" s="692" t="s">
        <v>5748</v>
      </c>
      <c r="V122" s="692" t="s">
        <v>2411</v>
      </c>
      <c r="W122" s="692"/>
      <c r="X122" s="761"/>
      <c r="Z122" s="713"/>
      <c r="AA122" s="10"/>
      <c r="AB122" s="8"/>
      <c r="AC122" s="8"/>
      <c r="AD122" s="8"/>
      <c r="AE122" s="8"/>
      <c r="AF122" s="8"/>
      <c r="AG122" s="8"/>
      <c r="AH122" s="761"/>
      <c r="AI122" s="761"/>
    </row>
    <row r="123" spans="1:35" ht="15.75">
      <c r="A123" s="692" t="s">
        <v>2435</v>
      </c>
      <c r="B123" s="692" t="s">
        <v>143</v>
      </c>
      <c r="D123" s="692" t="s">
        <v>1180</v>
      </c>
      <c r="E123" s="692" t="s">
        <v>2413</v>
      </c>
      <c r="F123" s="692" t="s">
        <v>4058</v>
      </c>
      <c r="G123" s="692" t="s">
        <v>4395</v>
      </c>
      <c r="H123" s="692" t="s">
        <v>7</v>
      </c>
      <c r="I123" s="692" t="s">
        <v>41</v>
      </c>
      <c r="J123" s="692" t="s">
        <v>18</v>
      </c>
      <c r="K123" s="692" t="s">
        <v>7</v>
      </c>
      <c r="L123" s="692" t="str">
        <f t="shared" si="1"/>
        <v>1-13-05</v>
      </c>
      <c r="M123" s="692"/>
      <c r="N123" s="692"/>
      <c r="O123" s="692"/>
      <c r="P123" s="692" t="s">
        <v>859</v>
      </c>
      <c r="Q123" s="692" t="s">
        <v>4804</v>
      </c>
      <c r="R123" s="692" t="s">
        <v>5740</v>
      </c>
      <c r="S123" s="692">
        <v>22975986</v>
      </c>
      <c r="T123" s="692">
        <v>22975986</v>
      </c>
      <c r="U123" s="692" t="s">
        <v>4133</v>
      </c>
      <c r="V123" s="692" t="s">
        <v>3590</v>
      </c>
      <c r="W123" s="692"/>
      <c r="X123" s="761" t="s">
        <v>407</v>
      </c>
      <c r="Z123" s="713"/>
      <c r="AA123" s="10"/>
      <c r="AB123" s="8"/>
      <c r="AC123" s="8"/>
      <c r="AD123" s="8"/>
      <c r="AE123" s="8"/>
      <c r="AF123" s="8"/>
      <c r="AG123" s="8"/>
      <c r="AH123" s="761"/>
      <c r="AI123" s="761"/>
    </row>
    <row r="124" spans="1:35" ht="15.75">
      <c r="A124" s="692" t="s">
        <v>2507</v>
      </c>
      <c r="B124" s="692" t="s">
        <v>354</v>
      </c>
      <c r="D124" s="692" t="s">
        <v>272</v>
      </c>
      <c r="E124" s="692" t="s">
        <v>2414</v>
      </c>
      <c r="F124" s="692" t="s">
        <v>2415</v>
      </c>
      <c r="G124" s="692" t="s">
        <v>47</v>
      </c>
      <c r="H124" s="692" t="s">
        <v>6</v>
      </c>
      <c r="I124" s="692" t="s">
        <v>41</v>
      </c>
      <c r="J124" s="692" t="s">
        <v>5</v>
      </c>
      <c r="K124" s="692" t="s">
        <v>8</v>
      </c>
      <c r="L124" s="692" t="str">
        <f t="shared" si="1"/>
        <v>1-03-06</v>
      </c>
      <c r="M124" s="692"/>
      <c r="N124" s="692"/>
      <c r="O124" s="692"/>
      <c r="P124" s="692" t="s">
        <v>201</v>
      </c>
      <c r="Q124" s="692" t="s">
        <v>4804</v>
      </c>
      <c r="R124" s="692" t="s">
        <v>3549</v>
      </c>
      <c r="S124" s="692">
        <v>25440166</v>
      </c>
      <c r="T124" s="692">
        <v>25440166</v>
      </c>
      <c r="U124" s="692" t="s">
        <v>3842</v>
      </c>
      <c r="V124" s="692" t="s">
        <v>2416</v>
      </c>
      <c r="W124" s="692"/>
      <c r="X124" s="761" t="s">
        <v>806</v>
      </c>
      <c r="Z124" s="713"/>
      <c r="AA124" s="10"/>
      <c r="AB124" s="8"/>
      <c r="AC124" s="8"/>
      <c r="AD124" s="8"/>
      <c r="AE124" s="8"/>
      <c r="AF124" s="8"/>
      <c r="AG124" s="8"/>
      <c r="AH124" s="761" t="s">
        <v>4493</v>
      </c>
      <c r="AI124" s="761"/>
    </row>
    <row r="125" spans="1:35" ht="15.75">
      <c r="A125" s="692" t="s">
        <v>2660</v>
      </c>
      <c r="B125" s="692" t="s">
        <v>434</v>
      </c>
      <c r="D125" s="714" t="s">
        <v>123</v>
      </c>
      <c r="E125" s="714" t="s">
        <v>5568</v>
      </c>
      <c r="F125" s="714" t="s">
        <v>2417</v>
      </c>
      <c r="G125" s="714" t="s">
        <v>298</v>
      </c>
      <c r="H125" s="714" t="s">
        <v>4</v>
      </c>
      <c r="I125" s="714" t="s">
        <v>126</v>
      </c>
      <c r="J125" s="714" t="s">
        <v>3</v>
      </c>
      <c r="K125" s="714" t="s">
        <v>3</v>
      </c>
      <c r="L125" s="692" t="str">
        <f t="shared" si="1"/>
        <v>5-01-01</v>
      </c>
      <c r="M125" s="714"/>
      <c r="N125" s="714"/>
      <c r="O125" s="714"/>
      <c r="P125" s="714" t="s">
        <v>5698</v>
      </c>
      <c r="Q125" s="714" t="s">
        <v>4804</v>
      </c>
      <c r="R125" s="714" t="s">
        <v>2418</v>
      </c>
      <c r="S125" s="714">
        <v>85996035</v>
      </c>
      <c r="T125" s="714">
        <v>88748366</v>
      </c>
      <c r="U125" s="714" t="s">
        <v>2419</v>
      </c>
      <c r="V125" s="714" t="s">
        <v>5569</v>
      </c>
      <c r="W125" s="714"/>
      <c r="X125" s="761"/>
      <c r="Z125" s="714"/>
      <c r="AH125" s="761"/>
      <c r="AI125" s="761"/>
    </row>
    <row r="126" spans="1:35" ht="15.75">
      <c r="A126" s="692" t="s">
        <v>2663</v>
      </c>
      <c r="B126" s="692" t="s">
        <v>435</v>
      </c>
      <c r="D126" s="692" t="s">
        <v>96</v>
      </c>
      <c r="E126" s="692" t="s">
        <v>2420</v>
      </c>
      <c r="F126" s="692" t="s">
        <v>2421</v>
      </c>
      <c r="G126" s="692" t="s">
        <v>558</v>
      </c>
      <c r="H126" s="692" t="s">
        <v>6</v>
      </c>
      <c r="I126" s="692" t="s">
        <v>126</v>
      </c>
      <c r="J126" s="692" t="s">
        <v>9</v>
      </c>
      <c r="K126" s="692" t="s">
        <v>6</v>
      </c>
      <c r="L126" s="692" t="str">
        <f t="shared" si="1"/>
        <v>5-07-04</v>
      </c>
      <c r="M126" s="692"/>
      <c r="N126" s="692"/>
      <c r="O126" s="692"/>
      <c r="P126" s="692" t="s">
        <v>582</v>
      </c>
      <c r="Q126" s="692" t="s">
        <v>4804</v>
      </c>
      <c r="R126" s="692" t="s">
        <v>4428</v>
      </c>
      <c r="S126" s="692">
        <v>26780563</v>
      </c>
      <c r="T126" s="692">
        <v>26780376</v>
      </c>
      <c r="U126" s="692" t="s">
        <v>4634</v>
      </c>
      <c r="V126" s="692" t="s">
        <v>2422</v>
      </c>
      <c r="W126" s="692"/>
      <c r="X126" s="761" t="s">
        <v>361</v>
      </c>
      <c r="Z126" s="713"/>
      <c r="AA126" s="10"/>
      <c r="AB126" s="8"/>
      <c r="AC126" s="8"/>
      <c r="AD126" s="8"/>
      <c r="AE126" s="8"/>
      <c r="AF126" s="8"/>
      <c r="AG126" s="8"/>
      <c r="AH126" s="761"/>
      <c r="AI126" s="761"/>
    </row>
    <row r="127" spans="1:35" ht="15.75">
      <c r="A127" s="714" t="s">
        <v>2657</v>
      </c>
      <c r="B127" s="714" t="s">
        <v>433</v>
      </c>
      <c r="D127" s="692" t="s">
        <v>280</v>
      </c>
      <c r="E127" s="692" t="s">
        <v>2427</v>
      </c>
      <c r="F127" s="692" t="s">
        <v>2428</v>
      </c>
      <c r="G127" s="692" t="s">
        <v>109</v>
      </c>
      <c r="H127" s="692" t="s">
        <v>3</v>
      </c>
      <c r="I127" s="692" t="s">
        <v>110</v>
      </c>
      <c r="J127" s="692" t="s">
        <v>13</v>
      </c>
      <c r="K127" s="692" t="s">
        <v>4</v>
      </c>
      <c r="L127" s="692" t="str">
        <f t="shared" si="1"/>
        <v>4-10-02</v>
      </c>
      <c r="M127" s="692"/>
      <c r="N127" s="692"/>
      <c r="O127" s="692"/>
      <c r="P127" s="692" t="s">
        <v>599</v>
      </c>
      <c r="Q127" s="692" t="s">
        <v>4804</v>
      </c>
      <c r="R127" s="692" t="s">
        <v>3217</v>
      </c>
      <c r="S127" s="692">
        <v>24591100</v>
      </c>
      <c r="T127" s="692">
        <v>27611371</v>
      </c>
      <c r="U127" s="692" t="s">
        <v>4429</v>
      </c>
      <c r="V127" s="692" t="s">
        <v>2429</v>
      </c>
      <c r="W127" s="692"/>
      <c r="X127" s="761"/>
      <c r="Z127" s="713"/>
      <c r="AA127" s="10"/>
      <c r="AB127" s="8"/>
      <c r="AC127" s="8"/>
      <c r="AD127" s="8"/>
      <c r="AE127" s="8"/>
      <c r="AF127" s="8"/>
      <c r="AG127" s="8"/>
      <c r="AH127" s="761"/>
      <c r="AI127" s="761"/>
    </row>
    <row r="128" spans="1:35" ht="15.75">
      <c r="A128" s="692" t="s">
        <v>2430</v>
      </c>
      <c r="B128" s="692" t="s">
        <v>282</v>
      </c>
      <c r="D128" s="692" t="s">
        <v>282</v>
      </c>
      <c r="E128" s="692" t="s">
        <v>2430</v>
      </c>
      <c r="F128" s="692" t="s">
        <v>3789</v>
      </c>
      <c r="G128" s="692" t="s">
        <v>111</v>
      </c>
      <c r="H128" s="692" t="s">
        <v>6</v>
      </c>
      <c r="I128" s="692" t="s">
        <v>110</v>
      </c>
      <c r="J128" s="692" t="s">
        <v>4</v>
      </c>
      <c r="K128" s="692" t="s">
        <v>8</v>
      </c>
      <c r="L128" s="692" t="str">
        <f t="shared" si="1"/>
        <v>4-02-06</v>
      </c>
      <c r="M128" s="692"/>
      <c r="N128" s="692"/>
      <c r="O128" s="692"/>
      <c r="P128" s="692" t="s">
        <v>3789</v>
      </c>
      <c r="Q128" s="692" t="s">
        <v>4804</v>
      </c>
      <c r="R128" s="692" t="s">
        <v>2431</v>
      </c>
      <c r="S128" s="692">
        <v>22661059</v>
      </c>
      <c r="T128" s="692">
        <v>22661059</v>
      </c>
      <c r="U128" s="692" t="s">
        <v>4134</v>
      </c>
      <c r="V128" s="692" t="s">
        <v>2432</v>
      </c>
      <c r="W128" s="692"/>
      <c r="X128" s="761"/>
      <c r="Z128" s="713"/>
      <c r="AA128" s="10"/>
      <c r="AB128" s="8"/>
      <c r="AC128" s="8"/>
      <c r="AD128" s="8"/>
      <c r="AE128" s="8"/>
      <c r="AF128" s="8"/>
      <c r="AG128" s="8"/>
      <c r="AH128" s="761"/>
      <c r="AI128" s="761"/>
    </row>
    <row r="129" spans="1:35" ht="15.75">
      <c r="A129" s="692" t="s">
        <v>2265</v>
      </c>
      <c r="B129" s="692" t="s">
        <v>199</v>
      </c>
      <c r="D129" s="692" t="s">
        <v>284</v>
      </c>
      <c r="E129" s="692" t="s">
        <v>2433</v>
      </c>
      <c r="F129" s="692" t="s">
        <v>5570</v>
      </c>
      <c r="G129" s="692" t="s">
        <v>79</v>
      </c>
      <c r="H129" s="692" t="s">
        <v>4</v>
      </c>
      <c r="I129" s="692" t="s">
        <v>80</v>
      </c>
      <c r="J129" s="692" t="s">
        <v>9</v>
      </c>
      <c r="K129" s="692" t="s">
        <v>6</v>
      </c>
      <c r="L129" s="692" t="str">
        <f t="shared" si="1"/>
        <v>6-07-04</v>
      </c>
      <c r="M129" s="692"/>
      <c r="N129" s="692"/>
      <c r="O129" s="692"/>
      <c r="P129" s="692" t="s">
        <v>833</v>
      </c>
      <c r="Q129" s="692" t="s">
        <v>4804</v>
      </c>
      <c r="R129" s="692" t="s">
        <v>4135</v>
      </c>
      <c r="S129" s="692">
        <v>27768701</v>
      </c>
      <c r="T129" s="692">
        <v>27768701</v>
      </c>
      <c r="U129" s="692" t="s">
        <v>3843</v>
      </c>
      <c r="V129" s="692" t="s">
        <v>2434</v>
      </c>
      <c r="W129" s="692"/>
      <c r="X129" s="761"/>
      <c r="Z129" s="713"/>
      <c r="AA129" s="10"/>
      <c r="AB129" s="8"/>
      <c r="AC129" s="8"/>
      <c r="AD129" s="8"/>
      <c r="AE129" s="8"/>
      <c r="AF129" s="8"/>
      <c r="AG129" s="8"/>
      <c r="AH129" s="761"/>
      <c r="AI129" s="761"/>
    </row>
    <row r="130" spans="1:35" ht="15.75">
      <c r="A130" s="692" t="s">
        <v>2258</v>
      </c>
      <c r="B130" s="692" t="s">
        <v>933</v>
      </c>
      <c r="D130" s="692" t="s">
        <v>143</v>
      </c>
      <c r="E130" s="692" t="s">
        <v>2435</v>
      </c>
      <c r="F130" s="692" t="s">
        <v>2436</v>
      </c>
      <c r="G130" s="692" t="s">
        <v>767</v>
      </c>
      <c r="H130" s="692" t="s">
        <v>3</v>
      </c>
      <c r="I130" s="692" t="s">
        <v>56</v>
      </c>
      <c r="J130" s="692" t="s">
        <v>6</v>
      </c>
      <c r="K130" s="692" t="s">
        <v>4</v>
      </c>
      <c r="L130" s="692" t="str">
        <f t="shared" si="1"/>
        <v>3-04-02</v>
      </c>
      <c r="M130" s="692"/>
      <c r="N130" s="692"/>
      <c r="O130" s="692"/>
      <c r="P130" s="692" t="s">
        <v>2437</v>
      </c>
      <c r="Q130" s="692" t="s">
        <v>4804</v>
      </c>
      <c r="R130" s="692" t="s">
        <v>2438</v>
      </c>
      <c r="S130" s="692">
        <v>25350309</v>
      </c>
      <c r="T130" s="692">
        <v>89759853</v>
      </c>
      <c r="U130" s="692" t="s">
        <v>2439</v>
      </c>
      <c r="V130" s="692" t="s">
        <v>2440</v>
      </c>
      <c r="W130" s="692"/>
      <c r="X130" s="761" t="s">
        <v>916</v>
      </c>
      <c r="Z130" s="713"/>
      <c r="AA130" s="10"/>
      <c r="AB130" s="8"/>
      <c r="AC130" s="8"/>
      <c r="AD130" s="8"/>
      <c r="AE130" s="8"/>
      <c r="AF130" s="8"/>
      <c r="AG130" s="8"/>
      <c r="AH130" s="761"/>
      <c r="AI130" s="761"/>
    </row>
    <row r="131" spans="1:35" ht="15.75">
      <c r="A131" s="692" t="s">
        <v>2284</v>
      </c>
      <c r="B131" s="692" t="s">
        <v>180</v>
      </c>
      <c r="D131" s="692" t="s">
        <v>1747</v>
      </c>
      <c r="E131" s="692" t="s">
        <v>2441</v>
      </c>
      <c r="F131" s="692" t="s">
        <v>2442</v>
      </c>
      <c r="G131" s="692" t="s">
        <v>128</v>
      </c>
      <c r="H131" s="692" t="s">
        <v>9</v>
      </c>
      <c r="I131" s="692" t="s">
        <v>56</v>
      </c>
      <c r="J131" s="692" t="s">
        <v>3</v>
      </c>
      <c r="K131" s="692" t="s">
        <v>7</v>
      </c>
      <c r="L131" s="692" t="str">
        <f t="shared" ref="L131:L194" si="2">CONCATENATE(I131,"-",J131,"-",K131)</f>
        <v>3-01-05</v>
      </c>
      <c r="M131" s="692"/>
      <c r="N131" s="692"/>
      <c r="O131" s="692"/>
      <c r="P131" s="692" t="s">
        <v>757</v>
      </c>
      <c r="Q131" s="692" t="s">
        <v>4804</v>
      </c>
      <c r="R131" s="692" t="s">
        <v>5571</v>
      </c>
      <c r="S131" s="692">
        <v>25528242</v>
      </c>
      <c r="T131" s="692">
        <v>25528914</v>
      </c>
      <c r="U131" s="692" t="s">
        <v>3844</v>
      </c>
      <c r="V131" s="692" t="s">
        <v>3591</v>
      </c>
      <c r="W131" s="692"/>
      <c r="X131" s="761"/>
      <c r="Z131" s="713"/>
      <c r="AA131" s="10"/>
      <c r="AB131" s="8"/>
      <c r="AC131" s="8"/>
      <c r="AD131" s="8"/>
      <c r="AE131" s="8"/>
      <c r="AF131" s="8"/>
      <c r="AG131" s="8"/>
      <c r="AH131" s="761"/>
      <c r="AI131" s="761"/>
    </row>
    <row r="132" spans="1:35" ht="15.75">
      <c r="A132" s="692" t="s">
        <v>2276</v>
      </c>
      <c r="B132" s="692" t="s">
        <v>181</v>
      </c>
      <c r="D132" s="692" t="s">
        <v>1749</v>
      </c>
      <c r="E132" s="692" t="s">
        <v>2443</v>
      </c>
      <c r="F132" s="692" t="s">
        <v>2444</v>
      </c>
      <c r="G132" s="692" t="s">
        <v>81</v>
      </c>
      <c r="H132" s="692" t="s">
        <v>5</v>
      </c>
      <c r="I132" s="692" t="s">
        <v>80</v>
      </c>
      <c r="J132" s="692" t="s">
        <v>3</v>
      </c>
      <c r="K132" s="692" t="s">
        <v>5</v>
      </c>
      <c r="L132" s="692" t="str">
        <f t="shared" si="2"/>
        <v>6-01-03</v>
      </c>
      <c r="M132" s="692"/>
      <c r="N132" s="692"/>
      <c r="O132" s="692"/>
      <c r="P132" s="692" t="s">
        <v>823</v>
      </c>
      <c r="Q132" s="692" t="s">
        <v>4804</v>
      </c>
      <c r="R132" s="692" t="s">
        <v>5831</v>
      </c>
      <c r="S132" s="692">
        <v>26388136</v>
      </c>
      <c r="T132" s="692">
        <v>26388136</v>
      </c>
      <c r="U132" s="692" t="s">
        <v>4137</v>
      </c>
      <c r="V132" s="692" t="s">
        <v>3845</v>
      </c>
      <c r="W132" s="692"/>
      <c r="X132" s="761" t="s">
        <v>1088</v>
      </c>
      <c r="Z132" s="713"/>
      <c r="AA132" s="10"/>
      <c r="AB132" s="8"/>
      <c r="AC132" s="8"/>
      <c r="AD132" s="8"/>
      <c r="AE132" s="8"/>
      <c r="AF132" s="8"/>
      <c r="AG132" s="8"/>
      <c r="AH132" s="761"/>
      <c r="AI132" s="761"/>
    </row>
    <row r="133" spans="1:35" ht="15.75">
      <c r="A133" s="692" t="s">
        <v>2268</v>
      </c>
      <c r="B133" s="692" t="s">
        <v>177</v>
      </c>
      <c r="D133" s="714" t="s">
        <v>1751</v>
      </c>
      <c r="E133" s="714" t="s">
        <v>2447</v>
      </c>
      <c r="F133" s="714" t="s">
        <v>2448</v>
      </c>
      <c r="G133" s="714" t="s">
        <v>128</v>
      </c>
      <c r="H133" s="714" t="s">
        <v>8</v>
      </c>
      <c r="I133" s="714" t="s">
        <v>56</v>
      </c>
      <c r="J133" s="714" t="s">
        <v>5</v>
      </c>
      <c r="K133" s="714" t="s">
        <v>7</v>
      </c>
      <c r="L133" s="692" t="str">
        <f t="shared" si="2"/>
        <v>3-03-05</v>
      </c>
      <c r="M133" s="714"/>
      <c r="N133" s="714"/>
      <c r="O133" s="714"/>
      <c r="P133" s="714" t="s">
        <v>60</v>
      </c>
      <c r="Q133" s="714" t="s">
        <v>4804</v>
      </c>
      <c r="R133" s="714" t="s">
        <v>5882</v>
      </c>
      <c r="S133" s="714">
        <v>22785780</v>
      </c>
      <c r="T133" s="714">
        <v>22785783</v>
      </c>
      <c r="U133" s="714" t="s">
        <v>4138</v>
      </c>
      <c r="V133" s="714" t="s">
        <v>2449</v>
      </c>
      <c r="W133" s="714"/>
      <c r="X133" s="761"/>
      <c r="Z133" s="714"/>
      <c r="AH133" s="761"/>
      <c r="AI133" s="761"/>
    </row>
    <row r="134" spans="1:35" ht="15.75">
      <c r="A134" s="692" t="s">
        <v>2287</v>
      </c>
      <c r="B134" s="692" t="s">
        <v>184</v>
      </c>
      <c r="D134" s="692" t="s">
        <v>291</v>
      </c>
      <c r="E134" s="692" t="s">
        <v>2451</v>
      </c>
      <c r="F134" s="692" t="s">
        <v>2452</v>
      </c>
      <c r="G134" s="692" t="s">
        <v>81</v>
      </c>
      <c r="H134" s="692" t="s">
        <v>5</v>
      </c>
      <c r="I134" s="692" t="s">
        <v>80</v>
      </c>
      <c r="J134" s="692" t="s">
        <v>3</v>
      </c>
      <c r="K134" s="692" t="s">
        <v>18</v>
      </c>
      <c r="L134" s="692" t="str">
        <f t="shared" si="2"/>
        <v>6-01-13</v>
      </c>
      <c r="M134" s="692"/>
      <c r="N134" s="692"/>
      <c r="O134" s="692"/>
      <c r="P134" s="692" t="s">
        <v>2453</v>
      </c>
      <c r="Q134" s="692" t="s">
        <v>4804</v>
      </c>
      <c r="R134" s="692" t="s">
        <v>5832</v>
      </c>
      <c r="S134" s="692">
        <v>26613347</v>
      </c>
      <c r="T134" s="692">
        <v>26613347</v>
      </c>
      <c r="U134" s="692" t="s">
        <v>3846</v>
      </c>
      <c r="V134" s="692" t="s">
        <v>3847</v>
      </c>
      <c r="W134" s="692"/>
      <c r="X134" s="761"/>
      <c r="Z134" s="713"/>
      <c r="AA134" s="10"/>
      <c r="AB134" s="8"/>
      <c r="AC134" s="8"/>
      <c r="AD134" s="8"/>
      <c r="AE134" s="8"/>
      <c r="AF134" s="8"/>
      <c r="AG134" s="8"/>
      <c r="AH134" s="761"/>
      <c r="AI134" s="761"/>
    </row>
    <row r="135" spans="1:35" ht="15.75">
      <c r="A135" s="692" t="s">
        <v>3453</v>
      </c>
      <c r="B135" s="692" t="s">
        <v>3452</v>
      </c>
      <c r="D135" s="692" t="s">
        <v>222</v>
      </c>
      <c r="E135" s="692" t="s">
        <v>2454</v>
      </c>
      <c r="F135" s="692" t="s">
        <v>4059</v>
      </c>
      <c r="G135" s="692" t="s">
        <v>4396</v>
      </c>
      <c r="H135" s="692" t="s">
        <v>7</v>
      </c>
      <c r="I135" s="692" t="s">
        <v>41</v>
      </c>
      <c r="J135" s="692" t="s">
        <v>118</v>
      </c>
      <c r="K135" s="692" t="s">
        <v>5</v>
      </c>
      <c r="L135" s="692" t="str">
        <f t="shared" si="2"/>
        <v>1-14-03</v>
      </c>
      <c r="M135" s="692"/>
      <c r="N135" s="692"/>
      <c r="O135" s="692"/>
      <c r="P135" s="692" t="s">
        <v>224</v>
      </c>
      <c r="Q135" s="692" t="s">
        <v>4804</v>
      </c>
      <c r="R135" s="692" t="s">
        <v>2455</v>
      </c>
      <c r="S135" s="692">
        <v>22927809</v>
      </c>
      <c r="T135" s="692">
        <v>22924292</v>
      </c>
      <c r="U135" s="692" t="s">
        <v>3848</v>
      </c>
      <c r="V135" s="692" t="s">
        <v>2456</v>
      </c>
      <c r="W135" s="692"/>
      <c r="X135" s="761"/>
      <c r="Z135" s="713"/>
      <c r="AA135" s="10"/>
      <c r="AB135" s="8"/>
      <c r="AC135" s="8"/>
      <c r="AD135" s="8"/>
      <c r="AE135" s="8"/>
      <c r="AF135" s="8"/>
      <c r="AG135" s="8"/>
      <c r="AH135" s="761"/>
      <c r="AI135" s="761"/>
    </row>
    <row r="136" spans="1:35" ht="15.75">
      <c r="A136" s="692" t="s">
        <v>2273</v>
      </c>
      <c r="B136" s="692" t="s">
        <v>187</v>
      </c>
      <c r="D136" s="692" t="s">
        <v>314</v>
      </c>
      <c r="E136" s="692" t="s">
        <v>2458</v>
      </c>
      <c r="F136" s="692" t="s">
        <v>5573</v>
      </c>
      <c r="G136" s="692" t="s">
        <v>5729</v>
      </c>
      <c r="H136" s="692" t="s">
        <v>12</v>
      </c>
      <c r="I136" s="692" t="s">
        <v>68</v>
      </c>
      <c r="J136" s="692" t="s">
        <v>7</v>
      </c>
      <c r="K136" s="692" t="s">
        <v>3</v>
      </c>
      <c r="L136" s="692" t="str">
        <f t="shared" si="2"/>
        <v>7-05-01</v>
      </c>
      <c r="M136" s="692"/>
      <c r="N136" s="692"/>
      <c r="O136" s="692"/>
      <c r="P136" s="692" t="s">
        <v>2459</v>
      </c>
      <c r="Q136" s="692" t="s">
        <v>4804</v>
      </c>
      <c r="R136" s="692" t="s">
        <v>2460</v>
      </c>
      <c r="S136" s="692">
        <v>27181178</v>
      </c>
      <c r="T136" s="692">
        <v>27181178</v>
      </c>
      <c r="U136" s="692" t="s">
        <v>3849</v>
      </c>
      <c r="V136" s="692" t="s">
        <v>3592</v>
      </c>
      <c r="W136" s="692"/>
      <c r="X136" s="761"/>
      <c r="Z136" s="713"/>
      <c r="AA136" s="10"/>
      <c r="AB136" s="8"/>
      <c r="AC136" s="8"/>
      <c r="AD136" s="8"/>
      <c r="AE136" s="8"/>
      <c r="AF136" s="8"/>
      <c r="AG136" s="8"/>
      <c r="AH136" s="761"/>
      <c r="AI136" s="761"/>
    </row>
    <row r="137" spans="1:35" ht="15.75">
      <c r="A137" s="692" t="s">
        <v>2256</v>
      </c>
      <c r="B137" s="692" t="s">
        <v>1129</v>
      </c>
      <c r="D137" s="692" t="s">
        <v>315</v>
      </c>
      <c r="E137" s="692" t="s">
        <v>2461</v>
      </c>
      <c r="F137" s="692" t="s">
        <v>2462</v>
      </c>
      <c r="G137" s="692" t="s">
        <v>4397</v>
      </c>
      <c r="H137" s="692" t="s">
        <v>8</v>
      </c>
      <c r="I137" s="692" t="s">
        <v>80</v>
      </c>
      <c r="J137" s="692" t="s">
        <v>7</v>
      </c>
      <c r="K137" s="692" t="s">
        <v>3</v>
      </c>
      <c r="L137" s="692" t="str">
        <f t="shared" si="2"/>
        <v>6-05-01</v>
      </c>
      <c r="M137" s="692"/>
      <c r="N137" s="692"/>
      <c r="O137" s="692"/>
      <c r="P137" s="692" t="s">
        <v>431</v>
      </c>
      <c r="Q137" s="692" t="s">
        <v>4804</v>
      </c>
      <c r="R137" s="692" t="s">
        <v>4635</v>
      </c>
      <c r="S137" s="692">
        <v>27866594</v>
      </c>
      <c r="T137" s="692"/>
      <c r="U137" s="692" t="s">
        <v>3593</v>
      </c>
      <c r="V137" s="692" t="s">
        <v>2463</v>
      </c>
      <c r="W137" s="692"/>
      <c r="X137" s="761" t="s">
        <v>940</v>
      </c>
      <c r="Z137" s="713"/>
      <c r="AA137" s="10"/>
      <c r="AB137" s="8"/>
      <c r="AC137" s="8"/>
      <c r="AD137" s="8"/>
      <c r="AE137" s="8"/>
      <c r="AF137" s="8" t="s">
        <v>4493</v>
      </c>
      <c r="AG137" s="8"/>
      <c r="AH137" s="761"/>
      <c r="AI137" s="761"/>
    </row>
    <row r="138" spans="1:35" ht="15.75">
      <c r="A138" s="692" t="s">
        <v>2279</v>
      </c>
      <c r="B138" s="692" t="s">
        <v>186</v>
      </c>
      <c r="D138" s="692" t="s">
        <v>316</v>
      </c>
      <c r="E138" s="692" t="s">
        <v>2464</v>
      </c>
      <c r="F138" s="692" t="s">
        <v>4060</v>
      </c>
      <c r="G138" s="692" t="s">
        <v>4395</v>
      </c>
      <c r="H138" s="692" t="s">
        <v>3</v>
      </c>
      <c r="I138" s="692" t="s">
        <v>41</v>
      </c>
      <c r="J138" s="692" t="s">
        <v>3</v>
      </c>
      <c r="K138" s="692" t="s">
        <v>5</v>
      </c>
      <c r="L138" s="692" t="str">
        <f t="shared" si="2"/>
        <v>1-01-03</v>
      </c>
      <c r="M138" s="692"/>
      <c r="N138" s="692"/>
      <c r="O138" s="692"/>
      <c r="P138" s="692" t="s">
        <v>55</v>
      </c>
      <c r="Q138" s="692" t="s">
        <v>3543</v>
      </c>
      <c r="R138" s="692" t="s">
        <v>4636</v>
      </c>
      <c r="S138" s="692">
        <v>22227544</v>
      </c>
      <c r="T138" s="692"/>
      <c r="U138" s="692" t="s">
        <v>5574</v>
      </c>
      <c r="V138" s="692" t="s">
        <v>4139</v>
      </c>
      <c r="W138" s="692"/>
      <c r="X138" s="761"/>
      <c r="Z138" s="713"/>
      <c r="AA138" s="10"/>
      <c r="AB138" s="8"/>
      <c r="AC138" s="8"/>
      <c r="AD138" s="8"/>
      <c r="AE138" s="8"/>
      <c r="AF138" s="8"/>
      <c r="AG138" s="8"/>
      <c r="AH138" s="761"/>
      <c r="AI138" s="761"/>
    </row>
    <row r="139" spans="1:35" ht="15.75">
      <c r="A139" s="692" t="s">
        <v>2282</v>
      </c>
      <c r="B139" s="692" t="s">
        <v>182</v>
      </c>
      <c r="D139" s="692" t="s">
        <v>317</v>
      </c>
      <c r="E139" s="692" t="s">
        <v>2465</v>
      </c>
      <c r="F139" s="692" t="s">
        <v>5575</v>
      </c>
      <c r="G139" s="692" t="s">
        <v>5729</v>
      </c>
      <c r="H139" s="692" t="s">
        <v>11</v>
      </c>
      <c r="I139" s="692" t="s">
        <v>68</v>
      </c>
      <c r="J139" s="692" t="s">
        <v>6</v>
      </c>
      <c r="K139" s="692" t="s">
        <v>4</v>
      </c>
      <c r="L139" s="692" t="str">
        <f t="shared" si="2"/>
        <v>7-04-02</v>
      </c>
      <c r="M139" s="692"/>
      <c r="N139" s="692"/>
      <c r="O139" s="692"/>
      <c r="P139" s="692" t="s">
        <v>852</v>
      </c>
      <c r="Q139" s="692" t="s">
        <v>4804</v>
      </c>
      <c r="R139" s="692" t="s">
        <v>4430</v>
      </c>
      <c r="S139" s="692">
        <v>27542045</v>
      </c>
      <c r="T139" s="692">
        <v>27542045</v>
      </c>
      <c r="U139" s="692" t="s">
        <v>4431</v>
      </c>
      <c r="V139" s="692" t="s">
        <v>2466</v>
      </c>
      <c r="W139" s="692"/>
      <c r="X139" s="761"/>
      <c r="Z139" s="713"/>
      <c r="AA139" s="10"/>
      <c r="AB139" s="8"/>
      <c r="AC139" s="8"/>
      <c r="AD139" s="8"/>
      <c r="AE139" s="8"/>
      <c r="AF139" s="8"/>
      <c r="AG139" s="8"/>
      <c r="AH139" s="761"/>
      <c r="AI139" s="761"/>
    </row>
    <row r="140" spans="1:35" ht="15.75">
      <c r="A140" s="692" t="s">
        <v>2274</v>
      </c>
      <c r="B140" s="692" t="s">
        <v>185</v>
      </c>
      <c r="D140" s="692" t="s">
        <v>318</v>
      </c>
      <c r="E140" s="692" t="s">
        <v>2467</v>
      </c>
      <c r="F140" s="692" t="s">
        <v>3482</v>
      </c>
      <c r="G140" s="692" t="s">
        <v>5729</v>
      </c>
      <c r="H140" s="692" t="s">
        <v>4</v>
      </c>
      <c r="I140" s="692" t="s">
        <v>68</v>
      </c>
      <c r="J140" s="692" t="s">
        <v>3</v>
      </c>
      <c r="K140" s="692" t="s">
        <v>6</v>
      </c>
      <c r="L140" s="692" t="str">
        <f t="shared" si="2"/>
        <v>7-01-04</v>
      </c>
      <c r="M140" s="692"/>
      <c r="N140" s="692"/>
      <c r="O140" s="692"/>
      <c r="P140" s="692" t="s">
        <v>4140</v>
      </c>
      <c r="Q140" s="692" t="s">
        <v>4804</v>
      </c>
      <c r="R140" s="692" t="s">
        <v>5576</v>
      </c>
      <c r="S140" s="692">
        <v>27561451</v>
      </c>
      <c r="T140" s="692">
        <v>27561451</v>
      </c>
      <c r="U140" s="692" t="s">
        <v>3850</v>
      </c>
      <c r="V140" s="692" t="s">
        <v>4141</v>
      </c>
      <c r="W140" s="692"/>
      <c r="X140" s="761"/>
      <c r="Z140" s="713"/>
      <c r="AA140" s="10"/>
      <c r="AB140" s="8"/>
      <c r="AC140" s="8"/>
      <c r="AD140" s="8"/>
      <c r="AE140" s="8"/>
      <c r="AF140" s="8"/>
      <c r="AG140" s="8"/>
      <c r="AH140" s="761"/>
      <c r="AI140" s="761"/>
    </row>
    <row r="141" spans="1:35" ht="15.75">
      <c r="A141" s="692" t="s">
        <v>2261</v>
      </c>
      <c r="B141" s="692" t="s">
        <v>1155</v>
      </c>
      <c r="D141" s="692" t="s">
        <v>319</v>
      </c>
      <c r="E141" s="692" t="s">
        <v>2468</v>
      </c>
      <c r="F141" s="692" t="s">
        <v>3483</v>
      </c>
      <c r="G141" s="692" t="s">
        <v>5729</v>
      </c>
      <c r="H141" s="692" t="s">
        <v>4</v>
      </c>
      <c r="I141" s="692" t="s">
        <v>68</v>
      </c>
      <c r="J141" s="692" t="s">
        <v>3</v>
      </c>
      <c r="K141" s="692" t="s">
        <v>3</v>
      </c>
      <c r="L141" s="692" t="str">
        <f t="shared" si="2"/>
        <v>7-01-01</v>
      </c>
      <c r="M141" s="692"/>
      <c r="N141" s="692"/>
      <c r="O141" s="692"/>
      <c r="P141" s="692" t="s">
        <v>4831</v>
      </c>
      <c r="Q141" s="692" t="s">
        <v>4804</v>
      </c>
      <c r="R141" s="692" t="s">
        <v>4832</v>
      </c>
      <c r="S141" s="692">
        <v>27989221</v>
      </c>
      <c r="T141" s="692"/>
      <c r="U141" s="692" t="s">
        <v>3851</v>
      </c>
      <c r="V141" s="692" t="s">
        <v>4833</v>
      </c>
      <c r="W141" s="692"/>
      <c r="X141" s="761"/>
      <c r="Z141" s="713"/>
      <c r="AA141" s="10"/>
      <c r="AB141" s="8"/>
      <c r="AC141" s="8"/>
      <c r="AD141" s="8"/>
      <c r="AE141" s="8"/>
      <c r="AF141" s="8"/>
      <c r="AG141" s="8"/>
      <c r="AH141" s="761"/>
      <c r="AI141" s="761"/>
    </row>
    <row r="142" spans="1:35" ht="15.75">
      <c r="A142" s="692" t="s">
        <v>2339</v>
      </c>
      <c r="B142" s="692" t="s">
        <v>229</v>
      </c>
      <c r="D142" s="692" t="s">
        <v>325</v>
      </c>
      <c r="E142" s="692" t="s">
        <v>2471</v>
      </c>
      <c r="F142" s="692" t="s">
        <v>2472</v>
      </c>
      <c r="G142" s="692" t="s">
        <v>79</v>
      </c>
      <c r="H142" s="692" t="s">
        <v>9</v>
      </c>
      <c r="I142" s="692" t="s">
        <v>80</v>
      </c>
      <c r="J142" s="692" t="s">
        <v>11</v>
      </c>
      <c r="K142" s="692" t="s">
        <v>5</v>
      </c>
      <c r="L142" s="692" t="str">
        <f t="shared" si="2"/>
        <v>6-08-03</v>
      </c>
      <c r="M142" s="692"/>
      <c r="N142" s="692"/>
      <c r="O142" s="692"/>
      <c r="P142" s="692" t="s">
        <v>834</v>
      </c>
      <c r="Q142" s="692" t="s">
        <v>4804</v>
      </c>
      <c r="R142" s="692" t="s">
        <v>4181</v>
      </c>
      <c r="S142" s="692">
        <v>27340145</v>
      </c>
      <c r="T142" s="692">
        <v>27340145</v>
      </c>
      <c r="U142" s="692" t="s">
        <v>4637</v>
      </c>
      <c r="V142" s="692" t="s">
        <v>4142</v>
      </c>
      <c r="W142" s="692"/>
      <c r="X142" s="761"/>
      <c r="Z142" s="713"/>
      <c r="AA142" s="10"/>
      <c r="AB142" s="8"/>
      <c r="AC142" s="8"/>
      <c r="AD142" s="8"/>
      <c r="AE142" s="8"/>
      <c r="AF142" s="8"/>
      <c r="AG142" s="8"/>
      <c r="AH142" s="761"/>
      <c r="AI142" s="761"/>
    </row>
    <row r="143" spans="1:35" ht="15.75">
      <c r="A143" s="692" t="s">
        <v>2894</v>
      </c>
      <c r="B143" s="692" t="s">
        <v>539</v>
      </c>
      <c r="D143" s="692" t="s">
        <v>3457</v>
      </c>
      <c r="E143" s="692" t="s">
        <v>3458</v>
      </c>
      <c r="F143" s="692" t="s">
        <v>5663</v>
      </c>
      <c r="G143" s="692" t="s">
        <v>298</v>
      </c>
      <c r="H143" s="692" t="s">
        <v>4</v>
      </c>
      <c r="I143" s="692" t="s">
        <v>126</v>
      </c>
      <c r="J143" s="692" t="s">
        <v>3</v>
      </c>
      <c r="K143" s="692" t="s">
        <v>3</v>
      </c>
      <c r="L143" s="692" t="str">
        <f t="shared" si="2"/>
        <v>5-01-01</v>
      </c>
      <c r="M143" s="692"/>
      <c r="N143" s="692"/>
      <c r="O143" s="692"/>
      <c r="P143" s="692" t="s">
        <v>3459</v>
      </c>
      <c r="Q143" s="692" t="s">
        <v>4804</v>
      </c>
      <c r="R143" s="692" t="s">
        <v>5869</v>
      </c>
      <c r="S143" s="692">
        <v>26650094</v>
      </c>
      <c r="T143" s="692">
        <v>26650094</v>
      </c>
      <c r="U143" s="692" t="s">
        <v>3852</v>
      </c>
      <c r="V143" s="692" t="s">
        <v>3853</v>
      </c>
      <c r="W143" s="692"/>
      <c r="X143" s="761"/>
      <c r="Z143" s="713"/>
      <c r="AA143" s="10"/>
      <c r="AB143" s="8"/>
      <c r="AC143" s="8"/>
      <c r="AD143" s="8"/>
      <c r="AE143" s="8"/>
      <c r="AF143" s="8"/>
      <c r="AG143" s="8"/>
      <c r="AH143" s="761"/>
      <c r="AI143" s="761"/>
    </row>
    <row r="144" spans="1:35" ht="15.75">
      <c r="A144" s="692" t="s">
        <v>2337</v>
      </c>
      <c r="B144" s="692" t="s">
        <v>1121</v>
      </c>
      <c r="D144" s="692" t="s">
        <v>329</v>
      </c>
      <c r="E144" s="692" t="s">
        <v>2476</v>
      </c>
      <c r="F144" s="692" t="s">
        <v>5577</v>
      </c>
      <c r="G144" s="692" t="s">
        <v>750</v>
      </c>
      <c r="H144" s="692" t="s">
        <v>3</v>
      </c>
      <c r="I144" s="692" t="s">
        <v>68</v>
      </c>
      <c r="J144" s="692" t="s">
        <v>4</v>
      </c>
      <c r="K144" s="692" t="s">
        <v>3</v>
      </c>
      <c r="L144" s="692" t="str">
        <f t="shared" si="2"/>
        <v>7-02-01</v>
      </c>
      <c r="M144" s="692"/>
      <c r="N144" s="692"/>
      <c r="O144" s="692"/>
      <c r="P144" s="692" t="s">
        <v>750</v>
      </c>
      <c r="Q144" s="692" t="s">
        <v>4804</v>
      </c>
      <c r="R144" s="692" t="s">
        <v>4143</v>
      </c>
      <c r="S144" s="692">
        <v>27102855</v>
      </c>
      <c r="T144" s="692">
        <v>27102855</v>
      </c>
      <c r="U144" s="692" t="s">
        <v>3594</v>
      </c>
      <c r="V144" s="692" t="s">
        <v>2477</v>
      </c>
      <c r="W144" s="692"/>
      <c r="X144" s="761"/>
      <c r="Z144" s="713"/>
      <c r="AA144" s="10"/>
      <c r="AB144" s="8"/>
      <c r="AC144" s="8"/>
      <c r="AD144" s="8"/>
      <c r="AE144" s="8"/>
      <c r="AF144" s="8"/>
      <c r="AG144" s="8"/>
      <c r="AH144" s="761"/>
      <c r="AI144" s="761"/>
    </row>
    <row r="145" spans="1:35" ht="15.75">
      <c r="A145" s="692" t="s">
        <v>2385</v>
      </c>
      <c r="B145" s="692" t="s">
        <v>1064</v>
      </c>
      <c r="D145" s="714" t="s">
        <v>331</v>
      </c>
      <c r="E145" s="714" t="s">
        <v>5578</v>
      </c>
      <c r="F145" s="714" t="s">
        <v>2478</v>
      </c>
      <c r="G145" s="714" t="s">
        <v>117</v>
      </c>
      <c r="H145" s="714" t="s">
        <v>4</v>
      </c>
      <c r="I145" s="714" t="s">
        <v>43</v>
      </c>
      <c r="J145" s="714" t="s">
        <v>13</v>
      </c>
      <c r="K145" s="714" t="s">
        <v>4</v>
      </c>
      <c r="L145" s="692" t="str">
        <f t="shared" si="2"/>
        <v>2-10-02</v>
      </c>
      <c r="M145" s="714"/>
      <c r="N145" s="714"/>
      <c r="O145" s="714"/>
      <c r="P145" s="714" t="s">
        <v>701</v>
      </c>
      <c r="Q145" s="714" t="s">
        <v>4804</v>
      </c>
      <c r="R145" s="714" t="s">
        <v>5884</v>
      </c>
      <c r="S145" s="714">
        <v>24013122</v>
      </c>
      <c r="T145" s="714">
        <v>24755593</v>
      </c>
      <c r="U145" s="714" t="s">
        <v>5579</v>
      </c>
      <c r="V145" s="714" t="s">
        <v>2479</v>
      </c>
      <c r="W145" s="714"/>
      <c r="X145" s="761"/>
      <c r="Z145" s="714"/>
      <c r="AH145" s="761"/>
      <c r="AI145" s="761"/>
    </row>
    <row r="146" spans="1:35" ht="15.75">
      <c r="A146" s="692" t="s">
        <v>2427</v>
      </c>
      <c r="B146" s="692" t="s">
        <v>280</v>
      </c>
      <c r="D146" s="692" t="s">
        <v>332</v>
      </c>
      <c r="E146" s="692" t="s">
        <v>2480</v>
      </c>
      <c r="F146" s="692" t="s">
        <v>2481</v>
      </c>
      <c r="G146" s="692" t="s">
        <v>5730</v>
      </c>
      <c r="H146" s="692" t="s">
        <v>6</v>
      </c>
      <c r="I146" s="692" t="s">
        <v>43</v>
      </c>
      <c r="J146" s="692" t="s">
        <v>18</v>
      </c>
      <c r="K146" s="692" t="s">
        <v>6</v>
      </c>
      <c r="L146" s="692" t="str">
        <f t="shared" si="2"/>
        <v>2-13-04</v>
      </c>
      <c r="M146" s="692"/>
      <c r="N146" s="692"/>
      <c r="O146" s="692"/>
      <c r="P146" s="692" t="s">
        <v>2482</v>
      </c>
      <c r="Q146" s="692" t="s">
        <v>4804</v>
      </c>
      <c r="R146" s="692" t="s">
        <v>5580</v>
      </c>
      <c r="S146" s="692">
        <v>24668197</v>
      </c>
      <c r="T146" s="692">
        <v>24668197</v>
      </c>
      <c r="U146" s="692" t="s">
        <v>4144</v>
      </c>
      <c r="V146" s="692" t="s">
        <v>2483</v>
      </c>
      <c r="W146" s="692"/>
      <c r="X146" s="761"/>
      <c r="Z146" s="713"/>
      <c r="AA146" s="10"/>
      <c r="AB146" s="8"/>
      <c r="AC146" s="8"/>
      <c r="AD146" s="8"/>
      <c r="AE146" s="8"/>
      <c r="AF146" s="8"/>
      <c r="AG146" s="8"/>
      <c r="AH146" s="761"/>
      <c r="AI146" s="761"/>
    </row>
    <row r="147" spans="1:35" ht="15.75">
      <c r="A147" s="692" t="s">
        <v>3458</v>
      </c>
      <c r="B147" s="692" t="s">
        <v>3457</v>
      </c>
      <c r="D147" s="692" t="s">
        <v>334</v>
      </c>
      <c r="E147" s="692" t="s">
        <v>2486</v>
      </c>
      <c r="F147" s="692" t="s">
        <v>4061</v>
      </c>
      <c r="G147" s="692" t="s">
        <v>387</v>
      </c>
      <c r="H147" s="692" t="s">
        <v>3</v>
      </c>
      <c r="I147" s="692" t="s">
        <v>41</v>
      </c>
      <c r="J147" s="692" t="s">
        <v>388</v>
      </c>
      <c r="K147" s="692" t="s">
        <v>3</v>
      </c>
      <c r="L147" s="692" t="str">
        <f t="shared" si="2"/>
        <v>1-19-01</v>
      </c>
      <c r="M147" s="692"/>
      <c r="N147" s="692"/>
      <c r="O147" s="692"/>
      <c r="P147" s="692" t="s">
        <v>724</v>
      </c>
      <c r="Q147" s="692" t="s">
        <v>3543</v>
      </c>
      <c r="R147" s="692" t="s">
        <v>2487</v>
      </c>
      <c r="S147" s="692">
        <v>27022349</v>
      </c>
      <c r="T147" s="692">
        <v>27718311</v>
      </c>
      <c r="U147" s="692" t="s">
        <v>2488</v>
      </c>
      <c r="V147" s="692" t="s">
        <v>4432</v>
      </c>
      <c r="W147" s="692"/>
      <c r="X147" s="761"/>
      <c r="Z147" s="713"/>
      <c r="AA147" s="10"/>
      <c r="AB147" s="8"/>
      <c r="AC147" s="8"/>
      <c r="AD147" s="8"/>
      <c r="AE147" s="8"/>
      <c r="AF147" s="8"/>
      <c r="AG147" s="8"/>
      <c r="AH147" s="761"/>
      <c r="AI147" s="761"/>
    </row>
    <row r="148" spans="1:35" ht="15.75">
      <c r="A148" s="692" t="s">
        <v>2807</v>
      </c>
      <c r="B148" s="692" t="s">
        <v>904</v>
      </c>
      <c r="D148" s="692" t="s">
        <v>335</v>
      </c>
      <c r="E148" s="692" t="s">
        <v>2489</v>
      </c>
      <c r="F148" s="692" t="s">
        <v>4062</v>
      </c>
      <c r="G148" s="692" t="s">
        <v>387</v>
      </c>
      <c r="H148" s="692" t="s">
        <v>5</v>
      </c>
      <c r="I148" s="692" t="s">
        <v>41</v>
      </c>
      <c r="J148" s="692" t="s">
        <v>388</v>
      </c>
      <c r="K148" s="692" t="s">
        <v>5</v>
      </c>
      <c r="L148" s="692" t="str">
        <f t="shared" si="2"/>
        <v>1-19-03</v>
      </c>
      <c r="M148" s="692"/>
      <c r="N148" s="692"/>
      <c r="O148" s="692"/>
      <c r="P148" s="692" t="s">
        <v>481</v>
      </c>
      <c r="Q148" s="692" t="s">
        <v>4804</v>
      </c>
      <c r="R148" s="692" t="s">
        <v>2383</v>
      </c>
      <c r="S148" s="692">
        <v>27713142</v>
      </c>
      <c r="T148" s="692">
        <v>27715605</v>
      </c>
      <c r="U148" s="692" t="s">
        <v>4145</v>
      </c>
      <c r="V148" s="692" t="s">
        <v>2490</v>
      </c>
      <c r="W148" s="692"/>
      <c r="X148" s="761"/>
      <c r="Z148" s="713"/>
      <c r="AA148" s="10"/>
      <c r="AB148" s="8"/>
      <c r="AC148" s="8"/>
      <c r="AD148" s="8"/>
      <c r="AE148" s="8"/>
      <c r="AF148" s="8"/>
      <c r="AG148" s="8"/>
      <c r="AH148" s="761"/>
      <c r="AI148" s="761"/>
    </row>
    <row r="149" spans="1:35" ht="15.75">
      <c r="A149" s="692" t="s">
        <v>2629</v>
      </c>
      <c r="B149" s="692" t="s">
        <v>416</v>
      </c>
      <c r="D149" s="692" t="s">
        <v>50</v>
      </c>
      <c r="E149" s="692" t="s">
        <v>2491</v>
      </c>
      <c r="F149" s="692" t="s">
        <v>2492</v>
      </c>
      <c r="G149" s="692" t="s">
        <v>125</v>
      </c>
      <c r="H149" s="692" t="s">
        <v>3</v>
      </c>
      <c r="I149" s="692" t="s">
        <v>126</v>
      </c>
      <c r="J149" s="692" t="s">
        <v>5</v>
      </c>
      <c r="K149" s="692" t="s">
        <v>3</v>
      </c>
      <c r="L149" s="692" t="str">
        <f t="shared" si="2"/>
        <v>5-03-01</v>
      </c>
      <c r="M149" s="692"/>
      <c r="N149" s="692"/>
      <c r="O149" s="692"/>
      <c r="P149" s="692" t="s">
        <v>125</v>
      </c>
      <c r="Q149" s="692" t="s">
        <v>4804</v>
      </c>
      <c r="R149" s="692" t="s">
        <v>5854</v>
      </c>
      <c r="S149" s="692">
        <v>26801035</v>
      </c>
      <c r="T149" s="692">
        <v>26801035</v>
      </c>
      <c r="U149" s="692" t="s">
        <v>3595</v>
      </c>
      <c r="V149" s="692" t="s">
        <v>5581</v>
      </c>
      <c r="W149" s="692"/>
      <c r="X149" s="761"/>
      <c r="Z149" s="713"/>
      <c r="AA149" s="10"/>
      <c r="AB149" s="8"/>
      <c r="AC149" s="8"/>
      <c r="AD149" s="8"/>
      <c r="AE149" s="8"/>
      <c r="AF149" s="8"/>
      <c r="AG149" s="8"/>
      <c r="AH149" s="761"/>
      <c r="AI149" s="761"/>
    </row>
    <row r="150" spans="1:35" ht="15.75">
      <c r="A150" s="692" t="s">
        <v>2519</v>
      </c>
      <c r="B150" s="692" t="s">
        <v>360</v>
      </c>
      <c r="D150" s="692" t="s">
        <v>348</v>
      </c>
      <c r="E150" s="692" t="s">
        <v>2502</v>
      </c>
      <c r="F150" s="692" t="s">
        <v>2503</v>
      </c>
      <c r="G150" s="692" t="s">
        <v>47</v>
      </c>
      <c r="H150" s="692" t="s">
        <v>8</v>
      </c>
      <c r="I150" s="692" t="s">
        <v>41</v>
      </c>
      <c r="J150" s="692" t="s">
        <v>17</v>
      </c>
      <c r="K150" s="692" t="s">
        <v>7</v>
      </c>
      <c r="L150" s="692" t="str">
        <f t="shared" si="2"/>
        <v>1-12-05</v>
      </c>
      <c r="M150" s="692"/>
      <c r="N150" s="692"/>
      <c r="O150" s="692"/>
      <c r="P150" s="692" t="s">
        <v>261</v>
      </c>
      <c r="Q150" s="692" t="s">
        <v>4804</v>
      </c>
      <c r="R150" s="692" t="s">
        <v>4834</v>
      </c>
      <c r="S150" s="692">
        <v>25444532</v>
      </c>
      <c r="T150" s="692">
        <v>25444532</v>
      </c>
      <c r="U150" s="692" t="s">
        <v>4433</v>
      </c>
      <c r="V150" s="692" t="s">
        <v>5822</v>
      </c>
      <c r="W150" s="692"/>
      <c r="X150" s="761" t="s">
        <v>3965</v>
      </c>
      <c r="Z150" s="713"/>
      <c r="AA150" s="10"/>
      <c r="AB150" s="8"/>
      <c r="AC150" s="8"/>
      <c r="AD150" s="8"/>
      <c r="AE150" s="8"/>
      <c r="AF150" s="8"/>
      <c r="AG150" s="8"/>
      <c r="AH150" s="761" t="s">
        <v>4493</v>
      </c>
      <c r="AI150" s="761"/>
    </row>
    <row r="151" spans="1:35" ht="15.75">
      <c r="A151" s="692" t="s">
        <v>2308</v>
      </c>
      <c r="B151" s="692" t="s">
        <v>206</v>
      </c>
      <c r="D151" s="692" t="s">
        <v>349</v>
      </c>
      <c r="E151" s="692" t="s">
        <v>2504</v>
      </c>
      <c r="F151" s="692" t="s">
        <v>2505</v>
      </c>
      <c r="G151" s="692" t="s">
        <v>558</v>
      </c>
      <c r="H151" s="692" t="s">
        <v>5</v>
      </c>
      <c r="I151" s="692" t="s">
        <v>126</v>
      </c>
      <c r="J151" s="692" t="s">
        <v>11</v>
      </c>
      <c r="K151" s="692" t="s">
        <v>9</v>
      </c>
      <c r="L151" s="692" t="str">
        <f t="shared" si="2"/>
        <v>5-08-07</v>
      </c>
      <c r="M151" s="692"/>
      <c r="N151" s="692"/>
      <c r="O151" s="692"/>
      <c r="P151" s="692" t="s">
        <v>1196</v>
      </c>
      <c r="Q151" s="692" t="s">
        <v>4804</v>
      </c>
      <c r="R151" s="692" t="s">
        <v>5857</v>
      </c>
      <c r="S151" s="692">
        <v>26944360</v>
      </c>
      <c r="T151" s="692">
        <v>26944360</v>
      </c>
      <c r="U151" s="692" t="s">
        <v>4146</v>
      </c>
      <c r="V151" s="692" t="s">
        <v>4147</v>
      </c>
      <c r="W151" s="692"/>
      <c r="X151" s="761"/>
      <c r="Z151" s="713"/>
      <c r="AA151" s="10"/>
      <c r="AB151" s="8"/>
      <c r="AC151" s="8"/>
      <c r="AD151" s="8"/>
      <c r="AE151" s="8"/>
      <c r="AF151" s="8"/>
      <c r="AG151" s="8"/>
      <c r="AH151" s="761"/>
      <c r="AI151" s="761"/>
    </row>
    <row r="152" spans="1:35" ht="15.75">
      <c r="A152" s="692" t="s">
        <v>2300</v>
      </c>
      <c r="B152" s="692" t="s">
        <v>194</v>
      </c>
      <c r="D152" s="692" t="s">
        <v>354</v>
      </c>
      <c r="E152" s="692" t="s">
        <v>2507</v>
      </c>
      <c r="F152" s="692" t="s">
        <v>2508</v>
      </c>
      <c r="G152" s="692" t="s">
        <v>767</v>
      </c>
      <c r="H152" s="692" t="s">
        <v>11</v>
      </c>
      <c r="I152" s="692" t="s">
        <v>56</v>
      </c>
      <c r="J152" s="692" t="s">
        <v>7</v>
      </c>
      <c r="K152" s="692" t="s">
        <v>7</v>
      </c>
      <c r="L152" s="692" t="str">
        <f t="shared" si="2"/>
        <v>3-05-05</v>
      </c>
      <c r="M152" s="692"/>
      <c r="N152" s="692"/>
      <c r="O152" s="692"/>
      <c r="P152" s="692" t="s">
        <v>214</v>
      </c>
      <c r="Q152" s="692" t="s">
        <v>4804</v>
      </c>
      <c r="R152" s="692" t="s">
        <v>5745</v>
      </c>
      <c r="S152" s="692">
        <v>25591222</v>
      </c>
      <c r="T152" s="692"/>
      <c r="U152" s="692" t="s">
        <v>3854</v>
      </c>
      <c r="V152" s="692" t="s">
        <v>2510</v>
      </c>
      <c r="W152" s="692"/>
      <c r="X152" s="761"/>
      <c r="Z152" s="713"/>
      <c r="AA152" s="10"/>
      <c r="AB152" s="8"/>
      <c r="AC152" s="8"/>
      <c r="AD152" s="8"/>
      <c r="AE152" s="8"/>
      <c r="AF152" s="8"/>
      <c r="AG152" s="8"/>
      <c r="AH152" s="761"/>
      <c r="AI152" s="761"/>
    </row>
    <row r="153" spans="1:35" ht="15.75">
      <c r="A153" s="692" t="s">
        <v>2291</v>
      </c>
      <c r="B153" s="692" t="s">
        <v>1156</v>
      </c>
      <c r="D153" s="692" t="s">
        <v>142</v>
      </c>
      <c r="E153" s="692" t="s">
        <v>2512</v>
      </c>
      <c r="F153" s="692" t="s">
        <v>2513</v>
      </c>
      <c r="G153" s="692" t="s">
        <v>750</v>
      </c>
      <c r="H153" s="692" t="s">
        <v>4</v>
      </c>
      <c r="I153" s="692" t="s">
        <v>68</v>
      </c>
      <c r="J153" s="692" t="s">
        <v>4</v>
      </c>
      <c r="K153" s="692" t="s">
        <v>5</v>
      </c>
      <c r="L153" s="692" t="str">
        <f t="shared" si="2"/>
        <v>7-02-03</v>
      </c>
      <c r="M153" s="692"/>
      <c r="N153" s="692"/>
      <c r="O153" s="692"/>
      <c r="P153" s="692" t="s">
        <v>855</v>
      </c>
      <c r="Q153" s="692" t="s">
        <v>4804</v>
      </c>
      <c r="R153" s="692" t="s">
        <v>2514</v>
      </c>
      <c r="S153" s="692">
        <v>27634252</v>
      </c>
      <c r="T153" s="692"/>
      <c r="U153" s="692" t="s">
        <v>4148</v>
      </c>
      <c r="V153" s="692" t="s">
        <v>2515</v>
      </c>
      <c r="W153" s="692"/>
      <c r="X153" s="761"/>
      <c r="Z153" s="713"/>
      <c r="AA153" s="10"/>
      <c r="AB153" s="8"/>
      <c r="AC153" s="8"/>
      <c r="AD153" s="8"/>
      <c r="AE153" s="8"/>
      <c r="AF153" s="8"/>
      <c r="AG153" s="8"/>
      <c r="AH153" s="761"/>
      <c r="AI153" s="761"/>
    </row>
    <row r="154" spans="1:35" ht="15.75">
      <c r="A154" s="692" t="s">
        <v>2294</v>
      </c>
      <c r="B154" s="692" t="s">
        <v>894</v>
      </c>
      <c r="D154" s="692" t="s">
        <v>235</v>
      </c>
      <c r="E154" s="692" t="s">
        <v>2516</v>
      </c>
      <c r="F154" s="692" t="s">
        <v>5582</v>
      </c>
      <c r="G154" s="692" t="s">
        <v>750</v>
      </c>
      <c r="H154" s="692" t="s">
        <v>11</v>
      </c>
      <c r="I154" s="692" t="s">
        <v>68</v>
      </c>
      <c r="J154" s="692" t="s">
        <v>4</v>
      </c>
      <c r="K154" s="692" t="s">
        <v>5</v>
      </c>
      <c r="L154" s="692" t="str">
        <f t="shared" si="2"/>
        <v>7-02-03</v>
      </c>
      <c r="M154" s="692"/>
      <c r="N154" s="692"/>
      <c r="O154" s="692"/>
      <c r="P154" s="692" t="s">
        <v>2517</v>
      </c>
      <c r="Q154" s="692" t="s">
        <v>4804</v>
      </c>
      <c r="R154" s="692" t="s">
        <v>5818</v>
      </c>
      <c r="S154" s="692">
        <v>27625243</v>
      </c>
      <c r="T154" s="692"/>
      <c r="U154" s="692" t="s">
        <v>3596</v>
      </c>
      <c r="V154" s="692" t="s">
        <v>2518</v>
      </c>
      <c r="W154" s="692"/>
      <c r="X154" s="761"/>
      <c r="Z154" s="713"/>
      <c r="AA154" s="10"/>
      <c r="AB154" s="8"/>
      <c r="AC154" s="8"/>
      <c r="AD154" s="8"/>
      <c r="AE154" s="8"/>
      <c r="AF154" s="8"/>
      <c r="AG154" s="8"/>
      <c r="AH154" s="761"/>
      <c r="AI154" s="761"/>
    </row>
    <row r="155" spans="1:35" ht="15.75">
      <c r="A155" s="692" t="s">
        <v>2536</v>
      </c>
      <c r="B155" s="692" t="s">
        <v>91</v>
      </c>
      <c r="D155" s="692" t="s">
        <v>360</v>
      </c>
      <c r="E155" s="692" t="s">
        <v>2519</v>
      </c>
      <c r="F155" s="692" t="s">
        <v>2520</v>
      </c>
      <c r="G155" s="692" t="s">
        <v>298</v>
      </c>
      <c r="H155" s="692" t="s">
        <v>7</v>
      </c>
      <c r="I155" s="692" t="s">
        <v>126</v>
      </c>
      <c r="J155" s="692" t="s">
        <v>13</v>
      </c>
      <c r="K155" s="692" t="s">
        <v>4</v>
      </c>
      <c r="L155" s="692" t="str">
        <f t="shared" si="2"/>
        <v>5-10-02</v>
      </c>
      <c r="M155" s="692"/>
      <c r="N155" s="692"/>
      <c r="O155" s="692"/>
      <c r="P155" s="692" t="s">
        <v>2521</v>
      </c>
      <c r="Q155" s="692" t="s">
        <v>4804</v>
      </c>
      <c r="R155" s="692" t="s">
        <v>4835</v>
      </c>
      <c r="S155" s="692">
        <v>26777067</v>
      </c>
      <c r="T155" s="692">
        <v>26777067</v>
      </c>
      <c r="U155" s="692" t="s">
        <v>3597</v>
      </c>
      <c r="V155" s="692" t="s">
        <v>2523</v>
      </c>
      <c r="W155" s="692"/>
      <c r="X155" s="761"/>
      <c r="Z155" s="713"/>
      <c r="AA155" s="10"/>
      <c r="AB155" s="8"/>
      <c r="AC155" s="8"/>
      <c r="AD155" s="8"/>
      <c r="AE155" s="8"/>
      <c r="AF155" s="8"/>
      <c r="AG155" s="8"/>
      <c r="AH155" s="761"/>
      <c r="AI155" s="761"/>
    </row>
    <row r="156" spans="1:35" ht="15.75">
      <c r="A156" s="692" t="s">
        <v>2297</v>
      </c>
      <c r="B156" s="692" t="s">
        <v>1157</v>
      </c>
      <c r="D156" s="692" t="s">
        <v>362</v>
      </c>
      <c r="E156" s="692" t="s">
        <v>2524</v>
      </c>
      <c r="F156" s="692" t="s">
        <v>2525</v>
      </c>
      <c r="G156" s="692" t="s">
        <v>117</v>
      </c>
      <c r="H156" s="692" t="s">
        <v>4</v>
      </c>
      <c r="I156" s="692" t="s">
        <v>43</v>
      </c>
      <c r="J156" s="692" t="s">
        <v>13</v>
      </c>
      <c r="K156" s="692" t="s">
        <v>4</v>
      </c>
      <c r="L156" s="692" t="str">
        <f t="shared" si="2"/>
        <v>2-10-02</v>
      </c>
      <c r="M156" s="692"/>
      <c r="N156" s="692"/>
      <c r="O156" s="692"/>
      <c r="P156" s="692" t="s">
        <v>135</v>
      </c>
      <c r="Q156" s="692" t="s">
        <v>4804</v>
      </c>
      <c r="R156" s="692" t="s">
        <v>5829</v>
      </c>
      <c r="S156" s="692">
        <v>24757006</v>
      </c>
      <c r="T156" s="692">
        <v>24757006</v>
      </c>
      <c r="U156" s="692" t="s">
        <v>3598</v>
      </c>
      <c r="V156" s="692" t="s">
        <v>4149</v>
      </c>
      <c r="W156" s="692"/>
      <c r="X156" s="761" t="s">
        <v>738</v>
      </c>
      <c r="Z156" s="713"/>
      <c r="AA156" s="10"/>
      <c r="AB156" s="8"/>
      <c r="AC156" s="8"/>
      <c r="AD156" s="8"/>
      <c r="AE156" s="8"/>
      <c r="AF156" s="8"/>
      <c r="AG156" s="8"/>
      <c r="AH156" s="761"/>
      <c r="AI156" s="761"/>
    </row>
    <row r="157" spans="1:35" ht="15.75">
      <c r="A157" s="692" t="s">
        <v>2611</v>
      </c>
      <c r="B157" s="692" t="s">
        <v>290</v>
      </c>
      <c r="D157" s="692" t="s">
        <v>363</v>
      </c>
      <c r="E157" s="692" t="s">
        <v>2526</v>
      </c>
      <c r="F157" s="692" t="s">
        <v>2527</v>
      </c>
      <c r="G157" s="692" t="s">
        <v>117</v>
      </c>
      <c r="H157" s="692" t="s">
        <v>118</v>
      </c>
      <c r="I157" s="692" t="s">
        <v>43</v>
      </c>
      <c r="J157" s="692" t="s">
        <v>13</v>
      </c>
      <c r="K157" s="692" t="s">
        <v>3</v>
      </c>
      <c r="L157" s="692" t="str">
        <f t="shared" si="2"/>
        <v>2-10-01</v>
      </c>
      <c r="M157" s="692"/>
      <c r="N157" s="692"/>
      <c r="O157" s="692"/>
      <c r="P157" s="692" t="s">
        <v>711</v>
      </c>
      <c r="Q157" s="692" t="s">
        <v>4804</v>
      </c>
      <c r="R157" s="692" t="s">
        <v>2528</v>
      </c>
      <c r="S157" s="692">
        <v>24606529</v>
      </c>
      <c r="T157" s="692">
        <v>24606280</v>
      </c>
      <c r="U157" s="692" t="s">
        <v>3855</v>
      </c>
      <c r="V157" s="692" t="s">
        <v>2529</v>
      </c>
      <c r="W157" s="692"/>
      <c r="X157" s="761"/>
      <c r="Z157" s="713"/>
      <c r="AA157" s="10"/>
      <c r="AB157" s="8"/>
      <c r="AC157" s="8"/>
      <c r="AD157" s="8"/>
      <c r="AE157" s="8"/>
      <c r="AF157" s="8"/>
      <c r="AG157" s="8"/>
      <c r="AH157" s="761"/>
      <c r="AI157" s="761"/>
    </row>
    <row r="158" spans="1:35" ht="15.75">
      <c r="A158" s="692" t="s">
        <v>2491</v>
      </c>
      <c r="B158" s="692" t="s">
        <v>50</v>
      </c>
      <c r="D158" s="692" t="s">
        <v>368</v>
      </c>
      <c r="E158" s="692" t="s">
        <v>2532</v>
      </c>
      <c r="F158" s="692" t="s">
        <v>2533</v>
      </c>
      <c r="G158" s="692" t="s">
        <v>66</v>
      </c>
      <c r="H158" s="692" t="s">
        <v>9</v>
      </c>
      <c r="I158" s="692" t="s">
        <v>43</v>
      </c>
      <c r="J158" s="692" t="s">
        <v>11</v>
      </c>
      <c r="K158" s="692" t="s">
        <v>6</v>
      </c>
      <c r="L158" s="692" t="str">
        <f t="shared" si="2"/>
        <v>2-08-04</v>
      </c>
      <c r="M158" s="692"/>
      <c r="N158" s="692"/>
      <c r="O158" s="692"/>
      <c r="P158" s="692" t="s">
        <v>620</v>
      </c>
      <c r="Q158" s="692" t="s">
        <v>4804</v>
      </c>
      <c r="R158" s="692" t="s">
        <v>4836</v>
      </c>
      <c r="S158" s="692">
        <v>24588211</v>
      </c>
      <c r="T158" s="692">
        <v>24588211</v>
      </c>
      <c r="U158" s="692" t="s">
        <v>3599</v>
      </c>
      <c r="V158" s="692" t="s">
        <v>3600</v>
      </c>
      <c r="W158" s="692"/>
      <c r="X158" s="761"/>
      <c r="Z158" s="713"/>
      <c r="AA158" s="10"/>
      <c r="AB158" s="8"/>
      <c r="AC158" s="8"/>
      <c r="AD158" s="8"/>
      <c r="AE158" s="8"/>
      <c r="AF158" s="8"/>
      <c r="AG158" s="8"/>
      <c r="AH158" s="761"/>
      <c r="AI158" s="761"/>
    </row>
    <row r="159" spans="1:35" ht="15.75">
      <c r="A159" s="692" t="s">
        <v>2299</v>
      </c>
      <c r="B159" s="692" t="s">
        <v>191</v>
      </c>
      <c r="D159" s="692" t="s">
        <v>221</v>
      </c>
      <c r="E159" s="692" t="s">
        <v>2534</v>
      </c>
      <c r="F159" s="692" t="s">
        <v>2535</v>
      </c>
      <c r="G159" s="692" t="s">
        <v>172</v>
      </c>
      <c r="H159" s="692" t="s">
        <v>7</v>
      </c>
      <c r="I159" s="692" t="s">
        <v>41</v>
      </c>
      <c r="J159" s="692" t="s">
        <v>9</v>
      </c>
      <c r="K159" s="692" t="s">
        <v>5</v>
      </c>
      <c r="L159" s="692" t="str">
        <f t="shared" si="2"/>
        <v>1-07-03</v>
      </c>
      <c r="M159" s="692"/>
      <c r="N159" s="692"/>
      <c r="O159" s="692"/>
      <c r="P159" s="692" t="s">
        <v>339</v>
      </c>
      <c r="Q159" s="692" t="s">
        <v>4804</v>
      </c>
      <c r="R159" s="692" t="s">
        <v>4434</v>
      </c>
      <c r="S159" s="692">
        <v>24186271</v>
      </c>
      <c r="T159" s="692">
        <v>24188373</v>
      </c>
      <c r="U159" s="692" t="s">
        <v>3601</v>
      </c>
      <c r="V159" s="692" t="s">
        <v>203</v>
      </c>
      <c r="W159" s="692"/>
      <c r="X159" s="761" t="s">
        <v>661</v>
      </c>
      <c r="Z159" s="713"/>
      <c r="AA159" s="10"/>
      <c r="AB159" s="8"/>
      <c r="AC159" s="8"/>
      <c r="AD159" s="8"/>
      <c r="AE159" s="8"/>
      <c r="AF159" s="8"/>
      <c r="AG159" s="8"/>
      <c r="AH159" s="761"/>
      <c r="AI159" s="761"/>
    </row>
    <row r="160" spans="1:35" ht="15.75">
      <c r="A160" s="692" t="s">
        <v>2766</v>
      </c>
      <c r="B160" s="692" t="s">
        <v>1074</v>
      </c>
      <c r="D160" s="692" t="s">
        <v>91</v>
      </c>
      <c r="E160" s="692" t="s">
        <v>2536</v>
      </c>
      <c r="F160" s="692" t="s">
        <v>2537</v>
      </c>
      <c r="G160" s="692" t="s">
        <v>798</v>
      </c>
      <c r="H160" s="692" t="s">
        <v>8</v>
      </c>
      <c r="I160" s="692" t="s">
        <v>126</v>
      </c>
      <c r="J160" s="692" t="s">
        <v>4</v>
      </c>
      <c r="K160" s="692" t="s">
        <v>8</v>
      </c>
      <c r="L160" s="692" t="str">
        <f t="shared" si="2"/>
        <v>5-02-06</v>
      </c>
      <c r="M160" s="692"/>
      <c r="N160" s="692"/>
      <c r="O160" s="692"/>
      <c r="P160" s="692" t="s">
        <v>214</v>
      </c>
      <c r="Q160" s="692" t="s">
        <v>4804</v>
      </c>
      <c r="R160" s="692" t="s">
        <v>4880</v>
      </c>
      <c r="S160" s="692">
        <v>26820268</v>
      </c>
      <c r="T160" s="692">
        <v>26820522</v>
      </c>
      <c r="U160" s="692" t="s">
        <v>3602</v>
      </c>
      <c r="V160" s="692" t="s">
        <v>2538</v>
      </c>
      <c r="W160" s="692"/>
      <c r="X160" s="761" t="s">
        <v>1193</v>
      </c>
      <c r="Z160" s="713"/>
      <c r="AA160" s="10"/>
      <c r="AB160" s="8"/>
      <c r="AC160" s="8"/>
      <c r="AD160" s="8"/>
      <c r="AE160" s="8"/>
      <c r="AF160" s="8"/>
      <c r="AG160" s="8"/>
      <c r="AH160" s="761"/>
      <c r="AI160" s="761"/>
    </row>
    <row r="161" spans="1:35" ht="15.75">
      <c r="A161" s="692" t="s">
        <v>2305</v>
      </c>
      <c r="B161" s="692" t="s">
        <v>197</v>
      </c>
      <c r="D161" s="692" t="s">
        <v>183</v>
      </c>
      <c r="E161" s="692" t="s">
        <v>2539</v>
      </c>
      <c r="F161" s="692" t="s">
        <v>2540</v>
      </c>
      <c r="G161" s="692" t="s">
        <v>5730</v>
      </c>
      <c r="H161" s="692" t="s">
        <v>4</v>
      </c>
      <c r="I161" s="692" t="s">
        <v>43</v>
      </c>
      <c r="J161" s="692" t="s">
        <v>18</v>
      </c>
      <c r="K161" s="692" t="s">
        <v>4</v>
      </c>
      <c r="L161" s="692" t="str">
        <f t="shared" si="2"/>
        <v>2-13-02</v>
      </c>
      <c r="M161" s="692"/>
      <c r="N161" s="692"/>
      <c r="O161" s="692"/>
      <c r="P161" s="692" t="s">
        <v>784</v>
      </c>
      <c r="Q161" s="692" t="s">
        <v>4804</v>
      </c>
      <c r="R161" s="692" t="s">
        <v>2541</v>
      </c>
      <c r="S161" s="692">
        <v>24660194</v>
      </c>
      <c r="T161" s="692">
        <v>24660194</v>
      </c>
      <c r="U161" s="692" t="s">
        <v>4150</v>
      </c>
      <c r="V161" s="692" t="s">
        <v>2542</v>
      </c>
      <c r="W161" s="692"/>
      <c r="X161" s="761"/>
      <c r="Z161" s="713"/>
      <c r="AA161" s="10"/>
      <c r="AB161" s="8"/>
      <c r="AC161" s="8"/>
      <c r="AD161" s="8"/>
      <c r="AE161" s="8"/>
      <c r="AF161" s="8"/>
      <c r="AG161" s="8"/>
      <c r="AH161" s="761"/>
      <c r="AI161" s="761"/>
    </row>
    <row r="162" spans="1:35" ht="15.75">
      <c r="A162" s="692" t="s">
        <v>2302</v>
      </c>
      <c r="B162" s="692" t="s">
        <v>204</v>
      </c>
      <c r="D162" s="692" t="s">
        <v>369</v>
      </c>
      <c r="E162" s="692" t="s">
        <v>2543</v>
      </c>
      <c r="F162" s="692" t="s">
        <v>2544</v>
      </c>
      <c r="G162" s="692" t="s">
        <v>5730</v>
      </c>
      <c r="H162" s="692" t="s">
        <v>8</v>
      </c>
      <c r="I162" s="692" t="s">
        <v>43</v>
      </c>
      <c r="J162" s="692" t="s">
        <v>107</v>
      </c>
      <c r="K162" s="692" t="s">
        <v>6</v>
      </c>
      <c r="L162" s="692" t="str">
        <f t="shared" si="2"/>
        <v>2-15-04</v>
      </c>
      <c r="M162" s="692"/>
      <c r="N162" s="692"/>
      <c r="O162" s="692"/>
      <c r="P162" s="692" t="s">
        <v>112</v>
      </c>
      <c r="Q162" s="692" t="s">
        <v>4804</v>
      </c>
      <c r="R162" s="692" t="s">
        <v>2545</v>
      </c>
      <c r="S162" s="692">
        <v>24021111</v>
      </c>
      <c r="T162" s="692">
        <v>24021089</v>
      </c>
      <c r="U162" s="692" t="s">
        <v>3856</v>
      </c>
      <c r="V162" s="692" t="s">
        <v>2546</v>
      </c>
      <c r="W162" s="692"/>
      <c r="X162" s="761"/>
      <c r="Z162" s="713"/>
      <c r="AA162" s="10"/>
      <c r="AB162" s="8"/>
      <c r="AC162" s="8"/>
      <c r="AD162" s="8"/>
      <c r="AE162" s="8"/>
      <c r="AF162" s="8"/>
      <c r="AG162" s="8"/>
      <c r="AH162" s="761"/>
      <c r="AI162" s="761"/>
    </row>
    <row r="163" spans="1:35" ht="15.75">
      <c r="A163" s="692" t="s">
        <v>2599</v>
      </c>
      <c r="B163" s="692" t="s">
        <v>398</v>
      </c>
      <c r="D163" s="692" t="s">
        <v>1772</v>
      </c>
      <c r="E163" s="692" t="s">
        <v>2547</v>
      </c>
      <c r="F163" s="692" t="s">
        <v>2548</v>
      </c>
      <c r="G163" s="692" t="s">
        <v>5730</v>
      </c>
      <c r="H163" s="692" t="s">
        <v>9</v>
      </c>
      <c r="I163" s="692" t="s">
        <v>43</v>
      </c>
      <c r="J163" s="692" t="s">
        <v>18</v>
      </c>
      <c r="K163" s="692" t="s">
        <v>8</v>
      </c>
      <c r="L163" s="692" t="str">
        <f t="shared" si="2"/>
        <v>2-13-06</v>
      </c>
      <c r="M163" s="692"/>
      <c r="N163" s="692"/>
      <c r="O163" s="692"/>
      <c r="P163" s="692" t="s">
        <v>787</v>
      </c>
      <c r="Q163" s="692" t="s">
        <v>4804</v>
      </c>
      <c r="R163" s="692" t="s">
        <v>4655</v>
      </c>
      <c r="S163" s="692">
        <v>24702433</v>
      </c>
      <c r="T163" s="692">
        <v>24702433</v>
      </c>
      <c r="U163" s="692" t="s">
        <v>3603</v>
      </c>
      <c r="V163" s="692" t="s">
        <v>2549</v>
      </c>
      <c r="W163" s="692"/>
      <c r="X163" s="761"/>
      <c r="Z163" s="713"/>
      <c r="AA163" s="10"/>
      <c r="AB163" s="8"/>
      <c r="AC163" s="8"/>
      <c r="AD163" s="8"/>
      <c r="AE163" s="8"/>
      <c r="AF163" s="8"/>
      <c r="AG163" s="8"/>
      <c r="AH163" s="761"/>
      <c r="AI163" s="761"/>
    </row>
    <row r="164" spans="1:35" ht="15.75">
      <c r="A164" s="692" t="s">
        <v>2420</v>
      </c>
      <c r="B164" s="692" t="s">
        <v>96</v>
      </c>
      <c r="D164" s="692" t="s">
        <v>370</v>
      </c>
      <c r="E164" s="692" t="s">
        <v>2550</v>
      </c>
      <c r="F164" s="692" t="s">
        <v>2551</v>
      </c>
      <c r="G164" s="692" t="s">
        <v>4394</v>
      </c>
      <c r="H164" s="692" t="s">
        <v>8</v>
      </c>
      <c r="I164" s="692" t="s">
        <v>41</v>
      </c>
      <c r="J164" s="692" t="s">
        <v>13</v>
      </c>
      <c r="K164" s="692" t="s">
        <v>3</v>
      </c>
      <c r="L164" s="692" t="str">
        <f t="shared" si="2"/>
        <v>1-10-01</v>
      </c>
      <c r="M164" s="692"/>
      <c r="N164" s="692"/>
      <c r="O164" s="692"/>
      <c r="P164" s="692" t="s">
        <v>138</v>
      </c>
      <c r="Q164" s="692" t="s">
        <v>4804</v>
      </c>
      <c r="R164" s="692" t="s">
        <v>5584</v>
      </c>
      <c r="S164" s="692">
        <v>22144375</v>
      </c>
      <c r="T164" s="692">
        <v>22527096</v>
      </c>
      <c r="U164" s="692" t="s">
        <v>3857</v>
      </c>
      <c r="V164" s="692" t="s">
        <v>2552</v>
      </c>
      <c r="W164" s="692"/>
      <c r="X164" s="761"/>
      <c r="Z164" s="713"/>
      <c r="AA164" s="10"/>
      <c r="AB164" s="8"/>
      <c r="AC164" s="8"/>
      <c r="AD164" s="8"/>
      <c r="AE164" s="8"/>
      <c r="AF164" s="8"/>
      <c r="AG164" s="8"/>
      <c r="AH164" s="761"/>
      <c r="AI164" s="761"/>
    </row>
    <row r="165" spans="1:35" ht="15.75">
      <c r="A165" s="692" t="s">
        <v>2504</v>
      </c>
      <c r="B165" s="692" t="s">
        <v>349</v>
      </c>
      <c r="D165" s="692" t="s">
        <v>1773</v>
      </c>
      <c r="E165" s="692" t="s">
        <v>2553</v>
      </c>
      <c r="F165" s="692" t="s">
        <v>2085</v>
      </c>
      <c r="G165" s="692" t="s">
        <v>4396</v>
      </c>
      <c r="H165" s="692" t="s">
        <v>8</v>
      </c>
      <c r="I165" s="692" t="s">
        <v>41</v>
      </c>
      <c r="J165" s="692" t="s">
        <v>16</v>
      </c>
      <c r="K165" s="692" t="s">
        <v>6</v>
      </c>
      <c r="L165" s="692" t="str">
        <f t="shared" si="2"/>
        <v>1-11-04</v>
      </c>
      <c r="M165" s="692"/>
      <c r="N165" s="692"/>
      <c r="O165" s="692"/>
      <c r="P165" s="692" t="s">
        <v>132</v>
      </c>
      <c r="Q165" s="692" t="s">
        <v>4804</v>
      </c>
      <c r="R165" s="692" t="s">
        <v>4638</v>
      </c>
      <c r="S165" s="692">
        <v>22927723</v>
      </c>
      <c r="T165" s="692"/>
      <c r="U165" s="692" t="s">
        <v>3858</v>
      </c>
      <c r="V165" s="692" t="s">
        <v>2554</v>
      </c>
      <c r="W165" s="692"/>
      <c r="X165" s="761"/>
      <c r="Z165" s="713"/>
      <c r="AA165" s="10"/>
      <c r="AB165" s="8"/>
      <c r="AC165" s="8"/>
      <c r="AD165" s="8"/>
      <c r="AE165" s="8"/>
      <c r="AF165" s="8"/>
      <c r="AG165" s="8"/>
      <c r="AH165" s="761"/>
      <c r="AI165" s="761"/>
    </row>
    <row r="166" spans="1:35" ht="15.75">
      <c r="A166" s="692" t="s">
        <v>2813</v>
      </c>
      <c r="B166" s="692" t="s">
        <v>1072</v>
      </c>
      <c r="D166" s="692" t="s">
        <v>374</v>
      </c>
      <c r="E166" s="692" t="s">
        <v>2564</v>
      </c>
      <c r="F166" s="692" t="s">
        <v>2565</v>
      </c>
      <c r="G166" s="692" t="s">
        <v>128</v>
      </c>
      <c r="H166" s="692" t="s">
        <v>9</v>
      </c>
      <c r="I166" s="692" t="s">
        <v>56</v>
      </c>
      <c r="J166" s="692" t="s">
        <v>3</v>
      </c>
      <c r="K166" s="692" t="s">
        <v>9</v>
      </c>
      <c r="L166" s="692" t="str">
        <f t="shared" si="2"/>
        <v>3-01-07</v>
      </c>
      <c r="M166" s="692"/>
      <c r="N166" s="692"/>
      <c r="O166" s="692"/>
      <c r="P166" s="692" t="s">
        <v>200</v>
      </c>
      <c r="Q166" s="692" t="s">
        <v>4804</v>
      </c>
      <c r="R166" s="692" t="s">
        <v>5585</v>
      </c>
      <c r="S166" s="692">
        <v>25480608</v>
      </c>
      <c r="T166" s="692">
        <v>25481444</v>
      </c>
      <c r="U166" s="692" t="s">
        <v>3859</v>
      </c>
      <c r="V166" s="692" t="s">
        <v>3604</v>
      </c>
      <c r="W166" s="692"/>
      <c r="X166" s="761" t="s">
        <v>658</v>
      </c>
      <c r="Z166" s="713"/>
      <c r="AA166" s="10"/>
      <c r="AB166" s="8"/>
      <c r="AC166" s="8"/>
      <c r="AD166" s="8"/>
      <c r="AE166" s="8"/>
      <c r="AF166" s="8"/>
      <c r="AG166" s="8"/>
      <c r="AH166" s="761"/>
      <c r="AI166" s="761"/>
    </row>
    <row r="167" spans="1:35" ht="15.75">
      <c r="A167" s="692" t="s">
        <v>2312</v>
      </c>
      <c r="B167" s="692" t="s">
        <v>215</v>
      </c>
      <c r="D167" s="692" t="s">
        <v>302</v>
      </c>
      <c r="E167" s="692" t="s">
        <v>2566</v>
      </c>
      <c r="F167" s="692" t="s">
        <v>2567</v>
      </c>
      <c r="G167" s="692" t="s">
        <v>128</v>
      </c>
      <c r="H167" s="692" t="s">
        <v>4</v>
      </c>
      <c r="I167" s="692" t="s">
        <v>56</v>
      </c>
      <c r="J167" s="692" t="s">
        <v>3</v>
      </c>
      <c r="K167" s="692" t="s">
        <v>8</v>
      </c>
      <c r="L167" s="692" t="str">
        <f t="shared" si="2"/>
        <v>3-01-06</v>
      </c>
      <c r="M167" s="692"/>
      <c r="N167" s="692"/>
      <c r="O167" s="692"/>
      <c r="P167" s="692" t="s">
        <v>54</v>
      </c>
      <c r="Q167" s="692" t="s">
        <v>4804</v>
      </c>
      <c r="R167" s="692" t="s">
        <v>4639</v>
      </c>
      <c r="S167" s="692">
        <v>25517923</v>
      </c>
      <c r="T167" s="692"/>
      <c r="U167" s="692" t="s">
        <v>4151</v>
      </c>
      <c r="V167" s="692" t="s">
        <v>3605</v>
      </c>
      <c r="W167" s="692"/>
      <c r="X167" s="761" t="s">
        <v>659</v>
      </c>
      <c r="Z167" s="713"/>
      <c r="AA167" s="10"/>
      <c r="AB167" s="8"/>
      <c r="AC167" s="8"/>
      <c r="AD167" s="8"/>
      <c r="AE167" s="8"/>
      <c r="AF167" s="8"/>
      <c r="AG167" s="8"/>
      <c r="AH167" s="761"/>
      <c r="AI167" s="761"/>
    </row>
    <row r="168" spans="1:35" ht="15.75">
      <c r="A168" s="692" t="s">
        <v>2319</v>
      </c>
      <c r="B168" s="692" t="s">
        <v>2318</v>
      </c>
      <c r="D168" s="692" t="s">
        <v>380</v>
      </c>
      <c r="E168" s="692" t="s">
        <v>2569</v>
      </c>
      <c r="F168" s="692" t="s">
        <v>2570</v>
      </c>
      <c r="G168" s="692" t="s">
        <v>4397</v>
      </c>
      <c r="H168" s="692" t="s">
        <v>16</v>
      </c>
      <c r="I168" s="692" t="s">
        <v>80</v>
      </c>
      <c r="J168" s="692" t="s">
        <v>5</v>
      </c>
      <c r="K168" s="692" t="s">
        <v>6</v>
      </c>
      <c r="L168" s="692" t="str">
        <f t="shared" si="2"/>
        <v>6-03-04</v>
      </c>
      <c r="M168" s="692"/>
      <c r="N168" s="692"/>
      <c r="O168" s="692"/>
      <c r="P168" s="692" t="s">
        <v>567</v>
      </c>
      <c r="Q168" s="692" t="s">
        <v>4804</v>
      </c>
      <c r="R168" s="692" t="s">
        <v>4640</v>
      </c>
      <c r="S168" s="692">
        <v>27302459</v>
      </c>
      <c r="T168" s="692">
        <v>27302459</v>
      </c>
      <c r="U168" s="692" t="s">
        <v>3763</v>
      </c>
      <c r="V168" s="692" t="s">
        <v>2571</v>
      </c>
      <c r="W168" s="692"/>
      <c r="X168" s="761"/>
      <c r="Z168" s="713"/>
      <c r="AA168" s="10"/>
      <c r="AB168" s="8"/>
      <c r="AC168" s="8"/>
      <c r="AD168" s="8"/>
      <c r="AE168" s="8"/>
      <c r="AF168" s="8"/>
      <c r="AG168" s="8"/>
      <c r="AH168" s="761"/>
      <c r="AI168" s="761"/>
    </row>
    <row r="169" spans="1:35" ht="15.75">
      <c r="A169" s="692" t="s">
        <v>2321</v>
      </c>
      <c r="B169" s="692" t="s">
        <v>1736</v>
      </c>
      <c r="D169" s="692" t="s">
        <v>385</v>
      </c>
      <c r="E169" s="692" t="s">
        <v>2576</v>
      </c>
      <c r="F169" s="692" t="s">
        <v>5586</v>
      </c>
      <c r="G169" s="692" t="s">
        <v>750</v>
      </c>
      <c r="H169" s="692" t="s">
        <v>3</v>
      </c>
      <c r="I169" s="692" t="s">
        <v>68</v>
      </c>
      <c r="J169" s="692" t="s">
        <v>4</v>
      </c>
      <c r="K169" s="692" t="s">
        <v>4</v>
      </c>
      <c r="L169" s="692" t="str">
        <f t="shared" si="2"/>
        <v>7-02-02</v>
      </c>
      <c r="M169" s="692"/>
      <c r="N169" s="692"/>
      <c r="O169" s="692"/>
      <c r="P169" s="692" t="s">
        <v>768</v>
      </c>
      <c r="Q169" s="692" t="s">
        <v>4804</v>
      </c>
      <c r="R169" s="692" t="s">
        <v>2726</v>
      </c>
      <c r="S169" s="692">
        <v>27638315</v>
      </c>
      <c r="T169" s="692"/>
      <c r="U169" s="692" t="s">
        <v>4641</v>
      </c>
      <c r="V169" s="692" t="s">
        <v>4837</v>
      </c>
      <c r="W169" s="692"/>
      <c r="X169" s="761"/>
      <c r="Z169" s="713"/>
      <c r="AA169" s="10"/>
      <c r="AB169" s="8"/>
      <c r="AC169" s="8"/>
      <c r="AD169" s="8"/>
      <c r="AE169" s="8"/>
      <c r="AF169" s="8"/>
      <c r="AG169" s="8"/>
      <c r="AH169" s="761"/>
      <c r="AI169" s="761"/>
    </row>
    <row r="170" spans="1:35" ht="15.75">
      <c r="A170" s="692" t="s">
        <v>2315</v>
      </c>
      <c r="B170" s="692" t="s">
        <v>219</v>
      </c>
      <c r="D170" s="692" t="s">
        <v>386</v>
      </c>
      <c r="E170" s="692" t="s">
        <v>2577</v>
      </c>
      <c r="F170" s="692" t="s">
        <v>5587</v>
      </c>
      <c r="G170" s="692" t="s">
        <v>750</v>
      </c>
      <c r="H170" s="692" t="s">
        <v>9</v>
      </c>
      <c r="I170" s="692" t="s">
        <v>68</v>
      </c>
      <c r="J170" s="692" t="s">
        <v>8</v>
      </c>
      <c r="K170" s="692" t="s">
        <v>7</v>
      </c>
      <c r="L170" s="692" t="str">
        <f t="shared" si="2"/>
        <v>7-06-05</v>
      </c>
      <c r="M170" s="692"/>
      <c r="N170" s="692"/>
      <c r="O170" s="692"/>
      <c r="P170" s="692" t="s">
        <v>2578</v>
      </c>
      <c r="Q170" s="692" t="s">
        <v>4804</v>
      </c>
      <c r="R170" s="692" t="s">
        <v>2579</v>
      </c>
      <c r="S170" s="692">
        <v>27621585</v>
      </c>
      <c r="T170" s="692">
        <v>22621568</v>
      </c>
      <c r="U170" s="692" t="s">
        <v>3606</v>
      </c>
      <c r="V170" s="692" t="s">
        <v>2580</v>
      </c>
      <c r="W170" s="692"/>
      <c r="X170" s="761"/>
      <c r="Z170" s="713"/>
      <c r="AA170" s="10"/>
      <c r="AB170" s="8"/>
      <c r="AC170" s="8"/>
      <c r="AD170" s="8"/>
      <c r="AE170" s="8"/>
      <c r="AF170" s="8"/>
      <c r="AG170" s="8"/>
      <c r="AH170" s="761"/>
      <c r="AI170" s="761"/>
    </row>
    <row r="171" spans="1:35" ht="15.75">
      <c r="A171" s="692" t="s">
        <v>2352</v>
      </c>
      <c r="B171" s="692" t="s">
        <v>240</v>
      </c>
      <c r="D171" s="692" t="s">
        <v>390</v>
      </c>
      <c r="E171" s="692" t="s">
        <v>2581</v>
      </c>
      <c r="F171" s="692" t="s">
        <v>2582</v>
      </c>
      <c r="G171" s="692" t="s">
        <v>128</v>
      </c>
      <c r="H171" s="692" t="s">
        <v>8</v>
      </c>
      <c r="I171" s="692" t="s">
        <v>56</v>
      </c>
      <c r="J171" s="692" t="s">
        <v>5</v>
      </c>
      <c r="K171" s="692" t="s">
        <v>4</v>
      </c>
      <c r="L171" s="692" t="str">
        <f t="shared" si="2"/>
        <v>3-03-02</v>
      </c>
      <c r="M171" s="692"/>
      <c r="N171" s="692"/>
      <c r="O171" s="692"/>
      <c r="P171" s="692" t="s">
        <v>765</v>
      </c>
      <c r="Q171" s="692" t="s">
        <v>4804</v>
      </c>
      <c r="R171" s="692" t="s">
        <v>5749</v>
      </c>
      <c r="S171" s="692">
        <v>22792929</v>
      </c>
      <c r="T171" s="692">
        <v>88448322</v>
      </c>
      <c r="U171" s="692" t="s">
        <v>4152</v>
      </c>
      <c r="V171" s="692" t="s">
        <v>3607</v>
      </c>
      <c r="W171" s="692"/>
      <c r="X171" s="761"/>
      <c r="Z171" s="713"/>
      <c r="AA171" s="10"/>
      <c r="AB171" s="8"/>
      <c r="AC171" s="8"/>
      <c r="AD171" s="8"/>
      <c r="AE171" s="8"/>
      <c r="AF171" s="8"/>
      <c r="AG171" s="8"/>
      <c r="AH171" s="761"/>
      <c r="AI171" s="761"/>
    </row>
    <row r="172" spans="1:35" ht="15.75">
      <c r="A172" s="692" t="s">
        <v>2443</v>
      </c>
      <c r="B172" s="692" t="s">
        <v>1749</v>
      </c>
      <c r="D172" s="692" t="s">
        <v>391</v>
      </c>
      <c r="E172" s="692" t="s">
        <v>2583</v>
      </c>
      <c r="F172" s="692" t="s">
        <v>2584</v>
      </c>
      <c r="G172" s="692" t="s">
        <v>65</v>
      </c>
      <c r="H172" s="692" t="s">
        <v>12</v>
      </c>
      <c r="I172" s="692" t="s">
        <v>43</v>
      </c>
      <c r="J172" s="692" t="s">
        <v>4</v>
      </c>
      <c r="K172" s="692" t="s">
        <v>18</v>
      </c>
      <c r="L172" s="692" t="str">
        <f t="shared" si="2"/>
        <v>2-02-13</v>
      </c>
      <c r="M172" s="692"/>
      <c r="N172" s="692"/>
      <c r="O172" s="692"/>
      <c r="P172" s="692" t="s">
        <v>728</v>
      </c>
      <c r="Q172" s="692" t="s">
        <v>4804</v>
      </c>
      <c r="R172" s="692" t="s">
        <v>2585</v>
      </c>
      <c r="S172" s="692">
        <v>24791632</v>
      </c>
      <c r="T172" s="692">
        <v>24810610</v>
      </c>
      <c r="U172" s="692" t="s">
        <v>3860</v>
      </c>
      <c r="V172" s="692" t="s">
        <v>2586</v>
      </c>
      <c r="W172" s="692"/>
      <c r="X172" s="761"/>
      <c r="Z172" s="713"/>
      <c r="AA172" s="10"/>
      <c r="AB172" s="8"/>
      <c r="AC172" s="8"/>
      <c r="AD172" s="8"/>
      <c r="AE172" s="8"/>
      <c r="AF172" s="8"/>
      <c r="AG172" s="8"/>
      <c r="AH172" s="761"/>
      <c r="AI172" s="761"/>
    </row>
    <row r="173" spans="1:35" ht="15.75">
      <c r="A173" s="692" t="s">
        <v>2451</v>
      </c>
      <c r="B173" s="692" t="s">
        <v>291</v>
      </c>
      <c r="D173" s="692" t="s">
        <v>392</v>
      </c>
      <c r="E173" s="692" t="s">
        <v>2587</v>
      </c>
      <c r="F173" s="692" t="s">
        <v>2588</v>
      </c>
      <c r="G173" s="692" t="s">
        <v>117</v>
      </c>
      <c r="H173" s="692" t="s">
        <v>13</v>
      </c>
      <c r="I173" s="692" t="s">
        <v>43</v>
      </c>
      <c r="J173" s="692" t="s">
        <v>118</v>
      </c>
      <c r="K173" s="692" t="s">
        <v>5</v>
      </c>
      <c r="L173" s="692" t="str">
        <f t="shared" si="2"/>
        <v>2-14-03</v>
      </c>
      <c r="M173" s="692"/>
      <c r="N173" s="692"/>
      <c r="O173" s="692"/>
      <c r="P173" s="692" t="s">
        <v>586</v>
      </c>
      <c r="Q173" s="692" t="s">
        <v>4804</v>
      </c>
      <c r="R173" s="692" t="s">
        <v>3013</v>
      </c>
      <c r="S173" s="692">
        <v>24718105</v>
      </c>
      <c r="T173" s="692"/>
      <c r="U173" s="692" t="s">
        <v>3608</v>
      </c>
      <c r="V173" s="692" t="s">
        <v>2589</v>
      </c>
      <c r="W173" s="692"/>
      <c r="X173" s="761"/>
      <c r="Z173" s="713"/>
      <c r="AA173" s="10"/>
      <c r="AB173" s="8"/>
      <c r="AC173" s="8"/>
      <c r="AD173" s="8"/>
      <c r="AE173" s="8"/>
      <c r="AF173" s="8"/>
      <c r="AG173" s="8"/>
      <c r="AH173" s="761"/>
      <c r="AI173" s="761"/>
    </row>
    <row r="174" spans="1:35" ht="15.75">
      <c r="A174" s="692" t="s">
        <v>2433</v>
      </c>
      <c r="B174" s="692" t="s">
        <v>284</v>
      </c>
      <c r="D174" s="692" t="s">
        <v>283</v>
      </c>
      <c r="E174" s="692" t="s">
        <v>2590</v>
      </c>
      <c r="F174" s="692" t="s">
        <v>2591</v>
      </c>
      <c r="G174" s="692" t="s">
        <v>66</v>
      </c>
      <c r="H174" s="692" t="s">
        <v>6</v>
      </c>
      <c r="I174" s="692" t="s">
        <v>43</v>
      </c>
      <c r="J174" s="692" t="s">
        <v>3</v>
      </c>
      <c r="K174" s="692" t="s">
        <v>6</v>
      </c>
      <c r="L174" s="692" t="str">
        <f t="shared" si="2"/>
        <v>2-01-04</v>
      </c>
      <c r="M174" s="692"/>
      <c r="N174" s="692"/>
      <c r="O174" s="692"/>
      <c r="P174" s="692" t="s">
        <v>2592</v>
      </c>
      <c r="Q174" s="692" t="s">
        <v>4804</v>
      </c>
      <c r="R174" s="692" t="s">
        <v>3551</v>
      </c>
      <c r="S174" s="692">
        <v>24381386</v>
      </c>
      <c r="T174" s="692">
        <v>24381386</v>
      </c>
      <c r="U174" s="692" t="s">
        <v>3609</v>
      </c>
      <c r="V174" s="692" t="s">
        <v>5880</v>
      </c>
      <c r="W174" s="692"/>
      <c r="X174" s="761" t="s">
        <v>522</v>
      </c>
      <c r="Z174" s="713"/>
      <c r="AA174" s="10"/>
      <c r="AB174" s="8"/>
      <c r="AC174" s="8"/>
      <c r="AD174" s="8"/>
      <c r="AE174" s="8"/>
      <c r="AF174" s="8"/>
      <c r="AG174" s="8"/>
      <c r="AH174" s="761"/>
      <c r="AI174" s="761"/>
    </row>
    <row r="175" spans="1:35" ht="15.75">
      <c r="A175" s="692" t="s">
        <v>2461</v>
      </c>
      <c r="B175" s="692" t="s">
        <v>315</v>
      </c>
      <c r="D175" s="692" t="s">
        <v>396</v>
      </c>
      <c r="E175" s="692" t="s">
        <v>2593</v>
      </c>
      <c r="F175" s="692" t="s">
        <v>2594</v>
      </c>
      <c r="G175" s="692" t="s">
        <v>66</v>
      </c>
      <c r="H175" s="692" t="s">
        <v>7</v>
      </c>
      <c r="I175" s="692" t="s">
        <v>43</v>
      </c>
      <c r="J175" s="692" t="s">
        <v>3</v>
      </c>
      <c r="K175" s="692" t="s">
        <v>17</v>
      </c>
      <c r="L175" s="692" t="str">
        <f t="shared" si="2"/>
        <v>2-01-12</v>
      </c>
      <c r="M175" s="692"/>
      <c r="N175" s="692"/>
      <c r="O175" s="692"/>
      <c r="P175" s="692" t="s">
        <v>618</v>
      </c>
      <c r="Q175" s="692" t="s">
        <v>4804</v>
      </c>
      <c r="R175" s="692" t="s">
        <v>2595</v>
      </c>
      <c r="S175" s="692">
        <v>24302885</v>
      </c>
      <c r="T175" s="692">
        <v>24302885</v>
      </c>
      <c r="U175" s="692" t="s">
        <v>5859</v>
      </c>
      <c r="V175" s="692" t="s">
        <v>5860</v>
      </c>
      <c r="W175" s="692"/>
      <c r="X175" s="761"/>
      <c r="Z175" s="713"/>
      <c r="AA175" s="10"/>
      <c r="AB175" s="8"/>
      <c r="AC175" s="8"/>
      <c r="AD175" s="8"/>
      <c r="AE175" s="8"/>
      <c r="AF175" s="8"/>
      <c r="AG175" s="8"/>
      <c r="AH175" s="761"/>
      <c r="AI175" s="761"/>
    </row>
    <row r="176" spans="1:35" ht="15.75">
      <c r="A176" s="692" t="s">
        <v>2324</v>
      </c>
      <c r="B176" s="692" t="s">
        <v>1126</v>
      </c>
      <c r="D176" s="692" t="s">
        <v>397</v>
      </c>
      <c r="E176" s="692" t="s">
        <v>2596</v>
      </c>
      <c r="F176" s="692" t="s">
        <v>2597</v>
      </c>
      <c r="G176" s="692" t="s">
        <v>66</v>
      </c>
      <c r="H176" s="692" t="s">
        <v>8</v>
      </c>
      <c r="I176" s="692" t="s">
        <v>43</v>
      </c>
      <c r="J176" s="692" t="s">
        <v>5</v>
      </c>
      <c r="K176" s="692" t="s">
        <v>6</v>
      </c>
      <c r="L176" s="692" t="str">
        <f t="shared" si="2"/>
        <v>2-03-04</v>
      </c>
      <c r="M176" s="692"/>
      <c r="N176" s="692"/>
      <c r="O176" s="692"/>
      <c r="P176" s="692" t="s">
        <v>629</v>
      </c>
      <c r="Q176" s="692" t="s">
        <v>4804</v>
      </c>
      <c r="R176" s="692" t="s">
        <v>5588</v>
      </c>
      <c r="S176" s="692">
        <v>24947522</v>
      </c>
      <c r="T176" s="692">
        <v>24945584</v>
      </c>
      <c r="U176" s="692" t="s">
        <v>3861</v>
      </c>
      <c r="V176" s="692" t="s">
        <v>2598</v>
      </c>
      <c r="W176" s="692"/>
      <c r="X176" s="761"/>
      <c r="Z176" s="713"/>
      <c r="AA176" s="10"/>
      <c r="AB176" s="8"/>
      <c r="AC176" s="8"/>
      <c r="AD176" s="8"/>
      <c r="AE176" s="8"/>
      <c r="AF176" s="8"/>
      <c r="AG176" s="8"/>
      <c r="AH176" s="761"/>
      <c r="AI176" s="761"/>
    </row>
    <row r="177" spans="1:35" ht="15.75">
      <c r="A177" s="692" t="s">
        <v>2633</v>
      </c>
      <c r="B177" s="692" t="s">
        <v>326</v>
      </c>
      <c r="D177" s="692" t="s">
        <v>398</v>
      </c>
      <c r="E177" s="692" t="s">
        <v>2599</v>
      </c>
      <c r="F177" s="692" t="s">
        <v>2600</v>
      </c>
      <c r="G177" s="692" t="s">
        <v>558</v>
      </c>
      <c r="H177" s="692" t="s">
        <v>7</v>
      </c>
      <c r="I177" s="692" t="s">
        <v>126</v>
      </c>
      <c r="J177" s="692" t="s">
        <v>9</v>
      </c>
      <c r="K177" s="692" t="s">
        <v>4</v>
      </c>
      <c r="L177" s="692" t="str">
        <f t="shared" si="2"/>
        <v>5-07-02</v>
      </c>
      <c r="M177" s="692"/>
      <c r="N177" s="692"/>
      <c r="O177" s="692"/>
      <c r="P177" s="692" t="s">
        <v>89</v>
      </c>
      <c r="Q177" s="692" t="s">
        <v>4804</v>
      </c>
      <c r="R177" s="692" t="s">
        <v>5862</v>
      </c>
      <c r="S177" s="692">
        <v>26456210</v>
      </c>
      <c r="T177" s="692">
        <v>26456210</v>
      </c>
      <c r="U177" s="692" t="s">
        <v>5589</v>
      </c>
      <c r="V177" s="692" t="s">
        <v>2601</v>
      </c>
      <c r="W177" s="692"/>
      <c r="X177" s="761"/>
      <c r="Z177" s="713"/>
      <c r="AA177" s="10"/>
      <c r="AB177" s="8"/>
      <c r="AC177" s="8"/>
      <c r="AD177" s="8"/>
      <c r="AE177" s="8"/>
      <c r="AF177" s="8"/>
      <c r="AG177" s="8"/>
      <c r="AH177" s="761"/>
      <c r="AI177" s="761"/>
    </row>
    <row r="178" spans="1:35" ht="15.75">
      <c r="A178" s="692" t="s">
        <v>2471</v>
      </c>
      <c r="B178" s="692" t="s">
        <v>325</v>
      </c>
      <c r="D178" s="692" t="s">
        <v>400</v>
      </c>
      <c r="E178" s="692" t="s">
        <v>2602</v>
      </c>
      <c r="F178" s="692" t="s">
        <v>2603</v>
      </c>
      <c r="G178" s="692" t="s">
        <v>125</v>
      </c>
      <c r="H178" s="692" t="s">
        <v>5</v>
      </c>
      <c r="I178" s="692" t="s">
        <v>126</v>
      </c>
      <c r="J178" s="692" t="s">
        <v>5</v>
      </c>
      <c r="K178" s="692" t="s">
        <v>12</v>
      </c>
      <c r="L178" s="692" t="str">
        <f t="shared" si="2"/>
        <v>5-03-09</v>
      </c>
      <c r="M178" s="692"/>
      <c r="N178" s="692"/>
      <c r="O178" s="692"/>
      <c r="P178" s="692" t="s">
        <v>808</v>
      </c>
      <c r="Q178" s="692" t="s">
        <v>4804</v>
      </c>
      <c r="R178" s="692" t="s">
        <v>4153</v>
      </c>
      <c r="S178" s="692">
        <v>26530716</v>
      </c>
      <c r="T178" s="692">
        <v>26530716</v>
      </c>
      <c r="U178" s="692" t="s">
        <v>4642</v>
      </c>
      <c r="V178" s="692" t="s">
        <v>2604</v>
      </c>
      <c r="W178" s="692"/>
      <c r="X178" s="761" t="s">
        <v>797</v>
      </c>
      <c r="Z178" s="713"/>
      <c r="AA178" s="10"/>
      <c r="AB178" s="8"/>
      <c r="AC178" s="8"/>
      <c r="AD178" s="8"/>
      <c r="AE178" s="8"/>
      <c r="AF178" s="8" t="s">
        <v>4493</v>
      </c>
      <c r="AG178" s="8"/>
      <c r="AH178" s="761"/>
      <c r="AI178" s="761"/>
    </row>
    <row r="179" spans="1:35" ht="15.75">
      <c r="A179" s="692" t="s">
        <v>2467</v>
      </c>
      <c r="B179" s="692" t="s">
        <v>318</v>
      </c>
      <c r="D179" s="692" t="s">
        <v>403</v>
      </c>
      <c r="E179" s="692" t="s">
        <v>2606</v>
      </c>
      <c r="F179" s="692" t="s">
        <v>3489</v>
      </c>
      <c r="G179" s="692" t="s">
        <v>5729</v>
      </c>
      <c r="H179" s="692" t="s">
        <v>8</v>
      </c>
      <c r="I179" s="692" t="s">
        <v>68</v>
      </c>
      <c r="J179" s="692" t="s">
        <v>5</v>
      </c>
      <c r="K179" s="692" t="s">
        <v>8</v>
      </c>
      <c r="L179" s="692" t="str">
        <f t="shared" si="2"/>
        <v>7-03-06</v>
      </c>
      <c r="M179" s="692"/>
      <c r="N179" s="692"/>
      <c r="O179" s="692"/>
      <c r="P179" s="692" t="s">
        <v>871</v>
      </c>
      <c r="Q179" s="692" t="s">
        <v>4804</v>
      </c>
      <c r="R179" s="692" t="s">
        <v>4435</v>
      </c>
      <c r="S179" s="692">
        <v>27651313</v>
      </c>
      <c r="T179" s="692">
        <v>27651313</v>
      </c>
      <c r="U179" s="692" t="s">
        <v>3610</v>
      </c>
      <c r="V179" s="692" t="s">
        <v>3611</v>
      </c>
      <c r="W179" s="692"/>
      <c r="X179" s="761"/>
      <c r="Z179" s="713"/>
      <c r="AA179" s="10"/>
      <c r="AB179" s="8"/>
      <c r="AC179" s="8"/>
      <c r="AD179" s="8"/>
      <c r="AE179" s="8"/>
      <c r="AF179" s="8"/>
      <c r="AG179" s="8"/>
      <c r="AH179" s="761"/>
      <c r="AI179" s="761"/>
    </row>
    <row r="180" spans="1:35" ht="15.75">
      <c r="A180" s="692" t="s">
        <v>2465</v>
      </c>
      <c r="B180" s="692" t="s">
        <v>317</v>
      </c>
      <c r="D180" s="692" t="s">
        <v>1151</v>
      </c>
      <c r="E180" s="692" t="s">
        <v>2607</v>
      </c>
      <c r="F180" s="692" t="s">
        <v>2608</v>
      </c>
      <c r="G180" s="692" t="s">
        <v>65</v>
      </c>
      <c r="H180" s="692" t="s">
        <v>4</v>
      </c>
      <c r="I180" s="692" t="s">
        <v>43</v>
      </c>
      <c r="J180" s="692" t="s">
        <v>4</v>
      </c>
      <c r="K180" s="692" t="s">
        <v>11</v>
      </c>
      <c r="L180" s="692" t="str">
        <f t="shared" si="2"/>
        <v>2-02-08</v>
      </c>
      <c r="M180" s="692"/>
      <c r="N180" s="692"/>
      <c r="O180" s="692"/>
      <c r="P180" s="692" t="s">
        <v>870</v>
      </c>
      <c r="Q180" s="692" t="s">
        <v>4804</v>
      </c>
      <c r="R180" s="692" t="s">
        <v>2609</v>
      </c>
      <c r="S180" s="692">
        <v>24476082</v>
      </c>
      <c r="T180" s="692">
        <v>24476345</v>
      </c>
      <c r="U180" s="692" t="s">
        <v>3862</v>
      </c>
      <c r="V180" s="692" t="s">
        <v>2610</v>
      </c>
      <c r="W180" s="692"/>
      <c r="X180" s="761" t="s">
        <v>911</v>
      </c>
      <c r="Z180" s="713"/>
      <c r="AA180" s="10"/>
      <c r="AB180" s="8"/>
      <c r="AC180" s="8"/>
      <c r="AD180" s="8"/>
      <c r="AE180" s="8"/>
      <c r="AF180" s="8"/>
      <c r="AG180" s="8"/>
      <c r="AH180" s="761"/>
      <c r="AI180" s="761"/>
    </row>
    <row r="181" spans="1:35" ht="15.75">
      <c r="A181" s="692" t="s">
        <v>2638</v>
      </c>
      <c r="B181" s="692" t="s">
        <v>418</v>
      </c>
      <c r="D181" s="692" t="s">
        <v>290</v>
      </c>
      <c r="E181" s="692" t="s">
        <v>2611</v>
      </c>
      <c r="F181" s="692" t="s">
        <v>2612</v>
      </c>
      <c r="G181" s="692" t="s">
        <v>798</v>
      </c>
      <c r="H181" s="692" t="s">
        <v>11</v>
      </c>
      <c r="I181" s="692" t="s">
        <v>126</v>
      </c>
      <c r="J181" s="692" t="s">
        <v>12</v>
      </c>
      <c r="K181" s="692" t="s">
        <v>8</v>
      </c>
      <c r="L181" s="692" t="str">
        <f t="shared" si="2"/>
        <v>5-09-06</v>
      </c>
      <c r="M181" s="692"/>
      <c r="N181" s="692"/>
      <c r="O181" s="692"/>
      <c r="P181" s="692" t="s">
        <v>211</v>
      </c>
      <c r="Q181" s="692" t="s">
        <v>4804</v>
      </c>
      <c r="R181" s="692" t="s">
        <v>4838</v>
      </c>
      <c r="S181" s="692">
        <v>22007866</v>
      </c>
      <c r="T181" s="692">
        <v>86096584</v>
      </c>
      <c r="U181" s="692" t="s">
        <v>3863</v>
      </c>
      <c r="V181" s="692" t="s">
        <v>2613</v>
      </c>
      <c r="W181" s="692"/>
      <c r="X181" s="761" t="s">
        <v>943</v>
      </c>
      <c r="Z181" s="713"/>
      <c r="AA181" s="10"/>
      <c r="AB181" s="8"/>
      <c r="AC181" s="8"/>
      <c r="AD181" s="8"/>
      <c r="AE181" s="8"/>
      <c r="AF181" s="8"/>
      <c r="AG181" s="8"/>
      <c r="AH181" s="761"/>
      <c r="AI181" s="761"/>
    </row>
    <row r="182" spans="1:35" ht="15.75">
      <c r="A182" s="692" t="s">
        <v>2458</v>
      </c>
      <c r="B182" s="692" t="s">
        <v>314</v>
      </c>
      <c r="D182" s="692" t="s">
        <v>53</v>
      </c>
      <c r="E182" s="692" t="s">
        <v>2615</v>
      </c>
      <c r="F182" s="692" t="s">
        <v>5590</v>
      </c>
      <c r="G182" s="692" t="s">
        <v>4395</v>
      </c>
      <c r="H182" s="692" t="s">
        <v>4</v>
      </c>
      <c r="I182" s="692" t="s">
        <v>41</v>
      </c>
      <c r="J182" s="692" t="s">
        <v>3</v>
      </c>
      <c r="K182" s="692" t="s">
        <v>12</v>
      </c>
      <c r="L182" s="692" t="str">
        <f t="shared" si="2"/>
        <v>1-01-09</v>
      </c>
      <c r="M182" s="692"/>
      <c r="N182" s="692"/>
      <c r="O182" s="692"/>
      <c r="P182" s="692" t="s">
        <v>4436</v>
      </c>
      <c r="Q182" s="692" t="s">
        <v>4804</v>
      </c>
      <c r="R182" s="692" t="s">
        <v>2616</v>
      </c>
      <c r="S182" s="692">
        <v>22130104</v>
      </c>
      <c r="T182" s="692"/>
      <c r="U182" s="692" t="s">
        <v>3864</v>
      </c>
      <c r="V182" s="692" t="s">
        <v>4154</v>
      </c>
      <c r="W182" s="692"/>
      <c r="X182" s="761"/>
      <c r="Z182" s="713"/>
      <c r="AA182" s="10"/>
      <c r="AB182" s="8"/>
      <c r="AC182" s="8"/>
      <c r="AD182" s="8"/>
      <c r="AE182" s="8"/>
      <c r="AF182" s="8"/>
      <c r="AG182" s="8"/>
      <c r="AH182" s="761"/>
      <c r="AI182" s="761"/>
    </row>
    <row r="183" spans="1:35" ht="15.75">
      <c r="A183" s="692" t="s">
        <v>2400</v>
      </c>
      <c r="B183" s="692" t="s">
        <v>264</v>
      </c>
      <c r="D183" s="692" t="s">
        <v>411</v>
      </c>
      <c r="E183" s="692" t="s">
        <v>2619</v>
      </c>
      <c r="F183" s="692" t="s">
        <v>2620</v>
      </c>
      <c r="G183" s="692" t="s">
        <v>117</v>
      </c>
      <c r="H183" s="692" t="s">
        <v>3</v>
      </c>
      <c r="I183" s="692" t="s">
        <v>43</v>
      </c>
      <c r="J183" s="692" t="s">
        <v>304</v>
      </c>
      <c r="K183" s="692" t="s">
        <v>4</v>
      </c>
      <c r="L183" s="692" t="str">
        <f t="shared" si="2"/>
        <v>2-16-02</v>
      </c>
      <c r="M183" s="692"/>
      <c r="N183" s="692"/>
      <c r="O183" s="692"/>
      <c r="P183" s="692" t="s">
        <v>626</v>
      </c>
      <c r="Q183" s="692" t="s">
        <v>4804</v>
      </c>
      <c r="R183" s="692" t="s">
        <v>2621</v>
      </c>
      <c r="S183" s="692">
        <v>24650107</v>
      </c>
      <c r="T183" s="692">
        <v>24650405</v>
      </c>
      <c r="U183" s="692" t="s">
        <v>3612</v>
      </c>
      <c r="V183" s="692" t="s">
        <v>703</v>
      </c>
      <c r="W183" s="692"/>
      <c r="X183" s="761"/>
      <c r="Z183" s="713"/>
      <c r="AA183" s="10"/>
      <c r="AB183" s="8"/>
      <c r="AC183" s="8"/>
      <c r="AD183" s="8"/>
      <c r="AE183" s="8"/>
      <c r="AF183" s="8"/>
      <c r="AG183" s="8"/>
      <c r="AH183" s="761"/>
      <c r="AI183" s="761"/>
    </row>
    <row r="184" spans="1:35" ht="15.75">
      <c r="A184" s="692" t="s">
        <v>2332</v>
      </c>
      <c r="B184" s="692" t="s">
        <v>1738</v>
      </c>
      <c r="D184" s="692" t="s">
        <v>412</v>
      </c>
      <c r="E184" s="692" t="s">
        <v>2622</v>
      </c>
      <c r="F184" s="692" t="s">
        <v>2623</v>
      </c>
      <c r="G184" s="692" t="s">
        <v>66</v>
      </c>
      <c r="H184" s="692" t="s">
        <v>13</v>
      </c>
      <c r="I184" s="692" t="s">
        <v>43</v>
      </c>
      <c r="J184" s="692" t="s">
        <v>5</v>
      </c>
      <c r="K184" s="692" t="s">
        <v>5</v>
      </c>
      <c r="L184" s="692" t="str">
        <f t="shared" si="2"/>
        <v>2-03-03</v>
      </c>
      <c r="M184" s="692"/>
      <c r="N184" s="692"/>
      <c r="O184" s="692"/>
      <c r="P184" s="692" t="s">
        <v>1771</v>
      </c>
      <c r="Q184" s="692" t="s">
        <v>4804</v>
      </c>
      <c r="R184" s="692" t="s">
        <v>2624</v>
      </c>
      <c r="S184" s="692">
        <v>24942250</v>
      </c>
      <c r="T184" s="692">
        <v>24940900</v>
      </c>
      <c r="U184" s="692" t="s">
        <v>4155</v>
      </c>
      <c r="V184" s="692" t="s">
        <v>2625</v>
      </c>
      <c r="W184" s="692"/>
      <c r="X184" s="761"/>
      <c r="Z184" s="713"/>
      <c r="AA184" s="10"/>
      <c r="AB184" s="8"/>
      <c r="AC184" s="8"/>
      <c r="AD184" s="8"/>
      <c r="AE184" s="8"/>
      <c r="AF184" s="8"/>
      <c r="AG184" s="8"/>
      <c r="AH184" s="761"/>
      <c r="AI184" s="761"/>
    </row>
    <row r="185" spans="1:35" ht="15.75">
      <c r="A185" s="692" t="s">
        <v>2329</v>
      </c>
      <c r="B185" s="692" t="s">
        <v>227</v>
      </c>
      <c r="D185" s="692" t="s">
        <v>416</v>
      </c>
      <c r="E185" s="692" t="s">
        <v>2629</v>
      </c>
      <c r="F185" s="692" t="s">
        <v>2630</v>
      </c>
      <c r="G185" s="692" t="s">
        <v>298</v>
      </c>
      <c r="H185" s="692" t="s">
        <v>6</v>
      </c>
      <c r="I185" s="692" t="s">
        <v>126</v>
      </c>
      <c r="J185" s="692" t="s">
        <v>3</v>
      </c>
      <c r="K185" s="692" t="s">
        <v>4</v>
      </c>
      <c r="L185" s="692" t="str">
        <f t="shared" si="2"/>
        <v>5-01-02</v>
      </c>
      <c r="M185" s="692"/>
      <c r="N185" s="692"/>
      <c r="O185" s="692"/>
      <c r="P185" s="692" t="s">
        <v>796</v>
      </c>
      <c r="Q185" s="692" t="s">
        <v>4804</v>
      </c>
      <c r="R185" s="692" t="s">
        <v>4840</v>
      </c>
      <c r="S185" s="692">
        <v>26911039</v>
      </c>
      <c r="T185" s="692">
        <v>26911039</v>
      </c>
      <c r="U185" s="692" t="s">
        <v>4156</v>
      </c>
      <c r="V185" s="692" t="s">
        <v>2631</v>
      </c>
      <c r="W185" s="692"/>
      <c r="X185" s="761"/>
      <c r="Z185" s="713"/>
      <c r="AA185" s="10"/>
      <c r="AB185" s="8"/>
      <c r="AC185" s="8"/>
      <c r="AD185" s="8"/>
      <c r="AE185" s="8"/>
      <c r="AF185" s="8"/>
      <c r="AG185" s="8"/>
      <c r="AH185" s="761"/>
      <c r="AI185" s="761"/>
    </row>
    <row r="186" spans="1:35" ht="15.75">
      <c r="A186" s="692" t="s">
        <v>2404</v>
      </c>
      <c r="B186" s="692" t="s">
        <v>265</v>
      </c>
      <c r="D186" s="692" t="s">
        <v>326</v>
      </c>
      <c r="E186" s="692" t="s">
        <v>2633</v>
      </c>
      <c r="F186" s="692" t="s">
        <v>4063</v>
      </c>
      <c r="G186" s="692" t="s">
        <v>79</v>
      </c>
      <c r="H186" s="692" t="s">
        <v>17</v>
      </c>
      <c r="I186" s="692" t="s">
        <v>80</v>
      </c>
      <c r="J186" s="692" t="s">
        <v>11</v>
      </c>
      <c r="K186" s="692" t="s">
        <v>8</v>
      </c>
      <c r="L186" s="692" t="str">
        <f t="shared" si="2"/>
        <v>6-08-06</v>
      </c>
      <c r="M186" s="692"/>
      <c r="N186" s="692"/>
      <c r="O186" s="692"/>
      <c r="P186" s="692" t="s">
        <v>4157</v>
      </c>
      <c r="Q186" s="692" t="s">
        <v>4804</v>
      </c>
      <c r="R186" s="692" t="s">
        <v>5864</v>
      </c>
      <c r="S186" s="692">
        <v>27848247</v>
      </c>
      <c r="T186" s="692">
        <v>27848247</v>
      </c>
      <c r="U186" s="692" t="s">
        <v>3613</v>
      </c>
      <c r="V186" s="692" t="s">
        <v>4158</v>
      </c>
      <c r="W186" s="692"/>
      <c r="X186" s="761"/>
      <c r="Z186" s="713"/>
      <c r="AA186" s="10"/>
      <c r="AB186" s="8"/>
      <c r="AC186" s="8"/>
      <c r="AD186" s="8"/>
      <c r="AE186" s="8"/>
      <c r="AF186" s="8"/>
      <c r="AG186" s="8"/>
      <c r="AH186" s="761"/>
      <c r="AI186" s="761"/>
    </row>
    <row r="187" spans="1:35" ht="15.75">
      <c r="A187" s="692" t="s">
        <v>2606</v>
      </c>
      <c r="B187" s="692" t="s">
        <v>403</v>
      </c>
      <c r="D187" s="692" t="s">
        <v>176</v>
      </c>
      <c r="E187" s="692" t="s">
        <v>2636</v>
      </c>
      <c r="F187" s="692" t="s">
        <v>2637</v>
      </c>
      <c r="G187" s="692" t="s">
        <v>65</v>
      </c>
      <c r="H187" s="692" t="s">
        <v>7</v>
      </c>
      <c r="I187" s="692" t="s">
        <v>43</v>
      </c>
      <c r="J187" s="692" t="s">
        <v>8</v>
      </c>
      <c r="K187" s="692" t="s">
        <v>7</v>
      </c>
      <c r="L187" s="692" t="str">
        <f t="shared" si="2"/>
        <v>2-06-05</v>
      </c>
      <c r="M187" s="692"/>
      <c r="N187" s="692"/>
      <c r="O187" s="692"/>
      <c r="P187" s="692" t="s">
        <v>195</v>
      </c>
      <c r="Q187" s="692" t="s">
        <v>4804</v>
      </c>
      <c r="R187" s="692" t="s">
        <v>3561</v>
      </c>
      <c r="S187" s="692">
        <v>24513450</v>
      </c>
      <c r="T187" s="692">
        <v>24503111</v>
      </c>
      <c r="U187" s="692" t="s">
        <v>3865</v>
      </c>
      <c r="V187" s="692" t="s">
        <v>4159</v>
      </c>
      <c r="W187" s="692"/>
      <c r="X187" s="761"/>
      <c r="Z187" s="713"/>
      <c r="AA187" s="10"/>
      <c r="AB187" s="8"/>
      <c r="AC187" s="8"/>
      <c r="AD187" s="8"/>
      <c r="AE187" s="8"/>
      <c r="AF187" s="8"/>
      <c r="AG187" s="8"/>
      <c r="AH187" s="761"/>
      <c r="AI187" s="761"/>
    </row>
    <row r="188" spans="1:35" ht="15.75">
      <c r="A188" s="692" t="s">
        <v>2516</v>
      </c>
      <c r="B188" s="692" t="s">
        <v>235</v>
      </c>
      <c r="D188" s="692" t="s">
        <v>418</v>
      </c>
      <c r="E188" s="692" t="s">
        <v>2638</v>
      </c>
      <c r="F188" s="692" t="s">
        <v>3492</v>
      </c>
      <c r="G188" s="692" t="s">
        <v>5729</v>
      </c>
      <c r="H188" s="692" t="s">
        <v>8</v>
      </c>
      <c r="I188" s="692" t="s">
        <v>68</v>
      </c>
      <c r="J188" s="692" t="s">
        <v>5</v>
      </c>
      <c r="K188" s="692" t="s">
        <v>7</v>
      </c>
      <c r="L188" s="692" t="str">
        <f t="shared" si="2"/>
        <v>7-03-05</v>
      </c>
      <c r="M188" s="692"/>
      <c r="N188" s="692"/>
      <c r="O188" s="692"/>
      <c r="P188" s="692" t="s">
        <v>844</v>
      </c>
      <c r="Q188" s="692" t="s">
        <v>4804</v>
      </c>
      <c r="R188" s="692" t="s">
        <v>4841</v>
      </c>
      <c r="S188" s="692">
        <v>27654381</v>
      </c>
      <c r="T188" s="692">
        <v>27654190</v>
      </c>
      <c r="U188" s="692" t="s">
        <v>3614</v>
      </c>
      <c r="V188" s="692" t="s">
        <v>2639</v>
      </c>
      <c r="W188" s="692"/>
      <c r="X188" s="761"/>
      <c r="Z188" s="713"/>
      <c r="AA188" s="10"/>
      <c r="AB188" s="8"/>
      <c r="AC188" s="8"/>
      <c r="AD188" s="8"/>
      <c r="AE188" s="8"/>
      <c r="AF188" s="8"/>
      <c r="AG188" s="8"/>
      <c r="AH188" s="761"/>
      <c r="AI188" s="761"/>
    </row>
    <row r="189" spans="1:35" ht="15.75">
      <c r="A189" s="692" t="s">
        <v>2720</v>
      </c>
      <c r="B189" s="692" t="s">
        <v>465</v>
      </c>
      <c r="D189" s="692" t="s">
        <v>1142</v>
      </c>
      <c r="E189" s="692" t="s">
        <v>2643</v>
      </c>
      <c r="F189" s="692" t="s">
        <v>4064</v>
      </c>
      <c r="G189" s="692" t="s">
        <v>387</v>
      </c>
      <c r="H189" s="692" t="s">
        <v>3</v>
      </c>
      <c r="I189" s="692" t="s">
        <v>41</v>
      </c>
      <c r="J189" s="692" t="s">
        <v>388</v>
      </c>
      <c r="K189" s="692" t="s">
        <v>3</v>
      </c>
      <c r="L189" s="692" t="str">
        <f t="shared" si="2"/>
        <v>1-19-01</v>
      </c>
      <c r="M189" s="692"/>
      <c r="N189" s="692"/>
      <c r="O189" s="692"/>
      <c r="P189" s="692" t="s">
        <v>2644</v>
      </c>
      <c r="Q189" s="692" t="s">
        <v>4804</v>
      </c>
      <c r="R189" s="692" t="s">
        <v>2694</v>
      </c>
      <c r="S189" s="692">
        <v>27706669</v>
      </c>
      <c r="T189" s="692">
        <v>27702555</v>
      </c>
      <c r="U189" s="692" t="s">
        <v>3615</v>
      </c>
      <c r="V189" s="692" t="s">
        <v>2645</v>
      </c>
      <c r="W189" s="692"/>
      <c r="X189" s="761"/>
      <c r="Z189" s="713"/>
      <c r="AA189" s="10"/>
      <c r="AB189" s="8"/>
      <c r="AC189" s="8"/>
      <c r="AD189" s="8"/>
      <c r="AE189" s="8"/>
      <c r="AF189" s="8" t="s">
        <v>4493</v>
      </c>
      <c r="AG189" s="8"/>
      <c r="AH189" s="761"/>
      <c r="AI189" s="761"/>
    </row>
    <row r="190" spans="1:35" ht="15.75">
      <c r="A190" s="692" t="s">
        <v>2724</v>
      </c>
      <c r="B190" s="692" t="s">
        <v>467</v>
      </c>
      <c r="D190" s="692" t="s">
        <v>425</v>
      </c>
      <c r="E190" s="692" t="s">
        <v>2648</v>
      </c>
      <c r="F190" s="692" t="s">
        <v>2649</v>
      </c>
      <c r="G190" s="692" t="s">
        <v>66</v>
      </c>
      <c r="H190" s="692" t="s">
        <v>5</v>
      </c>
      <c r="I190" s="692" t="s">
        <v>43</v>
      </c>
      <c r="J190" s="692" t="s">
        <v>3</v>
      </c>
      <c r="K190" s="692" t="s">
        <v>17</v>
      </c>
      <c r="L190" s="692" t="str">
        <f t="shared" si="2"/>
        <v>2-01-12</v>
      </c>
      <c r="M190" s="692"/>
      <c r="N190" s="692"/>
      <c r="O190" s="692"/>
      <c r="P190" s="692" t="s">
        <v>502</v>
      </c>
      <c r="Q190" s="692" t="s">
        <v>4804</v>
      </c>
      <c r="R190" s="692" t="s">
        <v>4437</v>
      </c>
      <c r="S190" s="692">
        <v>24334681</v>
      </c>
      <c r="T190" s="692">
        <v>24334681</v>
      </c>
      <c r="U190" s="692" t="s">
        <v>4643</v>
      </c>
      <c r="V190" s="692" t="s">
        <v>2650</v>
      </c>
      <c r="W190" s="692"/>
      <c r="X190" s="761"/>
      <c r="Z190" s="713"/>
      <c r="AA190" s="10"/>
      <c r="AB190" s="8"/>
      <c r="AC190" s="8"/>
      <c r="AD190" s="8"/>
      <c r="AE190" s="8"/>
      <c r="AF190" s="8"/>
      <c r="AG190" s="8"/>
      <c r="AH190" s="761"/>
      <c r="AI190" s="761"/>
    </row>
    <row r="191" spans="1:35" ht="15.75">
      <c r="A191" s="692" t="s">
        <v>2365</v>
      </c>
      <c r="B191" s="692" t="s">
        <v>250</v>
      </c>
      <c r="D191" s="714" t="s">
        <v>433</v>
      </c>
      <c r="E191" s="714" t="s">
        <v>2657</v>
      </c>
      <c r="F191" s="714" t="s">
        <v>2658</v>
      </c>
      <c r="G191" s="714" t="s">
        <v>767</v>
      </c>
      <c r="H191" s="714" t="s">
        <v>3</v>
      </c>
      <c r="I191" s="714" t="s">
        <v>56</v>
      </c>
      <c r="J191" s="714" t="s">
        <v>6</v>
      </c>
      <c r="K191" s="714" t="s">
        <v>5</v>
      </c>
      <c r="L191" s="692" t="str">
        <f t="shared" si="2"/>
        <v>3-04-03</v>
      </c>
      <c r="M191" s="714"/>
      <c r="N191" s="714"/>
      <c r="O191" s="714"/>
      <c r="P191" s="714" t="s">
        <v>861</v>
      </c>
      <c r="Q191" s="714" t="s">
        <v>4804</v>
      </c>
      <c r="R191" s="714" t="s">
        <v>5881</v>
      </c>
      <c r="S191" s="714">
        <v>25313404</v>
      </c>
      <c r="T191" s="714">
        <v>25311412</v>
      </c>
      <c r="U191" s="714" t="s">
        <v>3866</v>
      </c>
      <c r="V191" s="714" t="s">
        <v>2659</v>
      </c>
      <c r="W191" s="714"/>
      <c r="X191" s="761" t="s">
        <v>655</v>
      </c>
      <c r="Z191" s="714"/>
      <c r="AH191" s="761"/>
      <c r="AI191" s="761"/>
    </row>
    <row r="192" spans="1:35" ht="15.75">
      <c r="A192" s="692" t="s">
        <v>2476</v>
      </c>
      <c r="B192" s="692" t="s">
        <v>329</v>
      </c>
      <c r="D192" s="692" t="s">
        <v>434</v>
      </c>
      <c r="E192" s="692" t="s">
        <v>2660</v>
      </c>
      <c r="F192" s="692" t="s">
        <v>2661</v>
      </c>
      <c r="G192" s="692" t="s">
        <v>767</v>
      </c>
      <c r="H192" s="692" t="s">
        <v>4</v>
      </c>
      <c r="I192" s="692" t="s">
        <v>56</v>
      </c>
      <c r="J192" s="692" t="s">
        <v>7</v>
      </c>
      <c r="K192" s="692" t="s">
        <v>3</v>
      </c>
      <c r="L192" s="692" t="str">
        <f t="shared" si="2"/>
        <v>3-05-01</v>
      </c>
      <c r="M192" s="692"/>
      <c r="N192" s="692"/>
      <c r="O192" s="692"/>
      <c r="P192" s="692" t="s">
        <v>3494</v>
      </c>
      <c r="Q192" s="692" t="s">
        <v>4804</v>
      </c>
      <c r="R192" s="692" t="s">
        <v>2662</v>
      </c>
      <c r="S192" s="692">
        <v>25570526</v>
      </c>
      <c r="T192" s="692"/>
      <c r="U192" s="692" t="s">
        <v>4842</v>
      </c>
      <c r="V192" s="692" t="s">
        <v>3616</v>
      </c>
      <c r="W192" s="692"/>
      <c r="X192" s="761"/>
      <c r="Z192" s="713"/>
      <c r="AA192" s="10"/>
      <c r="AB192" s="8"/>
      <c r="AC192" s="8"/>
      <c r="AD192" s="8"/>
      <c r="AE192" s="8"/>
      <c r="AF192" s="8"/>
      <c r="AG192" s="8"/>
      <c r="AH192" s="761"/>
      <c r="AI192" s="761"/>
    </row>
    <row r="193" spans="1:35" ht="15.75">
      <c r="A193" s="692" t="s">
        <v>2577</v>
      </c>
      <c r="B193" s="692" t="s">
        <v>386</v>
      </c>
      <c r="D193" s="692" t="s">
        <v>435</v>
      </c>
      <c r="E193" s="692" t="s">
        <v>2663</v>
      </c>
      <c r="F193" s="692" t="s">
        <v>2664</v>
      </c>
      <c r="G193" s="692" t="s">
        <v>767</v>
      </c>
      <c r="H193" s="692" t="s">
        <v>5</v>
      </c>
      <c r="I193" s="692" t="s">
        <v>56</v>
      </c>
      <c r="J193" s="692" t="s">
        <v>7</v>
      </c>
      <c r="K193" s="692" t="s">
        <v>13</v>
      </c>
      <c r="L193" s="692" t="str">
        <f t="shared" si="2"/>
        <v>3-05-10</v>
      </c>
      <c r="M193" s="692"/>
      <c r="N193" s="692"/>
      <c r="O193" s="692"/>
      <c r="P193" s="692" t="s">
        <v>773</v>
      </c>
      <c r="Q193" s="692" t="s">
        <v>4804</v>
      </c>
      <c r="R193" s="692" t="s">
        <v>3867</v>
      </c>
      <c r="S193" s="692">
        <v>25541638</v>
      </c>
      <c r="T193" s="692">
        <v>25541243</v>
      </c>
      <c r="U193" s="692" t="s">
        <v>3868</v>
      </c>
      <c r="V193" s="692" t="s">
        <v>2665</v>
      </c>
      <c r="W193" s="692"/>
      <c r="X193" s="761"/>
      <c r="Z193" s="713"/>
      <c r="AA193" s="10"/>
      <c r="AB193" s="8"/>
      <c r="AC193" s="8"/>
      <c r="AD193" s="8"/>
      <c r="AE193" s="8"/>
      <c r="AF193" s="8"/>
      <c r="AG193" s="8"/>
      <c r="AH193" s="761"/>
      <c r="AI193" s="761"/>
    </row>
    <row r="194" spans="1:35" ht="15.75">
      <c r="A194" s="692" t="s">
        <v>2576</v>
      </c>
      <c r="B194" s="692" t="s">
        <v>385</v>
      </c>
      <c r="D194" s="692" t="s">
        <v>281</v>
      </c>
      <c r="E194" s="692" t="s">
        <v>2667</v>
      </c>
      <c r="F194" s="692" t="s">
        <v>2668</v>
      </c>
      <c r="G194" s="692" t="s">
        <v>750</v>
      </c>
      <c r="H194" s="692" t="s">
        <v>8</v>
      </c>
      <c r="I194" s="692" t="s">
        <v>68</v>
      </c>
      <c r="J194" s="692" t="s">
        <v>4</v>
      </c>
      <c r="K194" s="692" t="s">
        <v>8</v>
      </c>
      <c r="L194" s="692" t="str">
        <f t="shared" si="2"/>
        <v>7-02-06</v>
      </c>
      <c r="M194" s="692"/>
      <c r="N194" s="692"/>
      <c r="O194" s="692"/>
      <c r="P194" s="692" t="s">
        <v>838</v>
      </c>
      <c r="Q194" s="692" t="s">
        <v>4804</v>
      </c>
      <c r="R194" s="692" t="s">
        <v>5879</v>
      </c>
      <c r="S194" s="692">
        <v>44140964</v>
      </c>
      <c r="T194" s="692"/>
      <c r="U194" s="692" t="s">
        <v>4644</v>
      </c>
      <c r="V194" s="692" t="s">
        <v>5591</v>
      </c>
      <c r="W194" s="692"/>
      <c r="X194" s="761"/>
      <c r="Z194" s="713"/>
      <c r="AA194" s="10"/>
      <c r="AB194" s="8"/>
      <c r="AC194" s="8"/>
      <c r="AD194" s="8"/>
      <c r="AE194" s="8"/>
      <c r="AF194" s="8"/>
      <c r="AG194" s="8"/>
      <c r="AH194" s="761"/>
      <c r="AI194" s="761"/>
    </row>
    <row r="195" spans="1:35" ht="15.75">
      <c r="A195" s="692" t="s">
        <v>2512</v>
      </c>
      <c r="B195" s="692" t="s">
        <v>142</v>
      </c>
      <c r="D195" s="692" t="s">
        <v>436</v>
      </c>
      <c r="E195" s="692" t="s">
        <v>2669</v>
      </c>
      <c r="F195" s="692" t="s">
        <v>2670</v>
      </c>
      <c r="G195" s="692" t="s">
        <v>750</v>
      </c>
      <c r="H195" s="692" t="s">
        <v>8</v>
      </c>
      <c r="I195" s="692" t="s">
        <v>68</v>
      </c>
      <c r="J195" s="692" t="s">
        <v>4</v>
      </c>
      <c r="K195" s="692" t="s">
        <v>8</v>
      </c>
      <c r="L195" s="692" t="str">
        <f t="shared" ref="L195:L258" si="3">CONCATENATE(I195,"-",J195,"-",K195)</f>
        <v>7-02-06</v>
      </c>
      <c r="M195" s="692"/>
      <c r="N195" s="692"/>
      <c r="O195" s="692"/>
      <c r="P195" s="692" t="s">
        <v>2671</v>
      </c>
      <c r="Q195" s="692" t="s">
        <v>4804</v>
      </c>
      <c r="R195" s="692" t="s">
        <v>4645</v>
      </c>
      <c r="S195" s="692">
        <v>27670452</v>
      </c>
      <c r="T195" s="692"/>
      <c r="U195" s="692" t="s">
        <v>3617</v>
      </c>
      <c r="V195" s="692" t="s">
        <v>2672</v>
      </c>
      <c r="W195" s="692"/>
      <c r="X195" s="761"/>
      <c r="Z195" s="713"/>
      <c r="AA195" s="10"/>
      <c r="AB195" s="8"/>
      <c r="AC195" s="8"/>
      <c r="AD195" s="8"/>
      <c r="AE195" s="8"/>
      <c r="AF195" s="8"/>
      <c r="AG195" s="8"/>
      <c r="AH195" s="761"/>
      <c r="AI195" s="761"/>
    </row>
    <row r="196" spans="1:35" ht="15.75">
      <c r="A196" s="692" t="s">
        <v>2547</v>
      </c>
      <c r="B196" s="692" t="s">
        <v>1772</v>
      </c>
      <c r="D196" s="692" t="s">
        <v>439</v>
      </c>
      <c r="E196" s="692" t="s">
        <v>2673</v>
      </c>
      <c r="F196" s="692" t="s">
        <v>4065</v>
      </c>
      <c r="G196" s="692" t="s">
        <v>5729</v>
      </c>
      <c r="H196" s="692" t="s">
        <v>4</v>
      </c>
      <c r="I196" s="692" t="s">
        <v>68</v>
      </c>
      <c r="J196" s="692" t="s">
        <v>3</v>
      </c>
      <c r="K196" s="692" t="s">
        <v>4</v>
      </c>
      <c r="L196" s="692" t="str">
        <f t="shared" si="3"/>
        <v>7-01-02</v>
      </c>
      <c r="M196" s="692"/>
      <c r="N196" s="692"/>
      <c r="O196" s="692"/>
      <c r="P196" s="692" t="s">
        <v>840</v>
      </c>
      <c r="Q196" s="692" t="s">
        <v>4804</v>
      </c>
      <c r="R196" s="692" t="s">
        <v>2674</v>
      </c>
      <c r="S196" s="692">
        <v>27566337</v>
      </c>
      <c r="T196" s="692">
        <v>27566337</v>
      </c>
      <c r="U196" s="692" t="s">
        <v>3869</v>
      </c>
      <c r="V196" s="692" t="s">
        <v>3618</v>
      </c>
      <c r="W196" s="692"/>
      <c r="X196" s="761"/>
      <c r="Z196" s="713"/>
      <c r="AA196" s="10"/>
      <c r="AB196" s="8"/>
      <c r="AC196" s="8"/>
      <c r="AD196" s="8"/>
      <c r="AE196" s="8"/>
      <c r="AF196" s="8"/>
      <c r="AG196" s="8"/>
      <c r="AH196" s="761"/>
      <c r="AI196" s="761"/>
    </row>
    <row r="197" spans="1:35" ht="15.75">
      <c r="A197" s="692" t="s">
        <v>2539</v>
      </c>
      <c r="B197" s="692" t="s">
        <v>183</v>
      </c>
      <c r="D197" s="692" t="s">
        <v>441</v>
      </c>
      <c r="E197" s="692" t="s">
        <v>2675</v>
      </c>
      <c r="F197" s="692" t="s">
        <v>5592</v>
      </c>
      <c r="G197" s="692" t="s">
        <v>4398</v>
      </c>
      <c r="H197" s="692" t="s">
        <v>7</v>
      </c>
      <c r="I197" s="692" t="s">
        <v>68</v>
      </c>
      <c r="J197" s="692" t="s">
        <v>3</v>
      </c>
      <c r="K197" s="692" t="s">
        <v>4</v>
      </c>
      <c r="L197" s="692" t="str">
        <f t="shared" si="3"/>
        <v>7-01-02</v>
      </c>
      <c r="M197" s="692"/>
      <c r="N197" s="692"/>
      <c r="O197" s="692"/>
      <c r="P197" s="692" t="s">
        <v>841</v>
      </c>
      <c r="Q197" s="692" t="s">
        <v>4804</v>
      </c>
      <c r="R197" s="692" t="s">
        <v>4843</v>
      </c>
      <c r="S197" s="692">
        <v>22005116</v>
      </c>
      <c r="T197" s="692"/>
      <c r="U197" s="692" t="s">
        <v>5778</v>
      </c>
      <c r="V197" s="692" t="s">
        <v>3619</v>
      </c>
      <c r="W197" s="692"/>
      <c r="X197" s="761"/>
      <c r="Z197" s="713"/>
      <c r="AA197" s="10"/>
      <c r="AB197" s="8"/>
      <c r="AC197" s="8"/>
      <c r="AD197" s="8"/>
      <c r="AE197" s="8"/>
      <c r="AF197" s="8"/>
      <c r="AG197" s="8"/>
      <c r="AH197" s="761"/>
      <c r="AI197" s="761"/>
    </row>
    <row r="198" spans="1:35" ht="15.75">
      <c r="A198" s="692" t="s">
        <v>2543</v>
      </c>
      <c r="B198" s="692" t="s">
        <v>369</v>
      </c>
      <c r="D198" s="692" t="s">
        <v>443</v>
      </c>
      <c r="E198" s="692" t="s">
        <v>2676</v>
      </c>
      <c r="F198" s="692" t="s">
        <v>2677</v>
      </c>
      <c r="G198" s="692" t="s">
        <v>117</v>
      </c>
      <c r="H198" s="692" t="s">
        <v>13</v>
      </c>
      <c r="I198" s="692" t="s">
        <v>43</v>
      </c>
      <c r="J198" s="692" t="s">
        <v>118</v>
      </c>
      <c r="K198" s="692" t="s">
        <v>6</v>
      </c>
      <c r="L198" s="692" t="str">
        <f t="shared" si="3"/>
        <v>2-14-04</v>
      </c>
      <c r="M198" s="692"/>
      <c r="N198" s="692"/>
      <c r="O198" s="692"/>
      <c r="P198" s="692" t="s">
        <v>67</v>
      </c>
      <c r="Q198" s="692" t="s">
        <v>4804</v>
      </c>
      <c r="R198" s="692" t="s">
        <v>3552</v>
      </c>
      <c r="S198" s="692">
        <v>41051063</v>
      </c>
      <c r="T198" s="692"/>
      <c r="U198" s="692" t="s">
        <v>3870</v>
      </c>
      <c r="V198" s="692" t="s">
        <v>2678</v>
      </c>
      <c r="W198" s="692"/>
      <c r="X198" s="761"/>
      <c r="Z198" s="713"/>
      <c r="AA198" s="10"/>
      <c r="AB198" s="8"/>
      <c r="AC198" s="8"/>
      <c r="AD198" s="8"/>
      <c r="AE198" s="8"/>
      <c r="AF198" s="8"/>
      <c r="AG198" s="8"/>
      <c r="AH198" s="761"/>
      <c r="AI198" s="761"/>
    </row>
    <row r="199" spans="1:35" ht="15.75">
      <c r="A199" s="692" t="s">
        <v>2480</v>
      </c>
      <c r="B199" s="692" t="s">
        <v>332</v>
      </c>
      <c r="D199" s="692" t="s">
        <v>444</v>
      </c>
      <c r="E199" s="692" t="s">
        <v>2679</v>
      </c>
      <c r="F199" s="692" t="s">
        <v>5593</v>
      </c>
      <c r="G199" s="692" t="s">
        <v>109</v>
      </c>
      <c r="H199" s="692" t="s">
        <v>3</v>
      </c>
      <c r="I199" s="692" t="s">
        <v>110</v>
      </c>
      <c r="J199" s="692" t="s">
        <v>13</v>
      </c>
      <c r="K199" s="692" t="s">
        <v>4</v>
      </c>
      <c r="L199" s="692" t="str">
        <f t="shared" si="3"/>
        <v>4-10-02</v>
      </c>
      <c r="M199" s="692"/>
      <c r="N199" s="692"/>
      <c r="O199" s="692"/>
      <c r="P199" s="692" t="s">
        <v>2680</v>
      </c>
      <c r="Q199" s="692" t="s">
        <v>4804</v>
      </c>
      <c r="R199" s="692" t="s">
        <v>3553</v>
      </c>
      <c r="S199" s="692">
        <v>24760693</v>
      </c>
      <c r="T199" s="692">
        <v>24760693</v>
      </c>
      <c r="U199" s="692" t="s">
        <v>5594</v>
      </c>
      <c r="V199" s="692" t="s">
        <v>3871</v>
      </c>
      <c r="W199" s="692"/>
      <c r="X199" s="761"/>
      <c r="Z199" s="713"/>
      <c r="AA199" s="10"/>
      <c r="AB199" s="8"/>
      <c r="AC199" s="8"/>
      <c r="AD199" s="8"/>
      <c r="AE199" s="8"/>
      <c r="AF199" s="8"/>
      <c r="AG199" s="8"/>
      <c r="AH199" s="761"/>
      <c r="AI199" s="761"/>
    </row>
    <row r="200" spans="1:35" ht="15.75">
      <c r="A200" s="692" t="s">
        <v>2410</v>
      </c>
      <c r="B200" s="692" t="s">
        <v>74</v>
      </c>
      <c r="D200" s="692" t="s">
        <v>1776</v>
      </c>
      <c r="E200" s="692" t="s">
        <v>2681</v>
      </c>
      <c r="F200" s="692" t="s">
        <v>2682</v>
      </c>
      <c r="G200" s="692" t="s">
        <v>117</v>
      </c>
      <c r="H200" s="692" t="s">
        <v>18</v>
      </c>
      <c r="I200" s="692" t="s">
        <v>43</v>
      </c>
      <c r="J200" s="692" t="s">
        <v>13</v>
      </c>
      <c r="K200" s="692" t="s">
        <v>18</v>
      </c>
      <c r="L200" s="692" t="str">
        <f t="shared" si="3"/>
        <v>2-10-13</v>
      </c>
      <c r="M200" s="692"/>
      <c r="N200" s="692"/>
      <c r="O200" s="692"/>
      <c r="P200" s="692" t="s">
        <v>737</v>
      </c>
      <c r="Q200" s="692" t="s">
        <v>4804</v>
      </c>
      <c r="R200" s="692" t="s">
        <v>5781</v>
      </c>
      <c r="S200" s="692">
        <v>73006494</v>
      </c>
      <c r="T200" s="692"/>
      <c r="U200" s="692" t="s">
        <v>3620</v>
      </c>
      <c r="V200" s="692" t="s">
        <v>2683</v>
      </c>
      <c r="W200" s="692"/>
      <c r="X200" s="761"/>
      <c r="Z200" s="713"/>
      <c r="AA200" s="10"/>
      <c r="AB200" s="8"/>
      <c r="AC200" s="8"/>
      <c r="AD200" s="8"/>
      <c r="AE200" s="8"/>
      <c r="AF200" s="8"/>
      <c r="AG200" s="8"/>
      <c r="AH200" s="761" t="s">
        <v>4493</v>
      </c>
      <c r="AI200" s="761"/>
    </row>
    <row r="201" spans="1:35" ht="15.75">
      <c r="A201" s="692" t="s">
        <v>2468</v>
      </c>
      <c r="B201" s="692" t="s">
        <v>319</v>
      </c>
      <c r="D201" s="692" t="s">
        <v>445</v>
      </c>
      <c r="E201" s="692" t="s">
        <v>2684</v>
      </c>
      <c r="F201" s="692" t="s">
        <v>2685</v>
      </c>
      <c r="G201" s="692" t="s">
        <v>767</v>
      </c>
      <c r="H201" s="692" t="s">
        <v>7</v>
      </c>
      <c r="I201" s="692" t="s">
        <v>56</v>
      </c>
      <c r="J201" s="692" t="s">
        <v>7</v>
      </c>
      <c r="K201" s="692" t="s">
        <v>17</v>
      </c>
      <c r="L201" s="692" t="str">
        <f t="shared" si="3"/>
        <v>3-05-12</v>
      </c>
      <c r="M201" s="692"/>
      <c r="N201" s="692"/>
      <c r="O201" s="692"/>
      <c r="P201" s="692" t="s">
        <v>772</v>
      </c>
      <c r="Q201" s="692" t="s">
        <v>4804</v>
      </c>
      <c r="R201" s="692" t="s">
        <v>5777</v>
      </c>
      <c r="S201" s="692">
        <v>22000372</v>
      </c>
      <c r="T201" s="692"/>
      <c r="U201" s="692" t="s">
        <v>3621</v>
      </c>
      <c r="V201" s="692" t="s">
        <v>928</v>
      </c>
      <c r="W201" s="692"/>
      <c r="X201" s="761"/>
      <c r="Z201" s="713"/>
      <c r="AA201" s="10"/>
      <c r="AB201" s="8"/>
      <c r="AC201" s="8"/>
      <c r="AD201" s="8"/>
      <c r="AE201" s="8"/>
      <c r="AF201" s="8"/>
      <c r="AG201" s="8"/>
      <c r="AH201" s="761"/>
      <c r="AI201" s="761"/>
    </row>
    <row r="202" spans="1:35" ht="15.75">
      <c r="A202" s="692" t="s">
        <v>2713</v>
      </c>
      <c r="B202" s="692" t="s">
        <v>462</v>
      </c>
      <c r="D202" s="692" t="s">
        <v>1777</v>
      </c>
      <c r="E202" s="692" t="s">
        <v>2686</v>
      </c>
      <c r="F202" s="692" t="s">
        <v>4066</v>
      </c>
      <c r="G202" s="692" t="s">
        <v>387</v>
      </c>
      <c r="H202" s="692" t="s">
        <v>4</v>
      </c>
      <c r="I202" s="692" t="s">
        <v>41</v>
      </c>
      <c r="J202" s="692" t="s">
        <v>388</v>
      </c>
      <c r="K202" s="692" t="s">
        <v>16</v>
      </c>
      <c r="L202" s="692" t="str">
        <f t="shared" si="3"/>
        <v>1-19-11</v>
      </c>
      <c r="M202" s="692"/>
      <c r="N202" s="692"/>
      <c r="O202" s="692"/>
      <c r="P202" s="692" t="s">
        <v>60</v>
      </c>
      <c r="Q202" s="692" t="s">
        <v>4804</v>
      </c>
      <c r="R202" s="692" t="s">
        <v>5767</v>
      </c>
      <c r="S202" s="692">
        <v>27423098</v>
      </c>
      <c r="T202" s="692">
        <v>27423098</v>
      </c>
      <c r="U202" s="692" t="s">
        <v>3622</v>
      </c>
      <c r="V202" s="692" t="s">
        <v>2687</v>
      </c>
      <c r="W202" s="692"/>
      <c r="X202" s="761"/>
      <c r="Z202" s="713"/>
      <c r="AA202" s="10"/>
      <c r="AB202" s="8"/>
      <c r="AC202" s="8"/>
      <c r="AD202" s="8"/>
      <c r="AE202" s="8"/>
      <c r="AF202" s="8"/>
      <c r="AG202" s="8"/>
      <c r="AH202" s="761"/>
      <c r="AI202" s="761"/>
    </row>
    <row r="203" spans="1:35" ht="15.75">
      <c r="A203" s="692" t="s">
        <v>2774</v>
      </c>
      <c r="B203" s="692" t="s">
        <v>489</v>
      </c>
      <c r="D203" s="692" t="s">
        <v>295</v>
      </c>
      <c r="E203" s="692" t="s">
        <v>2688</v>
      </c>
      <c r="F203" s="692" t="s">
        <v>2689</v>
      </c>
      <c r="G203" s="692" t="s">
        <v>387</v>
      </c>
      <c r="H203" s="692" t="s">
        <v>13</v>
      </c>
      <c r="I203" s="692" t="s">
        <v>41</v>
      </c>
      <c r="J203" s="692" t="s">
        <v>388</v>
      </c>
      <c r="K203" s="692" t="s">
        <v>3</v>
      </c>
      <c r="L203" s="692" t="str">
        <f t="shared" si="3"/>
        <v>1-19-01</v>
      </c>
      <c r="M203" s="692"/>
      <c r="N203" s="692"/>
      <c r="O203" s="692"/>
      <c r="P203" s="692" t="s">
        <v>427</v>
      </c>
      <c r="Q203" s="692" t="s">
        <v>4804</v>
      </c>
      <c r="R203" s="692" t="s">
        <v>4160</v>
      </c>
      <c r="S203" s="692">
        <v>22009561</v>
      </c>
      <c r="T203" s="692"/>
      <c r="U203" s="692" t="s">
        <v>3623</v>
      </c>
      <c r="V203" s="692" t="s">
        <v>1185</v>
      </c>
      <c r="W203" s="692"/>
      <c r="X203" s="761"/>
      <c r="Z203" s="713"/>
      <c r="AA203" s="10"/>
      <c r="AB203" s="8"/>
      <c r="AC203" s="8"/>
      <c r="AD203" s="8"/>
      <c r="AE203" s="8"/>
      <c r="AF203" s="8"/>
      <c r="AG203" s="8"/>
      <c r="AH203" s="761"/>
      <c r="AI203" s="761"/>
    </row>
    <row r="204" spans="1:35" ht="15.75">
      <c r="A204" s="692" t="s">
        <v>2070</v>
      </c>
      <c r="B204" s="692" t="s">
        <v>1132</v>
      </c>
      <c r="D204" s="692" t="s">
        <v>447</v>
      </c>
      <c r="E204" s="692" t="s">
        <v>2690</v>
      </c>
      <c r="F204" s="692" t="s">
        <v>2691</v>
      </c>
      <c r="G204" s="692" t="s">
        <v>387</v>
      </c>
      <c r="H204" s="692" t="s">
        <v>6</v>
      </c>
      <c r="I204" s="692" t="s">
        <v>80</v>
      </c>
      <c r="J204" s="692" t="s">
        <v>7</v>
      </c>
      <c r="K204" s="692" t="s">
        <v>6</v>
      </c>
      <c r="L204" s="692" t="str">
        <f t="shared" si="3"/>
        <v>6-05-04</v>
      </c>
      <c r="M204" s="692"/>
      <c r="N204" s="692"/>
      <c r="O204" s="692"/>
      <c r="P204" s="692" t="s">
        <v>2692</v>
      </c>
      <c r="Q204" s="692" t="s">
        <v>4804</v>
      </c>
      <c r="R204" s="692" t="s">
        <v>3873</v>
      </c>
      <c r="S204" s="692">
        <v>27438041</v>
      </c>
      <c r="T204" s="692">
        <v>27438069</v>
      </c>
      <c r="U204" s="692" t="s">
        <v>4844</v>
      </c>
      <c r="V204" s="692" t="s">
        <v>4438</v>
      </c>
      <c r="W204" s="692"/>
      <c r="X204" s="761"/>
      <c r="Z204" s="713"/>
      <c r="AA204" s="10"/>
      <c r="AB204" s="8"/>
      <c r="AC204" s="8"/>
      <c r="AD204" s="8"/>
      <c r="AE204" s="8"/>
      <c r="AF204" s="8"/>
      <c r="AG204" s="8"/>
      <c r="AH204" s="761"/>
      <c r="AI204" s="761"/>
    </row>
    <row r="205" spans="1:35" ht="15.75">
      <c r="A205" s="692" t="s">
        <v>2690</v>
      </c>
      <c r="B205" s="692" t="s">
        <v>447</v>
      </c>
      <c r="D205" s="692" t="s">
        <v>449</v>
      </c>
      <c r="E205" s="692" t="s">
        <v>2693</v>
      </c>
      <c r="F205" s="692" t="s">
        <v>4067</v>
      </c>
      <c r="G205" s="692" t="s">
        <v>387</v>
      </c>
      <c r="H205" s="692" t="s">
        <v>7</v>
      </c>
      <c r="I205" s="692" t="s">
        <v>41</v>
      </c>
      <c r="J205" s="692" t="s">
        <v>388</v>
      </c>
      <c r="K205" s="692" t="s">
        <v>6</v>
      </c>
      <c r="L205" s="692" t="str">
        <f t="shared" si="3"/>
        <v>1-19-04</v>
      </c>
      <c r="M205" s="692"/>
      <c r="N205" s="692"/>
      <c r="O205" s="692"/>
      <c r="P205" s="692" t="s">
        <v>4161</v>
      </c>
      <c r="Q205" s="692" t="s">
        <v>4804</v>
      </c>
      <c r="R205" s="692" t="s">
        <v>5844</v>
      </c>
      <c r="S205" s="692">
        <v>27425113</v>
      </c>
      <c r="T205" s="692">
        <v>27425114</v>
      </c>
      <c r="U205" s="692" t="s">
        <v>3624</v>
      </c>
      <c r="V205" s="692" t="s">
        <v>2695</v>
      </c>
      <c r="W205" s="692"/>
      <c r="X205" s="761"/>
      <c r="Z205" s="713"/>
      <c r="AA205" s="10"/>
      <c r="AB205" s="8"/>
      <c r="AC205" s="8"/>
      <c r="AD205" s="8"/>
      <c r="AE205" s="8"/>
      <c r="AF205" s="8"/>
      <c r="AG205" s="8"/>
      <c r="AH205" s="761"/>
      <c r="AI205" s="761"/>
    </row>
    <row r="206" spans="1:35" ht="15.75">
      <c r="A206" s="692" t="s">
        <v>2828</v>
      </c>
      <c r="B206" s="692" t="s">
        <v>1083</v>
      </c>
      <c r="D206" s="692" t="s">
        <v>451</v>
      </c>
      <c r="E206" s="692" t="s">
        <v>2696</v>
      </c>
      <c r="F206" s="692" t="s">
        <v>3495</v>
      </c>
      <c r="G206" s="692" t="s">
        <v>4397</v>
      </c>
      <c r="H206" s="692" t="s">
        <v>3</v>
      </c>
      <c r="I206" s="692" t="s">
        <v>80</v>
      </c>
      <c r="J206" s="692" t="s">
        <v>5</v>
      </c>
      <c r="K206" s="692" t="s">
        <v>3</v>
      </c>
      <c r="L206" s="692" t="str">
        <f t="shared" si="3"/>
        <v>6-03-01</v>
      </c>
      <c r="M206" s="692"/>
      <c r="N206" s="692"/>
      <c r="O206" s="692"/>
      <c r="P206" s="692" t="s">
        <v>417</v>
      </c>
      <c r="Q206" s="692" t="s">
        <v>4804</v>
      </c>
      <c r="R206" s="692" t="s">
        <v>5595</v>
      </c>
      <c r="S206" s="692">
        <v>27302533</v>
      </c>
      <c r="T206" s="692">
        <v>27300578</v>
      </c>
      <c r="U206" s="692" t="s">
        <v>3625</v>
      </c>
      <c r="V206" s="692" t="s">
        <v>2697</v>
      </c>
      <c r="W206" s="692"/>
      <c r="X206" s="761"/>
      <c r="Z206" s="713"/>
      <c r="AA206" s="10"/>
      <c r="AB206" s="8"/>
      <c r="AC206" s="8"/>
      <c r="AD206" s="8"/>
      <c r="AE206" s="8"/>
      <c r="AF206" s="8"/>
      <c r="AG206" s="8"/>
      <c r="AH206" s="761"/>
      <c r="AI206" s="761"/>
    </row>
    <row r="207" spans="1:35" ht="15.75">
      <c r="A207" s="692" t="s">
        <v>2831</v>
      </c>
      <c r="B207" s="692" t="s">
        <v>906</v>
      </c>
      <c r="D207" s="692" t="s">
        <v>452</v>
      </c>
      <c r="E207" s="692" t="s">
        <v>2698</v>
      </c>
      <c r="F207" s="692" t="s">
        <v>5596</v>
      </c>
      <c r="G207" s="692" t="s">
        <v>4397</v>
      </c>
      <c r="H207" s="692" t="s">
        <v>13</v>
      </c>
      <c r="I207" s="692" t="s">
        <v>80</v>
      </c>
      <c r="J207" s="692" t="s">
        <v>5</v>
      </c>
      <c r="K207" s="692" t="s">
        <v>3</v>
      </c>
      <c r="L207" s="692" t="str">
        <f t="shared" si="3"/>
        <v>6-03-01</v>
      </c>
      <c r="M207" s="692"/>
      <c r="N207" s="692"/>
      <c r="O207" s="692"/>
      <c r="P207" s="692" t="s">
        <v>5701</v>
      </c>
      <c r="Q207" s="692" t="s">
        <v>4804</v>
      </c>
      <c r="R207" s="692" t="s">
        <v>4162</v>
      </c>
      <c r="S207" s="692">
        <v>22005082</v>
      </c>
      <c r="T207" s="692">
        <v>87057408</v>
      </c>
      <c r="U207" s="692" t="s">
        <v>3872</v>
      </c>
      <c r="V207" s="692" t="s">
        <v>5872</v>
      </c>
      <c r="W207" s="692"/>
      <c r="X207" s="761"/>
      <c r="Z207" s="713"/>
      <c r="AA207" s="10"/>
      <c r="AB207" s="8"/>
      <c r="AC207" s="8"/>
      <c r="AD207" s="8"/>
      <c r="AE207" s="8"/>
      <c r="AF207" s="8"/>
      <c r="AG207" s="8"/>
      <c r="AH207" s="761"/>
      <c r="AI207" s="761"/>
    </row>
    <row r="208" spans="1:35" ht="15.75">
      <c r="A208" s="692" t="s">
        <v>2266</v>
      </c>
      <c r="B208" s="692" t="s">
        <v>170</v>
      </c>
      <c r="D208" s="11" t="s">
        <v>1756</v>
      </c>
      <c r="E208" s="11" t="s">
        <v>2699</v>
      </c>
      <c r="F208" s="11" t="s">
        <v>3496</v>
      </c>
      <c r="G208" s="11" t="s">
        <v>125</v>
      </c>
      <c r="H208" s="11" t="s">
        <v>6</v>
      </c>
      <c r="I208" s="11" t="s">
        <v>126</v>
      </c>
      <c r="J208" s="11" t="s">
        <v>5</v>
      </c>
      <c r="K208" s="11" t="s">
        <v>8</v>
      </c>
      <c r="L208" s="692" t="str">
        <f t="shared" si="3"/>
        <v>5-03-06</v>
      </c>
      <c r="M208" s="11"/>
      <c r="N208" s="11"/>
      <c r="O208" s="11"/>
      <c r="P208" s="11" t="s">
        <v>810</v>
      </c>
      <c r="Q208" s="11" t="s">
        <v>4804</v>
      </c>
      <c r="R208" s="11" t="s">
        <v>3555</v>
      </c>
      <c r="S208" s="11">
        <v>26828143</v>
      </c>
      <c r="T208" s="11">
        <v>26828143</v>
      </c>
      <c r="U208" s="11" t="s">
        <v>4845</v>
      </c>
      <c r="V208" s="11" t="s">
        <v>5597</v>
      </c>
      <c r="W208" s="692"/>
      <c r="X208" s="761"/>
      <c r="Z208" s="713"/>
      <c r="AA208" s="10"/>
      <c r="AB208" s="8"/>
      <c r="AC208" s="8"/>
      <c r="AD208" s="8"/>
      <c r="AE208" s="8"/>
      <c r="AF208" s="8"/>
      <c r="AG208" s="8"/>
      <c r="AH208" s="761"/>
      <c r="AI208" s="761"/>
    </row>
    <row r="209" spans="1:35" ht="15.75">
      <c r="A209" s="692" t="s">
        <v>2602</v>
      </c>
      <c r="B209" s="692" t="s">
        <v>400</v>
      </c>
      <c r="D209" s="692" t="s">
        <v>454</v>
      </c>
      <c r="E209" s="692" t="s">
        <v>2700</v>
      </c>
      <c r="F209" s="692" t="s">
        <v>4068</v>
      </c>
      <c r="G209" s="692" t="s">
        <v>125</v>
      </c>
      <c r="H209" s="692" t="s">
        <v>6</v>
      </c>
      <c r="I209" s="692" t="s">
        <v>126</v>
      </c>
      <c r="J209" s="692" t="s">
        <v>5</v>
      </c>
      <c r="K209" s="692" t="s">
        <v>8</v>
      </c>
      <c r="L209" s="692" t="str">
        <f t="shared" si="3"/>
        <v>5-03-06</v>
      </c>
      <c r="M209" s="692"/>
      <c r="N209" s="692"/>
      <c r="O209" s="692"/>
      <c r="P209" s="692" t="s">
        <v>811</v>
      </c>
      <c r="Q209" s="692" t="s">
        <v>4804</v>
      </c>
      <c r="R209" s="692" t="s">
        <v>3098</v>
      </c>
      <c r="S209" s="692">
        <v>26809036</v>
      </c>
      <c r="T209" s="692">
        <v>88980489</v>
      </c>
      <c r="U209" s="692" t="s">
        <v>4163</v>
      </c>
      <c r="V209" s="692" t="s">
        <v>4164</v>
      </c>
      <c r="W209" s="692"/>
      <c r="X209" s="761"/>
      <c r="Z209" s="713"/>
      <c r="AA209" s="10"/>
      <c r="AB209" s="8"/>
      <c r="AC209" s="8"/>
      <c r="AD209" s="8"/>
      <c r="AE209" s="8"/>
      <c r="AF209" s="8"/>
      <c r="AG209" s="8"/>
      <c r="AH209" s="761"/>
      <c r="AI209" s="761"/>
    </row>
    <row r="210" spans="1:35" ht="15.75">
      <c r="A210" s="692" t="s">
        <v>2819</v>
      </c>
      <c r="B210" s="692" t="s">
        <v>509</v>
      </c>
      <c r="D210" s="692" t="s">
        <v>456</v>
      </c>
      <c r="E210" s="692" t="s">
        <v>2701</v>
      </c>
      <c r="F210" s="692" t="s">
        <v>2702</v>
      </c>
      <c r="G210" s="692" t="s">
        <v>117</v>
      </c>
      <c r="H210" s="692" t="s">
        <v>17</v>
      </c>
      <c r="I210" s="692" t="s">
        <v>43</v>
      </c>
      <c r="J210" s="692" t="s">
        <v>13</v>
      </c>
      <c r="K210" s="692" t="s">
        <v>16</v>
      </c>
      <c r="L210" s="692" t="str">
        <f t="shared" si="3"/>
        <v>2-10-11</v>
      </c>
      <c r="M210" s="692"/>
      <c r="N210" s="692"/>
      <c r="O210" s="692"/>
      <c r="P210" s="692" t="s">
        <v>733</v>
      </c>
      <c r="Q210" s="692" t="s">
        <v>4804</v>
      </c>
      <c r="R210" s="692" t="s">
        <v>4439</v>
      </c>
      <c r="S210" s="692">
        <v>24695598</v>
      </c>
      <c r="T210" s="692">
        <v>24695598</v>
      </c>
      <c r="U210" s="692" t="s">
        <v>3626</v>
      </c>
      <c r="V210" s="692" t="s">
        <v>133</v>
      </c>
      <c r="W210" s="692"/>
      <c r="X210" s="761"/>
      <c r="Z210" s="713"/>
      <c r="AA210" s="10"/>
      <c r="AB210" s="8"/>
      <c r="AC210" s="8"/>
      <c r="AD210" s="8"/>
      <c r="AE210" s="8"/>
      <c r="AF210" s="8"/>
      <c r="AG210" s="8"/>
      <c r="AH210" s="761" t="s">
        <v>4493</v>
      </c>
      <c r="AI210" s="761"/>
    </row>
    <row r="211" spans="1:35" ht="15.75">
      <c r="A211" s="692" t="s">
        <v>2786</v>
      </c>
      <c r="B211" s="692" t="s">
        <v>495</v>
      </c>
      <c r="D211" s="692" t="s">
        <v>457</v>
      </c>
      <c r="E211" s="692" t="s">
        <v>2703</v>
      </c>
      <c r="F211" s="692" t="s">
        <v>3790</v>
      </c>
      <c r="G211" s="692" t="s">
        <v>4397</v>
      </c>
      <c r="H211" s="692" t="s">
        <v>11</v>
      </c>
      <c r="I211" s="692" t="s">
        <v>80</v>
      </c>
      <c r="J211" s="692" t="s">
        <v>7</v>
      </c>
      <c r="K211" s="692" t="s">
        <v>8</v>
      </c>
      <c r="L211" s="692" t="str">
        <f t="shared" si="3"/>
        <v>6-05-06</v>
      </c>
      <c r="M211" s="692"/>
      <c r="N211" s="692"/>
      <c r="O211" s="692"/>
      <c r="P211" s="692" t="s">
        <v>2704</v>
      </c>
      <c r="Q211" s="692" t="s">
        <v>4804</v>
      </c>
      <c r="R211" s="692" t="s">
        <v>4646</v>
      </c>
      <c r="S211" s="692">
        <v>27750333</v>
      </c>
      <c r="T211" s="692"/>
      <c r="U211" s="692" t="s">
        <v>4440</v>
      </c>
      <c r="V211" s="692" t="s">
        <v>4846</v>
      </c>
      <c r="W211" s="692"/>
      <c r="X211" s="761"/>
      <c r="Z211" s="713"/>
      <c r="AA211" s="10"/>
      <c r="AB211" s="8"/>
      <c r="AC211" s="8"/>
      <c r="AD211" s="8"/>
      <c r="AE211" s="8"/>
      <c r="AF211" s="8"/>
      <c r="AG211" s="8"/>
      <c r="AH211" s="761"/>
      <c r="AI211" s="761"/>
    </row>
    <row r="212" spans="1:35" ht="15.75">
      <c r="A212" s="692" t="s">
        <v>2754</v>
      </c>
      <c r="B212" s="692" t="s">
        <v>483</v>
      </c>
      <c r="D212" s="692" t="s">
        <v>458</v>
      </c>
      <c r="E212" s="692" t="s">
        <v>2705</v>
      </c>
      <c r="F212" s="692" t="s">
        <v>2706</v>
      </c>
      <c r="G212" s="692" t="s">
        <v>798</v>
      </c>
      <c r="H212" s="692" t="s">
        <v>8</v>
      </c>
      <c r="I212" s="692" t="s">
        <v>126</v>
      </c>
      <c r="J212" s="692" t="s">
        <v>4</v>
      </c>
      <c r="K212" s="692" t="s">
        <v>7</v>
      </c>
      <c r="L212" s="692" t="str">
        <f t="shared" si="3"/>
        <v>5-02-05</v>
      </c>
      <c r="M212" s="692"/>
      <c r="N212" s="692"/>
      <c r="O212" s="692"/>
      <c r="P212" s="692" t="s">
        <v>805</v>
      </c>
      <c r="Q212" s="692" t="s">
        <v>4804</v>
      </c>
      <c r="R212" s="692" t="s">
        <v>5598</v>
      </c>
      <c r="S212" s="692">
        <v>26561374</v>
      </c>
      <c r="T212" s="692">
        <v>22006168</v>
      </c>
      <c r="U212" s="692" t="s">
        <v>3627</v>
      </c>
      <c r="V212" s="692" t="s">
        <v>2707</v>
      </c>
      <c r="W212" s="692"/>
      <c r="X212" s="761"/>
      <c r="Z212" s="713"/>
      <c r="AA212" s="10"/>
      <c r="AB212" s="8"/>
      <c r="AC212" s="8"/>
      <c r="AD212" s="8"/>
      <c r="AE212" s="8"/>
      <c r="AF212" s="8"/>
      <c r="AG212" s="8"/>
      <c r="AH212" s="761"/>
      <c r="AI212" s="761"/>
    </row>
    <row r="213" spans="1:35" ht="15.75">
      <c r="A213" s="692" t="s">
        <v>2870</v>
      </c>
      <c r="B213" s="692" t="s">
        <v>526</v>
      </c>
      <c r="D213" s="692" t="s">
        <v>459</v>
      </c>
      <c r="E213" s="692" t="s">
        <v>2708</v>
      </c>
      <c r="F213" s="692" t="s">
        <v>3497</v>
      </c>
      <c r="G213" s="692" t="s">
        <v>5730</v>
      </c>
      <c r="H213" s="692" t="s">
        <v>11</v>
      </c>
      <c r="I213" s="692" t="s">
        <v>43</v>
      </c>
      <c r="J213" s="692" t="s">
        <v>118</v>
      </c>
      <c r="K213" s="692" t="s">
        <v>4</v>
      </c>
      <c r="L213" s="692" t="str">
        <f t="shared" si="3"/>
        <v>2-14-02</v>
      </c>
      <c r="M213" s="692"/>
      <c r="N213" s="692"/>
      <c r="O213" s="692"/>
      <c r="P213" s="692" t="s">
        <v>538</v>
      </c>
      <c r="Q213" s="692" t="s">
        <v>4804</v>
      </c>
      <c r="R213" s="692" t="s">
        <v>3874</v>
      </c>
      <c r="S213" s="692">
        <v>41051143</v>
      </c>
      <c r="T213" s="692"/>
      <c r="U213" s="692" t="s">
        <v>4165</v>
      </c>
      <c r="V213" s="692" t="s">
        <v>2783</v>
      </c>
      <c r="W213" s="692"/>
      <c r="X213" s="761"/>
      <c r="Z213" s="713"/>
      <c r="AA213" s="10"/>
      <c r="AB213" s="8"/>
      <c r="AC213" s="8"/>
      <c r="AD213" s="8"/>
      <c r="AE213" s="8"/>
      <c r="AF213" s="8"/>
      <c r="AG213" s="8"/>
      <c r="AH213" s="761"/>
      <c r="AI213" s="761"/>
    </row>
    <row r="214" spans="1:35" ht="15.75">
      <c r="A214" s="692" t="s">
        <v>2868</v>
      </c>
      <c r="B214" s="692" t="s">
        <v>524</v>
      </c>
      <c r="D214" s="692" t="s">
        <v>460</v>
      </c>
      <c r="E214" s="692" t="s">
        <v>2709</v>
      </c>
      <c r="F214" s="692" t="s">
        <v>2710</v>
      </c>
      <c r="G214" s="692" t="s">
        <v>117</v>
      </c>
      <c r="H214" s="692" t="s">
        <v>17</v>
      </c>
      <c r="I214" s="692" t="s">
        <v>43</v>
      </c>
      <c r="J214" s="692" t="s">
        <v>13</v>
      </c>
      <c r="K214" s="692" t="s">
        <v>16</v>
      </c>
      <c r="L214" s="692" t="str">
        <f t="shared" si="3"/>
        <v>2-10-11</v>
      </c>
      <c r="M214" s="692"/>
      <c r="N214" s="692"/>
      <c r="O214" s="692"/>
      <c r="P214" s="692" t="s">
        <v>736</v>
      </c>
      <c r="Q214" s="692" t="s">
        <v>4804</v>
      </c>
      <c r="R214" s="692" t="s">
        <v>2711</v>
      </c>
      <c r="S214" s="692">
        <v>24673033</v>
      </c>
      <c r="T214" s="692">
        <v>24673033</v>
      </c>
      <c r="U214" s="692" t="s">
        <v>4166</v>
      </c>
      <c r="V214" s="692" t="s">
        <v>2712</v>
      </c>
      <c r="W214" s="692"/>
      <c r="X214" s="761" t="s">
        <v>3966</v>
      </c>
      <c r="Z214" s="713"/>
      <c r="AA214" s="10"/>
      <c r="AB214" s="8"/>
      <c r="AC214" s="8"/>
      <c r="AD214" s="8"/>
      <c r="AE214" s="8"/>
      <c r="AF214" s="8"/>
      <c r="AG214" s="8"/>
      <c r="AH214" s="761"/>
      <c r="AI214" s="761"/>
    </row>
    <row r="215" spans="1:35" ht="15.75">
      <c r="A215" s="692" t="s">
        <v>2875</v>
      </c>
      <c r="B215" s="692" t="s">
        <v>529</v>
      </c>
      <c r="D215" s="692" t="s">
        <v>462</v>
      </c>
      <c r="E215" s="692" t="s">
        <v>2713</v>
      </c>
      <c r="F215" s="692" t="s">
        <v>2714</v>
      </c>
      <c r="G215" s="692" t="s">
        <v>5730</v>
      </c>
      <c r="H215" s="692" t="s">
        <v>9</v>
      </c>
      <c r="I215" s="692" t="s">
        <v>43</v>
      </c>
      <c r="J215" s="692" t="s">
        <v>18</v>
      </c>
      <c r="K215" s="692" t="s">
        <v>8</v>
      </c>
      <c r="L215" s="692" t="str">
        <f t="shared" si="3"/>
        <v>2-13-06</v>
      </c>
      <c r="M215" s="692"/>
      <c r="N215" s="692"/>
      <c r="O215" s="692"/>
      <c r="P215" s="692" t="s">
        <v>788</v>
      </c>
      <c r="Q215" s="692" t="s">
        <v>4804</v>
      </c>
      <c r="R215" s="692" t="s">
        <v>5816</v>
      </c>
      <c r="S215" s="692">
        <v>72961567</v>
      </c>
      <c r="T215" s="692"/>
      <c r="U215" s="692" t="s">
        <v>3628</v>
      </c>
      <c r="V215" s="692" t="s">
        <v>623</v>
      </c>
      <c r="W215" s="692"/>
      <c r="X215" s="761"/>
      <c r="Z215" s="713"/>
      <c r="AA215" s="10"/>
      <c r="AB215" s="8"/>
      <c r="AC215" s="8"/>
      <c r="AD215" s="8"/>
      <c r="AE215" s="8"/>
      <c r="AF215" s="8"/>
      <c r="AG215" s="8"/>
      <c r="AH215" s="761"/>
      <c r="AI215" s="761"/>
    </row>
    <row r="216" spans="1:35" ht="15.75">
      <c r="A216" s="692" t="s">
        <v>2750</v>
      </c>
      <c r="B216" s="692" t="s">
        <v>1143</v>
      </c>
      <c r="D216" s="692" t="s">
        <v>463</v>
      </c>
      <c r="E216" s="692" t="s">
        <v>2715</v>
      </c>
      <c r="F216" s="692" t="s">
        <v>2716</v>
      </c>
      <c r="G216" s="692" t="s">
        <v>4397</v>
      </c>
      <c r="H216" s="692" t="s">
        <v>12</v>
      </c>
      <c r="I216" s="692" t="s">
        <v>80</v>
      </c>
      <c r="J216" s="692" t="s">
        <v>7</v>
      </c>
      <c r="K216" s="692" t="s">
        <v>7</v>
      </c>
      <c r="L216" s="692" t="str">
        <f t="shared" si="3"/>
        <v>6-05-05</v>
      </c>
      <c r="M216" s="692"/>
      <c r="N216" s="692"/>
      <c r="O216" s="692"/>
      <c r="P216" s="692" t="s">
        <v>831</v>
      </c>
      <c r="Q216" s="692" t="s">
        <v>4804</v>
      </c>
      <c r="R216" s="692" t="s">
        <v>4847</v>
      </c>
      <c r="S216" s="692">
        <v>27411146</v>
      </c>
      <c r="T216" s="692"/>
      <c r="U216" s="692" t="s">
        <v>3875</v>
      </c>
      <c r="V216" s="692" t="s">
        <v>2717</v>
      </c>
      <c r="W216" s="692"/>
      <c r="X216" s="761"/>
      <c r="Z216" s="713"/>
      <c r="AA216" s="10"/>
      <c r="AB216" s="8"/>
      <c r="AC216" s="8"/>
      <c r="AD216" s="8"/>
      <c r="AE216" s="8"/>
      <c r="AF216" s="8"/>
      <c r="AG216" s="8"/>
      <c r="AH216" s="761"/>
      <c r="AI216" s="761"/>
    </row>
    <row r="217" spans="1:35" ht="15.75">
      <c r="A217" s="692" t="s">
        <v>2686</v>
      </c>
      <c r="B217" s="692" t="s">
        <v>1777</v>
      </c>
      <c r="D217" s="692" t="s">
        <v>465</v>
      </c>
      <c r="E217" s="692" t="s">
        <v>2720</v>
      </c>
      <c r="F217" s="692" t="s">
        <v>2721</v>
      </c>
      <c r="G217" s="692" t="s">
        <v>750</v>
      </c>
      <c r="H217" s="692" t="s">
        <v>6</v>
      </c>
      <c r="I217" s="692" t="s">
        <v>68</v>
      </c>
      <c r="J217" s="692" t="s">
        <v>8</v>
      </c>
      <c r="K217" s="692" t="s">
        <v>5</v>
      </c>
      <c r="L217" s="692" t="str">
        <f t="shared" si="3"/>
        <v>7-06-03</v>
      </c>
      <c r="M217" s="692"/>
      <c r="N217" s="692"/>
      <c r="O217" s="692"/>
      <c r="P217" s="692" t="s">
        <v>830</v>
      </c>
      <c r="Q217" s="692" t="s">
        <v>4804</v>
      </c>
      <c r="R217" s="692" t="s">
        <v>2722</v>
      </c>
      <c r="S217" s="692">
        <v>27600861</v>
      </c>
      <c r="T217" s="692"/>
      <c r="U217" s="692" t="s">
        <v>3876</v>
      </c>
      <c r="V217" s="692" t="s">
        <v>2723</v>
      </c>
      <c r="W217" s="692"/>
      <c r="X217" s="761"/>
      <c r="Z217" s="713"/>
      <c r="AA217" s="10"/>
      <c r="AB217" s="8"/>
      <c r="AC217" s="8"/>
      <c r="AD217" s="8"/>
      <c r="AE217" s="8"/>
      <c r="AF217" s="8"/>
      <c r="AG217" s="8"/>
      <c r="AH217" s="761"/>
      <c r="AI217" s="761"/>
    </row>
    <row r="218" spans="1:35" ht="15.75">
      <c r="A218" s="692" t="s">
        <v>2696</v>
      </c>
      <c r="B218" s="692" t="s">
        <v>451</v>
      </c>
      <c r="D218" s="692" t="s">
        <v>467</v>
      </c>
      <c r="E218" s="692" t="s">
        <v>2724</v>
      </c>
      <c r="F218" s="692" t="s">
        <v>2725</v>
      </c>
      <c r="G218" s="692" t="s">
        <v>750</v>
      </c>
      <c r="H218" s="692" t="s">
        <v>7</v>
      </c>
      <c r="I218" s="692" t="s">
        <v>68</v>
      </c>
      <c r="J218" s="692" t="s">
        <v>4</v>
      </c>
      <c r="K218" s="692" t="s">
        <v>6</v>
      </c>
      <c r="L218" s="692" t="str">
        <f t="shared" si="3"/>
        <v>7-02-04</v>
      </c>
      <c r="M218" s="692"/>
      <c r="N218" s="692"/>
      <c r="O218" s="692"/>
      <c r="P218" s="692" t="s">
        <v>202</v>
      </c>
      <c r="Q218" s="692" t="s">
        <v>4804</v>
      </c>
      <c r="R218" s="692" t="s">
        <v>5599</v>
      </c>
      <c r="S218" s="692">
        <v>27676334</v>
      </c>
      <c r="T218" s="692"/>
      <c r="U218" s="692" t="s">
        <v>3629</v>
      </c>
      <c r="V218" s="692" t="s">
        <v>5600</v>
      </c>
      <c r="W218" s="692"/>
      <c r="X218" s="761"/>
      <c r="Z218" s="713"/>
      <c r="AA218" s="10"/>
      <c r="AB218" s="8"/>
      <c r="AC218" s="8"/>
      <c r="AD218" s="8"/>
      <c r="AE218" s="8"/>
      <c r="AF218" s="8"/>
      <c r="AG218" s="8"/>
      <c r="AH218" s="761"/>
      <c r="AI218" s="761"/>
    </row>
    <row r="219" spans="1:35" ht="15.75">
      <c r="A219" s="692" t="s">
        <v>2698</v>
      </c>
      <c r="B219" s="692" t="s">
        <v>452</v>
      </c>
      <c r="D219" s="692" t="s">
        <v>470</v>
      </c>
      <c r="E219" s="692" t="s">
        <v>2730</v>
      </c>
      <c r="F219" s="692" t="s">
        <v>2731</v>
      </c>
      <c r="G219" s="692" t="s">
        <v>5729</v>
      </c>
      <c r="H219" s="692" t="s">
        <v>7</v>
      </c>
      <c r="I219" s="692" t="s">
        <v>68</v>
      </c>
      <c r="J219" s="692" t="s">
        <v>5</v>
      </c>
      <c r="K219" s="692" t="s">
        <v>9</v>
      </c>
      <c r="L219" s="692" t="str">
        <f t="shared" si="3"/>
        <v>7-03-07</v>
      </c>
      <c r="M219" s="692"/>
      <c r="N219" s="692"/>
      <c r="O219" s="692"/>
      <c r="P219" s="692" t="s">
        <v>3498</v>
      </c>
      <c r="Q219" s="692" t="s">
        <v>4804</v>
      </c>
      <c r="R219" s="692" t="s">
        <v>4457</v>
      </c>
      <c r="S219" s="692">
        <v>27585720</v>
      </c>
      <c r="T219" s="692">
        <v>27585720</v>
      </c>
      <c r="U219" s="692" t="s">
        <v>3630</v>
      </c>
      <c r="V219" s="692" t="s">
        <v>4167</v>
      </c>
      <c r="W219" s="692"/>
      <c r="X219" s="761"/>
      <c r="Z219" s="713"/>
      <c r="AA219" s="10"/>
      <c r="AB219" s="8"/>
      <c r="AC219" s="8"/>
      <c r="AD219" s="8"/>
      <c r="AE219" s="8"/>
      <c r="AF219" s="8"/>
      <c r="AG219" s="8"/>
      <c r="AH219" s="761"/>
      <c r="AI219" s="761"/>
    </row>
    <row r="220" spans="1:35" ht="15.75">
      <c r="A220" s="692" t="s">
        <v>2817</v>
      </c>
      <c r="B220" s="692" t="s">
        <v>508</v>
      </c>
      <c r="D220" s="692" t="s">
        <v>1140</v>
      </c>
      <c r="E220" s="692" t="s">
        <v>2732</v>
      </c>
      <c r="F220" s="692" t="s">
        <v>5601</v>
      </c>
      <c r="G220" s="692" t="s">
        <v>5729</v>
      </c>
      <c r="H220" s="692" t="s">
        <v>11</v>
      </c>
      <c r="I220" s="692" t="s">
        <v>68</v>
      </c>
      <c r="J220" s="692" t="s">
        <v>6</v>
      </c>
      <c r="K220" s="692" t="s">
        <v>5</v>
      </c>
      <c r="L220" s="692" t="str">
        <f t="shared" si="3"/>
        <v>7-04-03</v>
      </c>
      <c r="M220" s="692"/>
      <c r="N220" s="692"/>
      <c r="O220" s="692"/>
      <c r="P220" s="692" t="s">
        <v>853</v>
      </c>
      <c r="Q220" s="692" t="s">
        <v>4804</v>
      </c>
      <c r="R220" s="692" t="s">
        <v>4441</v>
      </c>
      <c r="S220" s="692">
        <v>27550213</v>
      </c>
      <c r="T220" s="692"/>
      <c r="U220" s="692" t="s">
        <v>4442</v>
      </c>
      <c r="V220" s="692" t="s">
        <v>4443</v>
      </c>
      <c r="W220" s="692"/>
      <c r="X220" s="761"/>
      <c r="Z220" s="713"/>
      <c r="AA220" s="10"/>
      <c r="AB220" s="8"/>
      <c r="AC220" s="8"/>
      <c r="AD220" s="8"/>
      <c r="AE220" s="8"/>
      <c r="AF220" s="8"/>
      <c r="AG220" s="8"/>
      <c r="AH220" s="761"/>
      <c r="AI220" s="761"/>
    </row>
    <row r="221" spans="1:35" ht="15.75">
      <c r="A221" s="692" t="s">
        <v>2778</v>
      </c>
      <c r="B221" s="692" t="s">
        <v>490</v>
      </c>
      <c r="D221" s="692" t="s">
        <v>471</v>
      </c>
      <c r="E221" s="692" t="s">
        <v>2733</v>
      </c>
      <c r="F221" s="692" t="s">
        <v>3499</v>
      </c>
      <c r="G221" s="692" t="s">
        <v>5729</v>
      </c>
      <c r="H221" s="692" t="s">
        <v>9</v>
      </c>
      <c r="I221" s="692" t="s">
        <v>68</v>
      </c>
      <c r="J221" s="692" t="s">
        <v>7</v>
      </c>
      <c r="K221" s="692" t="s">
        <v>5</v>
      </c>
      <c r="L221" s="692" t="str">
        <f t="shared" si="3"/>
        <v>7-05-03</v>
      </c>
      <c r="M221" s="692"/>
      <c r="N221" s="692"/>
      <c r="O221" s="692"/>
      <c r="P221" s="692" t="s">
        <v>854</v>
      </c>
      <c r="Q221" s="692" t="s">
        <v>4804</v>
      </c>
      <c r="R221" s="692" t="s">
        <v>5733</v>
      </c>
      <c r="S221" s="692">
        <v>27978134</v>
      </c>
      <c r="T221" s="692">
        <v>27978265</v>
      </c>
      <c r="U221" s="692" t="s">
        <v>3631</v>
      </c>
      <c r="V221" s="692" t="s">
        <v>2734</v>
      </c>
      <c r="W221" s="692"/>
      <c r="X221" s="761"/>
      <c r="Z221" s="713"/>
      <c r="AA221" s="10"/>
      <c r="AB221" s="8"/>
      <c r="AC221" s="8"/>
      <c r="AD221" s="8"/>
      <c r="AE221" s="8"/>
      <c r="AF221" s="8"/>
      <c r="AG221" s="8"/>
      <c r="AH221" s="761"/>
      <c r="AI221" s="761"/>
    </row>
    <row r="222" spans="1:35" ht="15.75">
      <c r="A222" s="692" t="s">
        <v>2676</v>
      </c>
      <c r="B222" s="692" t="s">
        <v>443</v>
      </c>
      <c r="D222" s="692" t="s">
        <v>473</v>
      </c>
      <c r="E222" s="692" t="s">
        <v>2736</v>
      </c>
      <c r="F222" s="692" t="s">
        <v>2737</v>
      </c>
      <c r="G222" s="692" t="s">
        <v>117</v>
      </c>
      <c r="H222" s="692" t="s">
        <v>9</v>
      </c>
      <c r="I222" s="692" t="s">
        <v>43</v>
      </c>
      <c r="J222" s="692" t="s">
        <v>13</v>
      </c>
      <c r="K222" s="692" t="s">
        <v>16</v>
      </c>
      <c r="L222" s="692" t="str">
        <f t="shared" si="3"/>
        <v>2-10-11</v>
      </c>
      <c r="M222" s="692"/>
      <c r="N222" s="692"/>
      <c r="O222" s="692"/>
      <c r="P222" s="692" t="s">
        <v>731</v>
      </c>
      <c r="Q222" s="692" t="s">
        <v>4804</v>
      </c>
      <c r="R222" s="692" t="s">
        <v>4855</v>
      </c>
      <c r="S222" s="692">
        <v>24695006</v>
      </c>
      <c r="T222" s="692">
        <v>24695006</v>
      </c>
      <c r="U222" s="692" t="s">
        <v>3632</v>
      </c>
      <c r="V222" s="692" t="s">
        <v>4848</v>
      </c>
      <c r="W222" s="692"/>
      <c r="X222" s="761" t="s">
        <v>821</v>
      </c>
      <c r="Z222" s="713"/>
      <c r="AA222" s="10"/>
      <c r="AB222" s="8"/>
      <c r="AC222" s="8"/>
      <c r="AD222" s="8"/>
      <c r="AE222" s="8"/>
      <c r="AF222" s="8"/>
      <c r="AG222" s="8"/>
      <c r="AH222" s="761"/>
      <c r="AI222" s="761"/>
    </row>
    <row r="223" spans="1:35" ht="15.75">
      <c r="A223" s="692" t="s">
        <v>2679</v>
      </c>
      <c r="B223" s="692" t="s">
        <v>444</v>
      </c>
      <c r="D223" s="692" t="s">
        <v>474</v>
      </c>
      <c r="E223" s="692" t="s">
        <v>2738</v>
      </c>
      <c r="F223" s="692" t="s">
        <v>2739</v>
      </c>
      <c r="G223" s="692" t="s">
        <v>117</v>
      </c>
      <c r="H223" s="692" t="s">
        <v>9</v>
      </c>
      <c r="I223" s="692" t="s">
        <v>43</v>
      </c>
      <c r="J223" s="692" t="s">
        <v>13</v>
      </c>
      <c r="K223" s="692" t="s">
        <v>18</v>
      </c>
      <c r="L223" s="692" t="str">
        <f t="shared" si="3"/>
        <v>2-10-13</v>
      </c>
      <c r="M223" s="692"/>
      <c r="N223" s="692"/>
      <c r="O223" s="692"/>
      <c r="P223" s="692" t="s">
        <v>525</v>
      </c>
      <c r="Q223" s="692" t="s">
        <v>4804</v>
      </c>
      <c r="R223" s="692" t="s">
        <v>4444</v>
      </c>
      <c r="S223" s="692">
        <v>72984076</v>
      </c>
      <c r="T223" s="692"/>
      <c r="U223" s="692" t="s">
        <v>3633</v>
      </c>
      <c r="V223" s="692" t="s">
        <v>2740</v>
      </c>
      <c r="W223" s="692"/>
      <c r="X223" s="761"/>
      <c r="Z223" s="713"/>
      <c r="AA223" s="10"/>
      <c r="AB223" s="8"/>
      <c r="AC223" s="8"/>
      <c r="AD223" s="8"/>
      <c r="AE223" s="8"/>
      <c r="AF223" s="8"/>
      <c r="AG223" s="8"/>
      <c r="AH223" s="761"/>
      <c r="AI223" s="761"/>
    </row>
    <row r="224" spans="1:35" ht="15.75">
      <c r="A224" s="692" t="s">
        <v>2701</v>
      </c>
      <c r="B224" s="692" t="s">
        <v>456</v>
      </c>
      <c r="D224" s="692" t="s">
        <v>476</v>
      </c>
      <c r="E224" s="692" t="s">
        <v>2741</v>
      </c>
      <c r="F224" s="692" t="s">
        <v>2742</v>
      </c>
      <c r="G224" s="692" t="s">
        <v>172</v>
      </c>
      <c r="H224" s="692" t="s">
        <v>9</v>
      </c>
      <c r="I224" s="692" t="s">
        <v>41</v>
      </c>
      <c r="J224" s="692" t="s">
        <v>304</v>
      </c>
      <c r="K224" s="692" t="s">
        <v>7</v>
      </c>
      <c r="L224" s="692" t="str">
        <f t="shared" si="3"/>
        <v>1-16-05</v>
      </c>
      <c r="M224" s="692"/>
      <c r="N224" s="692"/>
      <c r="O224" s="692"/>
      <c r="P224" s="692" t="s">
        <v>377</v>
      </c>
      <c r="Q224" s="692" t="s">
        <v>4804</v>
      </c>
      <c r="R224" s="692" t="s">
        <v>5838</v>
      </c>
      <c r="S224" s="692">
        <v>26451071</v>
      </c>
      <c r="T224" s="692">
        <v>26451071</v>
      </c>
      <c r="U224" s="692" t="s">
        <v>3634</v>
      </c>
      <c r="V224" s="692" t="s">
        <v>2743</v>
      </c>
      <c r="W224" s="692"/>
      <c r="X224" s="761"/>
      <c r="Z224" s="713"/>
      <c r="AA224" s="10"/>
      <c r="AB224" s="8"/>
      <c r="AC224" s="8"/>
      <c r="AD224" s="8"/>
      <c r="AE224" s="8"/>
      <c r="AF224" s="8"/>
      <c r="AG224" s="8"/>
      <c r="AH224" s="761"/>
      <c r="AI224" s="761"/>
    </row>
    <row r="225" spans="1:35" ht="15.75">
      <c r="A225" s="692" t="s">
        <v>2681</v>
      </c>
      <c r="B225" s="692" t="s">
        <v>1776</v>
      </c>
      <c r="D225" s="692" t="s">
        <v>478</v>
      </c>
      <c r="E225" s="692" t="s">
        <v>2744</v>
      </c>
      <c r="F225" s="692" t="s">
        <v>2745</v>
      </c>
      <c r="G225" s="692" t="s">
        <v>65</v>
      </c>
      <c r="H225" s="692" t="s">
        <v>8</v>
      </c>
      <c r="I225" s="692" t="s">
        <v>43</v>
      </c>
      <c r="J225" s="692" t="s">
        <v>9</v>
      </c>
      <c r="K225" s="692" t="s">
        <v>4</v>
      </c>
      <c r="L225" s="692" t="str">
        <f t="shared" si="3"/>
        <v>2-07-02</v>
      </c>
      <c r="M225" s="692"/>
      <c r="N225" s="692"/>
      <c r="O225" s="692"/>
      <c r="P225" s="692" t="s">
        <v>4168</v>
      </c>
      <c r="Q225" s="692" t="s">
        <v>4804</v>
      </c>
      <c r="R225" s="692" t="s">
        <v>3877</v>
      </c>
      <c r="S225" s="692">
        <v>24531551</v>
      </c>
      <c r="T225" s="692">
        <v>24531551</v>
      </c>
      <c r="U225" s="692" t="s">
        <v>2746</v>
      </c>
      <c r="V225" s="692" t="s">
        <v>4169</v>
      </c>
      <c r="W225" s="692"/>
      <c r="X225" s="761" t="s">
        <v>1752</v>
      </c>
      <c r="Z225" s="713"/>
      <c r="AA225" s="10"/>
      <c r="AB225" s="8"/>
      <c r="AC225" s="8"/>
      <c r="AD225" s="8"/>
      <c r="AE225" s="8"/>
      <c r="AF225" s="8"/>
      <c r="AG225" s="8"/>
      <c r="AH225" s="761"/>
      <c r="AI225" s="761"/>
    </row>
    <row r="226" spans="1:35" ht="15.75">
      <c r="A226" s="692" t="s">
        <v>2836</v>
      </c>
      <c r="B226" s="692" t="s">
        <v>515</v>
      </c>
      <c r="D226" s="692" t="s">
        <v>480</v>
      </c>
      <c r="E226" s="692" t="s">
        <v>2748</v>
      </c>
      <c r="F226" s="692" t="s">
        <v>2749</v>
      </c>
      <c r="G226" s="692" t="s">
        <v>128</v>
      </c>
      <c r="H226" s="692" t="s">
        <v>7</v>
      </c>
      <c r="I226" s="692" t="s">
        <v>56</v>
      </c>
      <c r="J226" s="692" t="s">
        <v>8</v>
      </c>
      <c r="K226" s="692" t="s">
        <v>4</v>
      </c>
      <c r="L226" s="692" t="str">
        <f t="shared" si="3"/>
        <v>3-06-02</v>
      </c>
      <c r="M226" s="692"/>
      <c r="N226" s="692"/>
      <c r="O226" s="692"/>
      <c r="P226" s="692" t="s">
        <v>83</v>
      </c>
      <c r="Q226" s="692" t="s">
        <v>4804</v>
      </c>
      <c r="R226" s="692" t="s">
        <v>5602</v>
      </c>
      <c r="S226" s="692">
        <v>25348017</v>
      </c>
      <c r="T226" s="692">
        <v>25348017</v>
      </c>
      <c r="U226" s="692" t="s">
        <v>5603</v>
      </c>
      <c r="V226" s="692" t="s">
        <v>5604</v>
      </c>
      <c r="W226" s="692"/>
      <c r="X226" s="761"/>
      <c r="Z226" s="713"/>
      <c r="AA226" s="10"/>
      <c r="AB226" s="8"/>
      <c r="AC226" s="8"/>
      <c r="AD226" s="8"/>
      <c r="AE226" s="8"/>
      <c r="AF226" s="8"/>
      <c r="AG226" s="8"/>
      <c r="AH226" s="761"/>
      <c r="AI226" s="761"/>
    </row>
    <row r="227" spans="1:35" ht="15.75">
      <c r="A227" s="692" t="s">
        <v>2838</v>
      </c>
      <c r="B227" s="692" t="s">
        <v>516</v>
      </c>
      <c r="D227" s="692" t="s">
        <v>1143</v>
      </c>
      <c r="E227" s="692" t="s">
        <v>2750</v>
      </c>
      <c r="F227" s="692" t="s">
        <v>5605</v>
      </c>
      <c r="G227" s="692" t="s">
        <v>4397</v>
      </c>
      <c r="H227" s="692" t="s">
        <v>7</v>
      </c>
      <c r="I227" s="692" t="s">
        <v>80</v>
      </c>
      <c r="J227" s="692" t="s">
        <v>5</v>
      </c>
      <c r="K227" s="692" t="s">
        <v>8</v>
      </c>
      <c r="L227" s="692" t="str">
        <f t="shared" si="3"/>
        <v>6-03-06</v>
      </c>
      <c r="M227" s="692"/>
      <c r="N227" s="692"/>
      <c r="O227" s="692"/>
      <c r="P227" s="692" t="s">
        <v>591</v>
      </c>
      <c r="Q227" s="692" t="s">
        <v>4804</v>
      </c>
      <c r="R227" s="692" t="s">
        <v>5841</v>
      </c>
      <c r="S227" s="692">
        <v>22005153</v>
      </c>
      <c r="T227" s="692">
        <v>27300748</v>
      </c>
      <c r="U227" s="692" t="s">
        <v>4849</v>
      </c>
      <c r="V227" s="692" t="s">
        <v>2751</v>
      </c>
      <c r="W227" s="692"/>
      <c r="X227" s="761"/>
      <c r="Z227" s="713"/>
      <c r="AA227" s="10"/>
      <c r="AB227" s="8"/>
      <c r="AC227" s="8"/>
      <c r="AD227" s="8"/>
      <c r="AE227" s="8"/>
      <c r="AF227" s="8"/>
      <c r="AG227" s="8"/>
      <c r="AH227" s="761"/>
      <c r="AI227" s="761"/>
    </row>
    <row r="228" spans="1:35" ht="15.75">
      <c r="A228" s="692" t="s">
        <v>2835</v>
      </c>
      <c r="B228" s="692" t="s">
        <v>907</v>
      </c>
      <c r="D228" s="692" t="s">
        <v>934</v>
      </c>
      <c r="E228" s="692" t="s">
        <v>2752</v>
      </c>
      <c r="F228" s="692" t="s">
        <v>5606</v>
      </c>
      <c r="G228" s="692" t="s">
        <v>4397</v>
      </c>
      <c r="H228" s="692" t="s">
        <v>7</v>
      </c>
      <c r="I228" s="692" t="s">
        <v>80</v>
      </c>
      <c r="J228" s="692" t="s">
        <v>5</v>
      </c>
      <c r="K228" s="692" t="s">
        <v>7</v>
      </c>
      <c r="L228" s="692" t="str">
        <f t="shared" si="3"/>
        <v>6-03-05</v>
      </c>
      <c r="M228" s="692"/>
      <c r="N228" s="692"/>
      <c r="O228" s="692"/>
      <c r="P228" s="692" t="s">
        <v>5702</v>
      </c>
      <c r="Q228" s="692" t="s">
        <v>4804</v>
      </c>
      <c r="R228" s="692" t="s">
        <v>5841</v>
      </c>
      <c r="S228" s="692">
        <v>22005632</v>
      </c>
      <c r="T228" s="692">
        <v>86534761</v>
      </c>
      <c r="U228" s="692" t="s">
        <v>3878</v>
      </c>
      <c r="V228" s="692" t="s">
        <v>2753</v>
      </c>
      <c r="W228" s="692"/>
      <c r="X228" s="761"/>
      <c r="Z228" s="713"/>
      <c r="AA228" s="10"/>
      <c r="AB228" s="8"/>
      <c r="AC228" s="8"/>
      <c r="AD228" s="8"/>
      <c r="AE228" s="8"/>
      <c r="AF228" s="8"/>
      <c r="AG228" s="8"/>
      <c r="AH228" s="761"/>
      <c r="AI228" s="761"/>
    </row>
    <row r="229" spans="1:35" ht="15.75">
      <c r="A229" s="692" t="s">
        <v>2738</v>
      </c>
      <c r="B229" s="692" t="s">
        <v>474</v>
      </c>
      <c r="D229" s="692" t="s">
        <v>483</v>
      </c>
      <c r="E229" s="692" t="s">
        <v>2754</v>
      </c>
      <c r="F229" s="692" t="s">
        <v>5607</v>
      </c>
      <c r="G229" s="692" t="s">
        <v>4397</v>
      </c>
      <c r="H229" s="692" t="s">
        <v>5</v>
      </c>
      <c r="I229" s="692" t="s">
        <v>80</v>
      </c>
      <c r="J229" s="692" t="s">
        <v>5</v>
      </c>
      <c r="K229" s="692" t="s">
        <v>9</v>
      </c>
      <c r="L229" s="692" t="str">
        <f t="shared" si="3"/>
        <v>6-03-07</v>
      </c>
      <c r="M229" s="692"/>
      <c r="N229" s="692"/>
      <c r="O229" s="692"/>
      <c r="P229" s="692" t="s">
        <v>2755</v>
      </c>
      <c r="Q229" s="692" t="s">
        <v>4804</v>
      </c>
      <c r="R229" s="692" t="s">
        <v>2756</v>
      </c>
      <c r="S229" s="692">
        <v>86121414</v>
      </c>
      <c r="T229" s="692">
        <v>27300744</v>
      </c>
      <c r="U229" s="692" t="s">
        <v>3879</v>
      </c>
      <c r="V229" s="692" t="s">
        <v>2757</v>
      </c>
      <c r="W229" s="692"/>
      <c r="X229" s="761"/>
      <c r="Z229" s="713"/>
      <c r="AA229" s="10"/>
      <c r="AB229" s="8"/>
      <c r="AC229" s="8"/>
      <c r="AD229" s="8"/>
      <c r="AE229" s="8"/>
      <c r="AF229" s="8"/>
      <c r="AG229" s="8"/>
      <c r="AH229" s="761"/>
      <c r="AI229" s="761"/>
    </row>
    <row r="230" spans="1:35" ht="15.75">
      <c r="A230" s="692" t="s">
        <v>2708</v>
      </c>
      <c r="B230" s="692" t="s">
        <v>459</v>
      </c>
      <c r="D230" s="692" t="s">
        <v>311</v>
      </c>
      <c r="E230" s="692" t="s">
        <v>2758</v>
      </c>
      <c r="F230" s="692" t="s">
        <v>2759</v>
      </c>
      <c r="G230" s="692" t="s">
        <v>387</v>
      </c>
      <c r="H230" s="692" t="s">
        <v>8</v>
      </c>
      <c r="I230" s="692" t="s">
        <v>41</v>
      </c>
      <c r="J230" s="692" t="s">
        <v>388</v>
      </c>
      <c r="K230" s="692" t="s">
        <v>11</v>
      </c>
      <c r="L230" s="692" t="str">
        <f t="shared" si="3"/>
        <v>1-19-08</v>
      </c>
      <c r="M230" s="692"/>
      <c r="N230" s="692"/>
      <c r="O230" s="692"/>
      <c r="P230" s="692" t="s">
        <v>211</v>
      </c>
      <c r="Q230" s="692" t="s">
        <v>4804</v>
      </c>
      <c r="R230" s="692" t="s">
        <v>4850</v>
      </c>
      <c r="S230" s="692">
        <v>22005300</v>
      </c>
      <c r="T230" s="692"/>
      <c r="U230" s="692" t="s">
        <v>3635</v>
      </c>
      <c r="V230" s="692" t="s">
        <v>4445</v>
      </c>
      <c r="W230" s="692"/>
      <c r="X230" s="761"/>
      <c r="Z230" s="713"/>
      <c r="AA230" s="10"/>
      <c r="AB230" s="8"/>
      <c r="AC230" s="8"/>
      <c r="AD230" s="8"/>
      <c r="AE230" s="8"/>
      <c r="AF230" s="8"/>
      <c r="AG230" s="8"/>
      <c r="AH230" s="761"/>
      <c r="AI230" s="761"/>
    </row>
    <row r="231" spans="1:35" ht="15.75">
      <c r="A231" s="692" t="s">
        <v>2810</v>
      </c>
      <c r="B231" s="692" t="s">
        <v>905</v>
      </c>
      <c r="D231" s="692" t="s">
        <v>359</v>
      </c>
      <c r="E231" s="692" t="s">
        <v>2760</v>
      </c>
      <c r="F231" s="692" t="s">
        <v>4069</v>
      </c>
      <c r="G231" s="692" t="s">
        <v>387</v>
      </c>
      <c r="H231" s="692" t="s">
        <v>6</v>
      </c>
      <c r="I231" s="692" t="s">
        <v>41</v>
      </c>
      <c r="J231" s="692" t="s">
        <v>388</v>
      </c>
      <c r="K231" s="692" t="s">
        <v>12</v>
      </c>
      <c r="L231" s="692" t="str">
        <f t="shared" si="3"/>
        <v>1-19-09</v>
      </c>
      <c r="M231" s="692"/>
      <c r="N231" s="692"/>
      <c r="O231" s="692"/>
      <c r="P231" s="692" t="s">
        <v>437</v>
      </c>
      <c r="Q231" s="692" t="s">
        <v>4804</v>
      </c>
      <c r="R231" s="692" t="s">
        <v>2761</v>
      </c>
      <c r="S231" s="692">
        <v>27870510</v>
      </c>
      <c r="T231" s="692">
        <v>27870510</v>
      </c>
      <c r="U231" s="692" t="s">
        <v>2762</v>
      </c>
      <c r="V231" s="692" t="s">
        <v>2763</v>
      </c>
      <c r="W231" s="692"/>
      <c r="X231" s="761"/>
      <c r="Z231" s="713"/>
      <c r="AA231" s="10"/>
      <c r="AB231" s="8"/>
      <c r="AC231" s="8"/>
      <c r="AD231" s="8"/>
      <c r="AE231" s="8"/>
      <c r="AF231" s="8"/>
      <c r="AG231" s="8"/>
      <c r="AH231" s="761"/>
      <c r="AI231" s="761"/>
    </row>
    <row r="232" spans="1:35" ht="15.75">
      <c r="A232" s="692" t="s">
        <v>2767</v>
      </c>
      <c r="B232" s="692" t="s">
        <v>486</v>
      </c>
      <c r="D232" s="692" t="s">
        <v>485</v>
      </c>
      <c r="E232" s="692" t="s">
        <v>2764</v>
      </c>
      <c r="F232" s="692" t="s">
        <v>2765</v>
      </c>
      <c r="G232" s="692" t="s">
        <v>125</v>
      </c>
      <c r="H232" s="692" t="s">
        <v>3</v>
      </c>
      <c r="I232" s="692" t="s">
        <v>126</v>
      </c>
      <c r="J232" s="692" t="s">
        <v>4</v>
      </c>
      <c r="K232" s="692" t="s">
        <v>3</v>
      </c>
      <c r="L232" s="692" t="str">
        <f t="shared" si="3"/>
        <v>5-02-01</v>
      </c>
      <c r="M232" s="692"/>
      <c r="N232" s="692"/>
      <c r="O232" s="692"/>
      <c r="P232" s="692" t="s">
        <v>255</v>
      </c>
      <c r="Q232" s="692" t="s">
        <v>4804</v>
      </c>
      <c r="R232" s="692" t="s">
        <v>3556</v>
      </c>
      <c r="S232" s="692">
        <v>88603342</v>
      </c>
      <c r="T232" s="692">
        <v>22007770</v>
      </c>
      <c r="U232" s="692" t="s">
        <v>3880</v>
      </c>
      <c r="V232" s="692" t="s">
        <v>4446</v>
      </c>
      <c r="W232" s="692"/>
      <c r="X232" s="761"/>
      <c r="Z232" s="713"/>
      <c r="AA232" s="10"/>
      <c r="AB232" s="8"/>
      <c r="AC232" s="8"/>
      <c r="AD232" s="8"/>
      <c r="AE232" s="8"/>
      <c r="AF232" s="8"/>
      <c r="AG232" s="8"/>
      <c r="AH232" s="761"/>
      <c r="AI232" s="761"/>
    </row>
    <row r="233" spans="1:35" ht="15.75">
      <c r="A233" s="692" t="s">
        <v>2684</v>
      </c>
      <c r="B233" s="692" t="s">
        <v>445</v>
      </c>
      <c r="D233" s="692" t="s">
        <v>1074</v>
      </c>
      <c r="E233" s="692" t="s">
        <v>2766</v>
      </c>
      <c r="F233" s="692" t="s">
        <v>3101</v>
      </c>
      <c r="G233" s="692" t="s">
        <v>125</v>
      </c>
      <c r="H233" s="692" t="s">
        <v>7</v>
      </c>
      <c r="I233" s="692" t="s">
        <v>126</v>
      </c>
      <c r="J233" s="692" t="s">
        <v>7</v>
      </c>
      <c r="K233" s="692" t="s">
        <v>6</v>
      </c>
      <c r="L233" s="692" t="str">
        <f t="shared" si="3"/>
        <v>5-05-04</v>
      </c>
      <c r="M233" s="692"/>
      <c r="N233" s="692"/>
      <c r="O233" s="692"/>
      <c r="P233" s="692" t="s">
        <v>211</v>
      </c>
      <c r="Q233" s="692" t="s">
        <v>4804</v>
      </c>
      <c r="R233" s="692" t="s">
        <v>4851</v>
      </c>
      <c r="S233" s="692">
        <v>26511300</v>
      </c>
      <c r="T233" s="692">
        <v>26511300</v>
      </c>
      <c r="U233" s="692" t="s">
        <v>3636</v>
      </c>
      <c r="V233" s="692" t="s">
        <v>4447</v>
      </c>
      <c r="W233" s="692"/>
      <c r="X233" s="761"/>
      <c r="Z233" s="713"/>
      <c r="AA233" s="10"/>
      <c r="AB233" s="8"/>
      <c r="AC233" s="8"/>
      <c r="AD233" s="8"/>
      <c r="AE233" s="8"/>
      <c r="AF233" s="8"/>
      <c r="AG233" s="8"/>
      <c r="AH233" s="761"/>
      <c r="AI233" s="761"/>
    </row>
    <row r="234" spans="1:35" ht="15.75">
      <c r="A234" s="692" t="s">
        <v>2705</v>
      </c>
      <c r="B234" s="692" t="s">
        <v>458</v>
      </c>
      <c r="D234" s="692" t="s">
        <v>486</v>
      </c>
      <c r="E234" s="692" t="s">
        <v>2767</v>
      </c>
      <c r="F234" s="692" t="s">
        <v>2768</v>
      </c>
      <c r="G234" s="692" t="s">
        <v>767</v>
      </c>
      <c r="H234" s="692" t="s">
        <v>5</v>
      </c>
      <c r="I234" s="692" t="s">
        <v>56</v>
      </c>
      <c r="J234" s="692" t="s">
        <v>7</v>
      </c>
      <c r="K234" s="692" t="s">
        <v>4</v>
      </c>
      <c r="L234" s="692" t="str">
        <f t="shared" si="3"/>
        <v>3-05-02</v>
      </c>
      <c r="M234" s="692"/>
      <c r="N234" s="692"/>
      <c r="O234" s="692"/>
      <c r="P234" s="692" t="s">
        <v>771</v>
      </c>
      <c r="Q234" s="692" t="s">
        <v>4804</v>
      </c>
      <c r="R234" s="692" t="s">
        <v>5763</v>
      </c>
      <c r="S234" s="692">
        <v>25312358</v>
      </c>
      <c r="T234" s="692">
        <v>88211649</v>
      </c>
      <c r="U234" s="692" t="s">
        <v>2769</v>
      </c>
      <c r="V234" s="692" t="s">
        <v>2770</v>
      </c>
      <c r="W234" s="692"/>
      <c r="X234" s="761"/>
      <c r="Z234" s="713"/>
      <c r="AA234" s="10"/>
      <c r="AB234" s="8"/>
      <c r="AC234" s="8"/>
      <c r="AD234" s="8"/>
      <c r="AE234" s="8"/>
      <c r="AF234" s="8"/>
      <c r="AG234" s="8"/>
      <c r="AH234" s="761"/>
      <c r="AI234" s="761"/>
    </row>
    <row r="235" spans="1:35" ht="15.75">
      <c r="A235" s="692" t="s">
        <v>2764</v>
      </c>
      <c r="B235" s="692" t="s">
        <v>485</v>
      </c>
      <c r="D235" s="692" t="s">
        <v>488</v>
      </c>
      <c r="E235" s="692" t="s">
        <v>2771</v>
      </c>
      <c r="F235" s="692" t="s">
        <v>2772</v>
      </c>
      <c r="G235" s="692" t="s">
        <v>812</v>
      </c>
      <c r="H235" s="692" t="s">
        <v>5</v>
      </c>
      <c r="I235" s="692" t="s">
        <v>80</v>
      </c>
      <c r="J235" s="692" t="s">
        <v>3</v>
      </c>
      <c r="K235" s="692" t="s">
        <v>6</v>
      </c>
      <c r="L235" s="692" t="str">
        <f t="shared" si="3"/>
        <v>6-01-04</v>
      </c>
      <c r="M235" s="692"/>
      <c r="N235" s="692"/>
      <c r="O235" s="692"/>
      <c r="P235" s="692" t="s">
        <v>1198</v>
      </c>
      <c r="Q235" s="692" t="s">
        <v>4804</v>
      </c>
      <c r="R235" s="692" t="s">
        <v>5775</v>
      </c>
      <c r="S235" s="692">
        <v>22006109</v>
      </c>
      <c r="T235" s="692"/>
      <c r="U235" s="692" t="s">
        <v>3637</v>
      </c>
      <c r="V235" s="692" t="s">
        <v>2773</v>
      </c>
      <c r="W235" s="692"/>
      <c r="X235" s="761"/>
      <c r="Z235" s="713"/>
      <c r="AA235" s="10"/>
      <c r="AB235" s="8"/>
      <c r="AC235" s="8"/>
      <c r="AD235" s="8"/>
      <c r="AE235" s="8"/>
      <c r="AF235" s="8"/>
      <c r="AG235" s="8"/>
      <c r="AH235" s="761" t="s">
        <v>4493</v>
      </c>
      <c r="AI235" s="761"/>
    </row>
    <row r="236" spans="1:35" ht="15.75">
      <c r="A236" s="692" t="s">
        <v>2700</v>
      </c>
      <c r="B236" s="692" t="s">
        <v>454</v>
      </c>
      <c r="D236" s="692" t="s">
        <v>489</v>
      </c>
      <c r="E236" s="692" t="s">
        <v>2774</v>
      </c>
      <c r="F236" s="692" t="s">
        <v>2775</v>
      </c>
      <c r="G236" s="692" t="s">
        <v>558</v>
      </c>
      <c r="H236" s="692" t="s">
        <v>7</v>
      </c>
      <c r="I236" s="692" t="s">
        <v>126</v>
      </c>
      <c r="J236" s="692" t="s">
        <v>11</v>
      </c>
      <c r="K236" s="692" t="s">
        <v>4</v>
      </c>
      <c r="L236" s="692" t="str">
        <f t="shared" si="3"/>
        <v>5-08-02</v>
      </c>
      <c r="M236" s="692"/>
      <c r="N236" s="692"/>
      <c r="O236" s="692"/>
      <c r="P236" s="692" t="s">
        <v>2776</v>
      </c>
      <c r="Q236" s="692" t="s">
        <v>4804</v>
      </c>
      <c r="R236" s="692" t="s">
        <v>4648</v>
      </c>
      <c r="S236" s="692">
        <v>26938407</v>
      </c>
      <c r="T236" s="692">
        <v>26938407</v>
      </c>
      <c r="U236" s="692" t="s">
        <v>3638</v>
      </c>
      <c r="V236" s="692" t="s">
        <v>2777</v>
      </c>
      <c r="W236" s="692"/>
      <c r="X236" s="761"/>
      <c r="Z236" s="713"/>
      <c r="AA236" s="10"/>
      <c r="AB236" s="8"/>
      <c r="AC236" s="8"/>
      <c r="AD236" s="8"/>
      <c r="AE236" s="8"/>
      <c r="AF236" s="8"/>
      <c r="AG236" s="8"/>
      <c r="AH236" s="761"/>
      <c r="AI236" s="761"/>
    </row>
    <row r="237" spans="1:35" ht="15.75">
      <c r="A237" s="11" t="s">
        <v>2699</v>
      </c>
      <c r="B237" s="11" t="s">
        <v>1756</v>
      </c>
      <c r="D237" s="692" t="s">
        <v>490</v>
      </c>
      <c r="E237" s="692" t="s">
        <v>2778</v>
      </c>
      <c r="F237" s="692" t="s">
        <v>5718</v>
      </c>
      <c r="G237" s="692" t="s">
        <v>66</v>
      </c>
      <c r="H237" s="692" t="s">
        <v>5</v>
      </c>
      <c r="I237" s="692" t="s">
        <v>43</v>
      </c>
      <c r="J237" s="692" t="s">
        <v>3</v>
      </c>
      <c r="K237" s="692" t="s">
        <v>9</v>
      </c>
      <c r="L237" s="692" t="str">
        <f t="shared" si="3"/>
        <v>2-01-07</v>
      </c>
      <c r="M237" s="692"/>
      <c r="N237" s="692"/>
      <c r="O237" s="692"/>
      <c r="P237" s="692" t="s">
        <v>642</v>
      </c>
      <c r="Q237" s="692" t="s">
        <v>4804</v>
      </c>
      <c r="R237" s="692" t="s">
        <v>2779</v>
      </c>
      <c r="S237" s="692">
        <v>24821375</v>
      </c>
      <c r="T237" s="692">
        <v>24821375</v>
      </c>
      <c r="U237" s="692" t="s">
        <v>4170</v>
      </c>
      <c r="V237" s="692" t="s">
        <v>2780</v>
      </c>
      <c r="W237" s="692"/>
      <c r="X237" s="761"/>
      <c r="Z237" s="713"/>
      <c r="AA237" s="10"/>
      <c r="AB237" s="8"/>
      <c r="AC237" s="8"/>
      <c r="AD237" s="8"/>
      <c r="AE237" s="8"/>
      <c r="AF237" s="8"/>
      <c r="AG237" s="8"/>
      <c r="AH237" s="761"/>
      <c r="AI237" s="761"/>
    </row>
    <row r="238" spans="1:35" ht="15.75">
      <c r="A238" s="692" t="s">
        <v>2771</v>
      </c>
      <c r="B238" s="692" t="s">
        <v>488</v>
      </c>
      <c r="D238" s="692" t="s">
        <v>491</v>
      </c>
      <c r="E238" s="692" t="s">
        <v>2781</v>
      </c>
      <c r="F238" s="692" t="s">
        <v>2782</v>
      </c>
      <c r="G238" s="692" t="s">
        <v>5730</v>
      </c>
      <c r="H238" s="692" t="s">
        <v>3</v>
      </c>
      <c r="I238" s="692" t="s">
        <v>43</v>
      </c>
      <c r="J238" s="692" t="s">
        <v>18</v>
      </c>
      <c r="K238" s="692" t="s">
        <v>7</v>
      </c>
      <c r="L238" s="692" t="str">
        <f t="shared" si="3"/>
        <v>2-13-05</v>
      </c>
      <c r="M238" s="692"/>
      <c r="N238" s="692"/>
      <c r="O238" s="692"/>
      <c r="P238" s="692" t="s">
        <v>376</v>
      </c>
      <c r="Q238" s="692" t="s">
        <v>4804</v>
      </c>
      <c r="R238" s="692" t="s">
        <v>4171</v>
      </c>
      <c r="S238" s="692">
        <v>24702950</v>
      </c>
      <c r="T238" s="692">
        <v>24700155</v>
      </c>
      <c r="U238" s="692" t="s">
        <v>3881</v>
      </c>
      <c r="V238" s="692" t="s">
        <v>4172</v>
      </c>
      <c r="W238" s="692"/>
      <c r="X238" s="761"/>
      <c r="Z238" s="713"/>
      <c r="AA238" s="10"/>
      <c r="AB238" s="8"/>
      <c r="AC238" s="8"/>
      <c r="AD238" s="8"/>
      <c r="AE238" s="8"/>
      <c r="AF238" s="8"/>
      <c r="AG238" s="8"/>
      <c r="AH238" s="761"/>
      <c r="AI238" s="761"/>
    </row>
    <row r="239" spans="1:35" ht="15.75">
      <c r="A239" s="692" t="s">
        <v>2715</v>
      </c>
      <c r="B239" s="692" t="s">
        <v>463</v>
      </c>
      <c r="D239" s="714" t="s">
        <v>492</v>
      </c>
      <c r="E239" s="714" t="s">
        <v>2784</v>
      </c>
      <c r="F239" s="714" t="s">
        <v>2785</v>
      </c>
      <c r="G239" s="714" t="s">
        <v>81</v>
      </c>
      <c r="H239" s="714" t="s">
        <v>5</v>
      </c>
      <c r="I239" s="714" t="s">
        <v>80</v>
      </c>
      <c r="J239" s="714" t="s">
        <v>3</v>
      </c>
      <c r="K239" s="714" t="s">
        <v>8</v>
      </c>
      <c r="L239" s="692" t="str">
        <f t="shared" si="3"/>
        <v>6-01-06</v>
      </c>
      <c r="M239" s="714"/>
      <c r="N239" s="714"/>
      <c r="O239" s="714"/>
      <c r="P239" s="714" t="s">
        <v>822</v>
      </c>
      <c r="Q239" s="714" t="s">
        <v>4804</v>
      </c>
      <c r="R239" s="714" t="s">
        <v>3558</v>
      </c>
      <c r="S239" s="714">
        <v>26788294</v>
      </c>
      <c r="T239" s="714">
        <v>26788294</v>
      </c>
      <c r="U239" s="714" t="s">
        <v>3882</v>
      </c>
      <c r="V239" s="714" t="s">
        <v>3883</v>
      </c>
      <c r="W239" s="714"/>
      <c r="X239" s="761"/>
      <c r="Z239" s="714"/>
      <c r="AH239" s="761"/>
      <c r="AI239" s="761"/>
    </row>
    <row r="240" spans="1:35" ht="15.75">
      <c r="A240" s="692" t="s">
        <v>2703</v>
      </c>
      <c r="B240" s="692" t="s">
        <v>457</v>
      </c>
      <c r="D240" s="692" t="s">
        <v>495</v>
      </c>
      <c r="E240" s="692" t="s">
        <v>2786</v>
      </c>
      <c r="F240" s="692" t="s">
        <v>2787</v>
      </c>
      <c r="G240" s="692" t="s">
        <v>47</v>
      </c>
      <c r="H240" s="692" t="s">
        <v>8</v>
      </c>
      <c r="I240" s="692" t="s">
        <v>41</v>
      </c>
      <c r="J240" s="692" t="s">
        <v>17</v>
      </c>
      <c r="K240" s="692" t="s">
        <v>6</v>
      </c>
      <c r="L240" s="692" t="str">
        <f t="shared" si="3"/>
        <v>1-12-04</v>
      </c>
      <c r="M240" s="692"/>
      <c r="N240" s="692"/>
      <c r="O240" s="692"/>
      <c r="P240" s="692" t="s">
        <v>2788</v>
      </c>
      <c r="Q240" s="692" t="s">
        <v>4804</v>
      </c>
      <c r="R240" s="692" t="s">
        <v>4173</v>
      </c>
      <c r="S240" s="692">
        <v>24102693</v>
      </c>
      <c r="T240" s="692">
        <v>24102693</v>
      </c>
      <c r="U240" s="692" t="s">
        <v>4852</v>
      </c>
      <c r="V240" s="692" t="s">
        <v>5771</v>
      </c>
      <c r="W240" s="692"/>
      <c r="X240" s="761"/>
      <c r="Z240" s="713"/>
      <c r="AA240" s="10"/>
      <c r="AB240" s="8"/>
      <c r="AC240" s="8"/>
      <c r="AD240" s="8"/>
      <c r="AE240" s="8"/>
      <c r="AF240" s="8"/>
      <c r="AG240" s="8"/>
      <c r="AH240" s="761" t="s">
        <v>4493</v>
      </c>
      <c r="AI240" s="761"/>
    </row>
    <row r="241" spans="1:35" ht="15.75">
      <c r="A241" s="692" t="s">
        <v>2871</v>
      </c>
      <c r="B241" s="692" t="s">
        <v>528</v>
      </c>
      <c r="D241" s="692" t="s">
        <v>330</v>
      </c>
      <c r="E241" s="692" t="s">
        <v>2801</v>
      </c>
      <c r="F241" s="692" t="s">
        <v>2802</v>
      </c>
      <c r="G241" s="692" t="s">
        <v>4396</v>
      </c>
      <c r="H241" s="692" t="s">
        <v>7</v>
      </c>
      <c r="I241" s="692" t="s">
        <v>41</v>
      </c>
      <c r="J241" s="692" t="s">
        <v>118</v>
      </c>
      <c r="K241" s="692" t="s">
        <v>5</v>
      </c>
      <c r="L241" s="692" t="str">
        <f t="shared" si="3"/>
        <v>1-14-03</v>
      </c>
      <c r="M241" s="692"/>
      <c r="N241" s="692"/>
      <c r="O241" s="692"/>
      <c r="P241" s="692" t="s">
        <v>234</v>
      </c>
      <c r="Q241" s="692" t="s">
        <v>4804</v>
      </c>
      <c r="R241" s="692" t="s">
        <v>5809</v>
      </c>
      <c r="S241" s="692">
        <v>22920005</v>
      </c>
      <c r="T241" s="692"/>
      <c r="U241" s="692" t="s">
        <v>3884</v>
      </c>
      <c r="V241" s="692" t="s">
        <v>2803</v>
      </c>
      <c r="W241" s="692"/>
      <c r="X241" s="761"/>
      <c r="Z241" s="713"/>
      <c r="AA241" s="10"/>
      <c r="AB241" s="8"/>
      <c r="AC241" s="8"/>
      <c r="AD241" s="8"/>
      <c r="AE241" s="8"/>
      <c r="AF241" s="8"/>
      <c r="AG241" s="8"/>
      <c r="AH241" s="761"/>
      <c r="AI241" s="761"/>
    </row>
    <row r="242" spans="1:35" ht="15.75">
      <c r="A242" s="692" t="s">
        <v>2730</v>
      </c>
      <c r="B242" s="692" t="s">
        <v>470</v>
      </c>
      <c r="D242" s="692" t="s">
        <v>306</v>
      </c>
      <c r="E242" s="692" t="s">
        <v>2804</v>
      </c>
      <c r="F242" s="692" t="s">
        <v>5608</v>
      </c>
      <c r="G242" s="692" t="s">
        <v>750</v>
      </c>
      <c r="H242" s="692" t="s">
        <v>7</v>
      </c>
      <c r="I242" s="692" t="s">
        <v>68</v>
      </c>
      <c r="J242" s="692" t="s">
        <v>4</v>
      </c>
      <c r="K242" s="692" t="s">
        <v>6</v>
      </c>
      <c r="L242" s="692" t="str">
        <f t="shared" si="3"/>
        <v>7-02-04</v>
      </c>
      <c r="M242" s="692"/>
      <c r="N242" s="692"/>
      <c r="O242" s="692"/>
      <c r="P242" s="692" t="s">
        <v>872</v>
      </c>
      <c r="Q242" s="692" t="s">
        <v>4804</v>
      </c>
      <c r="R242" s="692" t="s">
        <v>5741</v>
      </c>
      <c r="S242" s="692">
        <v>27634228</v>
      </c>
      <c r="T242" s="692"/>
      <c r="U242" s="692" t="s">
        <v>3885</v>
      </c>
      <c r="V242" s="692" t="s">
        <v>5609</v>
      </c>
      <c r="W242" s="692"/>
      <c r="X242" s="761"/>
      <c r="Z242" s="713"/>
      <c r="AA242" s="10"/>
      <c r="AB242" s="8"/>
      <c r="AC242" s="8"/>
      <c r="AD242" s="8"/>
      <c r="AE242" s="8"/>
      <c r="AF242" s="8"/>
      <c r="AG242" s="8"/>
      <c r="AH242" s="761"/>
      <c r="AI242" s="761"/>
    </row>
    <row r="243" spans="1:35" ht="15.75">
      <c r="A243" s="692" t="s">
        <v>2675</v>
      </c>
      <c r="B243" s="692" t="s">
        <v>441</v>
      </c>
      <c r="D243" s="692" t="s">
        <v>307</v>
      </c>
      <c r="E243" s="692" t="s">
        <v>2805</v>
      </c>
      <c r="F243" s="692" t="s">
        <v>2806</v>
      </c>
      <c r="G243" s="692" t="s">
        <v>81</v>
      </c>
      <c r="H243" s="692" t="s">
        <v>5</v>
      </c>
      <c r="I243" s="692" t="s">
        <v>80</v>
      </c>
      <c r="J243" s="692" t="s">
        <v>3</v>
      </c>
      <c r="K243" s="692" t="s">
        <v>8</v>
      </c>
      <c r="L243" s="692" t="str">
        <f t="shared" si="3"/>
        <v>6-01-06</v>
      </c>
      <c r="M243" s="692"/>
      <c r="N243" s="692"/>
      <c r="O243" s="692"/>
      <c r="P243" s="692" t="s">
        <v>820</v>
      </c>
      <c r="Q243" s="692" t="s">
        <v>4804</v>
      </c>
      <c r="R243" s="692" t="s">
        <v>4136</v>
      </c>
      <c r="S243" s="692">
        <v>26610086</v>
      </c>
      <c r="T243" s="692">
        <v>26613357</v>
      </c>
      <c r="U243" s="692" t="s">
        <v>3639</v>
      </c>
      <c r="V243" s="692" t="s">
        <v>3886</v>
      </c>
      <c r="W243" s="692"/>
      <c r="X243" s="761"/>
      <c r="Z243" s="713"/>
      <c r="AA243" s="10"/>
      <c r="AB243" s="8"/>
      <c r="AC243" s="8"/>
      <c r="AD243" s="8"/>
      <c r="AE243" s="8"/>
      <c r="AF243" s="8"/>
      <c r="AG243" s="8"/>
      <c r="AH243" s="761"/>
      <c r="AI243" s="761"/>
    </row>
    <row r="244" spans="1:35" ht="15.75">
      <c r="A244" s="692" t="s">
        <v>2732</v>
      </c>
      <c r="B244" s="692" t="s">
        <v>1140</v>
      </c>
      <c r="D244" s="692" t="s">
        <v>904</v>
      </c>
      <c r="E244" s="692" t="s">
        <v>2807</v>
      </c>
      <c r="F244" s="692" t="s">
        <v>5610</v>
      </c>
      <c r="G244" s="692" t="s">
        <v>298</v>
      </c>
      <c r="H244" s="692" t="s">
        <v>5</v>
      </c>
      <c r="I244" s="692" t="s">
        <v>126</v>
      </c>
      <c r="J244" s="692" t="s">
        <v>6</v>
      </c>
      <c r="K244" s="692" t="s">
        <v>5</v>
      </c>
      <c r="L244" s="692" t="str">
        <f t="shared" si="3"/>
        <v>5-04-03</v>
      </c>
      <c r="M244" s="692"/>
      <c r="N244" s="692"/>
      <c r="O244" s="692"/>
      <c r="P244" s="692" t="s">
        <v>350</v>
      </c>
      <c r="Q244" s="692" t="s">
        <v>4804</v>
      </c>
      <c r="R244" s="692" t="s">
        <v>5611</v>
      </c>
      <c r="S244" s="692">
        <v>26730550</v>
      </c>
      <c r="T244" s="692">
        <v>26730550</v>
      </c>
      <c r="U244" s="692" t="s">
        <v>2808</v>
      </c>
      <c r="V244" s="692" t="s">
        <v>2809</v>
      </c>
      <c r="W244" s="692"/>
      <c r="X244" s="761" t="s">
        <v>279</v>
      </c>
      <c r="Z244" s="713"/>
      <c r="AA244" s="10"/>
      <c r="AB244" s="8"/>
      <c r="AC244" s="8"/>
      <c r="AD244" s="8"/>
      <c r="AE244" s="8"/>
      <c r="AF244" s="8"/>
      <c r="AG244" s="8"/>
      <c r="AH244" s="761"/>
      <c r="AI244" s="761"/>
    </row>
    <row r="245" spans="1:35" ht="15.75">
      <c r="A245" s="692" t="s">
        <v>2669</v>
      </c>
      <c r="B245" s="692" t="s">
        <v>436</v>
      </c>
      <c r="D245" s="692" t="s">
        <v>905</v>
      </c>
      <c r="E245" s="692" t="s">
        <v>2810</v>
      </c>
      <c r="F245" s="692" t="s">
        <v>2811</v>
      </c>
      <c r="G245" s="692" t="s">
        <v>767</v>
      </c>
      <c r="H245" s="692" t="s">
        <v>7</v>
      </c>
      <c r="I245" s="692" t="s">
        <v>56</v>
      </c>
      <c r="J245" s="692" t="s">
        <v>7</v>
      </c>
      <c r="K245" s="692" t="s">
        <v>9</v>
      </c>
      <c r="L245" s="692" t="str">
        <f t="shared" si="3"/>
        <v>3-05-07</v>
      </c>
      <c r="M245" s="692"/>
      <c r="N245" s="692"/>
      <c r="O245" s="692"/>
      <c r="P245" s="692" t="s">
        <v>733</v>
      </c>
      <c r="Q245" s="692" t="s">
        <v>4804</v>
      </c>
      <c r="R245" s="692" t="s">
        <v>4649</v>
      </c>
      <c r="S245" s="692">
        <v>25311634</v>
      </c>
      <c r="T245" s="692">
        <v>25311634</v>
      </c>
      <c r="U245" s="692" t="s">
        <v>3640</v>
      </c>
      <c r="V245" s="692" t="s">
        <v>2812</v>
      </c>
      <c r="W245" s="692"/>
      <c r="X245" s="761"/>
      <c r="Z245" s="713"/>
      <c r="AA245" s="10"/>
      <c r="AB245" s="8"/>
      <c r="AC245" s="8"/>
      <c r="AD245" s="8"/>
      <c r="AE245" s="8"/>
      <c r="AF245" s="8"/>
      <c r="AG245" s="8"/>
      <c r="AH245" s="761"/>
      <c r="AI245" s="761"/>
    </row>
    <row r="246" spans="1:35" ht="15.75">
      <c r="A246" s="692" t="s">
        <v>2824</v>
      </c>
      <c r="B246" s="692" t="s">
        <v>511</v>
      </c>
      <c r="D246" s="692" t="s">
        <v>1072</v>
      </c>
      <c r="E246" s="692" t="s">
        <v>2813</v>
      </c>
      <c r="F246" s="692" t="s">
        <v>2814</v>
      </c>
      <c r="G246" s="692" t="s">
        <v>81</v>
      </c>
      <c r="H246" s="692" t="s">
        <v>9</v>
      </c>
      <c r="I246" s="692" t="s">
        <v>80</v>
      </c>
      <c r="J246" s="692" t="s">
        <v>4</v>
      </c>
      <c r="K246" s="692" t="s">
        <v>5</v>
      </c>
      <c r="L246" s="692" t="str">
        <f t="shared" si="3"/>
        <v>6-02-03</v>
      </c>
      <c r="M246" s="692"/>
      <c r="N246" s="692"/>
      <c r="O246" s="692"/>
      <c r="P246" s="692" t="s">
        <v>826</v>
      </c>
      <c r="Q246" s="692" t="s">
        <v>4804</v>
      </c>
      <c r="R246" s="692" t="s">
        <v>4448</v>
      </c>
      <c r="S246" s="692">
        <v>26364385</v>
      </c>
      <c r="T246" s="692">
        <v>26367484</v>
      </c>
      <c r="U246" s="692" t="s">
        <v>5813</v>
      </c>
      <c r="V246" s="692" t="s">
        <v>2816</v>
      </c>
      <c r="W246" s="692"/>
      <c r="X246" s="761"/>
      <c r="Z246" s="713"/>
      <c r="AA246" s="10"/>
      <c r="AB246" s="8"/>
      <c r="AC246" s="8"/>
      <c r="AD246" s="8"/>
      <c r="AE246" s="8"/>
      <c r="AF246" s="8"/>
      <c r="AG246" s="8"/>
      <c r="AH246" s="761"/>
      <c r="AI246" s="761"/>
    </row>
    <row r="247" spans="1:35" ht="15.75">
      <c r="A247" s="692" t="s">
        <v>2781</v>
      </c>
      <c r="B247" s="692" t="s">
        <v>491</v>
      </c>
      <c r="D247" s="692" t="s">
        <v>508</v>
      </c>
      <c r="E247" s="692" t="s">
        <v>2817</v>
      </c>
      <c r="F247" s="692" t="s">
        <v>2818</v>
      </c>
      <c r="G247" s="692" t="s">
        <v>66</v>
      </c>
      <c r="H247" s="692" t="s">
        <v>6</v>
      </c>
      <c r="I247" s="692" t="s">
        <v>43</v>
      </c>
      <c r="J247" s="692" t="s">
        <v>3</v>
      </c>
      <c r="K247" s="692" t="s">
        <v>7</v>
      </c>
      <c r="L247" s="692" t="str">
        <f t="shared" si="3"/>
        <v>2-01-05</v>
      </c>
      <c r="M247" s="692"/>
      <c r="N247" s="692"/>
      <c r="O247" s="692"/>
      <c r="P247" s="692" t="s">
        <v>609</v>
      </c>
      <c r="Q247" s="692" t="s">
        <v>4804</v>
      </c>
      <c r="R247" s="692" t="s">
        <v>4853</v>
      </c>
      <c r="S247" s="692">
        <v>24386427</v>
      </c>
      <c r="T247" s="692">
        <v>24386427</v>
      </c>
      <c r="U247" s="692" t="s">
        <v>3887</v>
      </c>
      <c r="V247" s="692" t="s">
        <v>4854</v>
      </c>
      <c r="W247" s="692"/>
      <c r="X247" s="761"/>
      <c r="Z247" s="713"/>
      <c r="AA247" s="10"/>
      <c r="AB247" s="8"/>
      <c r="AC247" s="8"/>
      <c r="AD247" s="8"/>
      <c r="AE247" s="8"/>
      <c r="AF247" s="8"/>
      <c r="AG247" s="8"/>
      <c r="AH247" s="761"/>
      <c r="AI247" s="761"/>
    </row>
    <row r="248" spans="1:35" ht="15.75">
      <c r="A248" s="692" t="s">
        <v>2804</v>
      </c>
      <c r="B248" s="692" t="s">
        <v>306</v>
      </c>
      <c r="D248" s="692" t="s">
        <v>509</v>
      </c>
      <c r="E248" s="692" t="s">
        <v>2819</v>
      </c>
      <c r="F248" s="692" t="s">
        <v>4070</v>
      </c>
      <c r="G248" s="692" t="s">
        <v>79</v>
      </c>
      <c r="H248" s="692" t="s">
        <v>8</v>
      </c>
      <c r="I248" s="692" t="s">
        <v>80</v>
      </c>
      <c r="J248" s="692" t="s">
        <v>11</v>
      </c>
      <c r="K248" s="692" t="s">
        <v>4</v>
      </c>
      <c r="L248" s="692" t="str">
        <f t="shared" si="3"/>
        <v>6-08-02</v>
      </c>
      <c r="M248" s="692"/>
      <c r="N248" s="692"/>
      <c r="O248" s="692"/>
      <c r="P248" s="692" t="s">
        <v>196</v>
      </c>
      <c r="Q248" s="692" t="s">
        <v>4804</v>
      </c>
      <c r="R248" s="692" t="s">
        <v>2820</v>
      </c>
      <c r="S248" s="692">
        <v>27845107</v>
      </c>
      <c r="T248" s="692">
        <v>27845108</v>
      </c>
      <c r="U248" s="692" t="s">
        <v>4174</v>
      </c>
      <c r="V248" s="692" t="s">
        <v>2821</v>
      </c>
      <c r="W248" s="692"/>
      <c r="X248" s="761"/>
      <c r="Z248" s="713"/>
      <c r="AA248" s="10"/>
      <c r="AB248" s="8"/>
      <c r="AC248" s="8"/>
      <c r="AD248" s="8"/>
      <c r="AE248" s="8"/>
      <c r="AF248" s="8"/>
      <c r="AG248" s="8"/>
      <c r="AH248" s="761"/>
      <c r="AI248" s="761"/>
    </row>
    <row r="249" spans="1:35" ht="15.75">
      <c r="A249" s="692" t="s">
        <v>2805</v>
      </c>
      <c r="B249" s="692" t="s">
        <v>307</v>
      </c>
      <c r="D249" s="692" t="s">
        <v>498</v>
      </c>
      <c r="E249" s="692" t="s">
        <v>2822</v>
      </c>
      <c r="F249" s="692" t="s">
        <v>2823</v>
      </c>
      <c r="G249" s="692" t="s">
        <v>81</v>
      </c>
      <c r="H249" s="692" t="s">
        <v>6</v>
      </c>
      <c r="I249" s="692" t="s">
        <v>80</v>
      </c>
      <c r="J249" s="692" t="s">
        <v>6</v>
      </c>
      <c r="K249" s="692" t="s">
        <v>4</v>
      </c>
      <c r="L249" s="692" t="str">
        <f t="shared" si="3"/>
        <v>6-04-02</v>
      </c>
      <c r="M249" s="692"/>
      <c r="N249" s="692"/>
      <c r="O249" s="692"/>
      <c r="P249" s="692" t="s">
        <v>595</v>
      </c>
      <c r="Q249" s="692" t="s">
        <v>4804</v>
      </c>
      <c r="R249" s="692" t="s">
        <v>4650</v>
      </c>
      <c r="S249" s="692">
        <v>26478375</v>
      </c>
      <c r="T249" s="692">
        <v>26478375</v>
      </c>
      <c r="U249" s="692" t="s">
        <v>3888</v>
      </c>
      <c r="V249" s="692" t="s">
        <v>1178</v>
      </c>
      <c r="W249" s="692"/>
      <c r="X249" s="761"/>
      <c r="Z249" s="713"/>
      <c r="AA249" s="10"/>
      <c r="AB249" s="8"/>
      <c r="AC249" s="8"/>
      <c r="AD249" s="8"/>
      <c r="AE249" s="8"/>
      <c r="AF249" s="8"/>
      <c r="AG249" s="8"/>
      <c r="AH249" s="761"/>
      <c r="AI249" s="761"/>
    </row>
    <row r="250" spans="1:35" ht="15.75">
      <c r="A250" s="692" t="s">
        <v>2822</v>
      </c>
      <c r="B250" s="692" t="s">
        <v>498</v>
      </c>
      <c r="D250" s="692" t="s">
        <v>511</v>
      </c>
      <c r="E250" s="692" t="s">
        <v>2824</v>
      </c>
      <c r="F250" s="692" t="s">
        <v>2825</v>
      </c>
      <c r="G250" s="692" t="s">
        <v>5730</v>
      </c>
      <c r="H250" s="692" t="s">
        <v>5</v>
      </c>
      <c r="I250" s="692" t="s">
        <v>43</v>
      </c>
      <c r="J250" s="692" t="s">
        <v>18</v>
      </c>
      <c r="K250" s="692" t="s">
        <v>4</v>
      </c>
      <c r="L250" s="692" t="str">
        <f t="shared" si="3"/>
        <v>2-13-02</v>
      </c>
      <c r="M250" s="692"/>
      <c r="N250" s="692"/>
      <c r="O250" s="692"/>
      <c r="P250" s="692" t="s">
        <v>193</v>
      </c>
      <c r="Q250" s="692" t="s">
        <v>4804</v>
      </c>
      <c r="R250" s="692" t="s">
        <v>2826</v>
      </c>
      <c r="S250" s="692">
        <v>72967860</v>
      </c>
      <c r="T250" s="692">
        <v>88271381</v>
      </c>
      <c r="U250" s="692" t="s">
        <v>3641</v>
      </c>
      <c r="V250" s="692" t="s">
        <v>2827</v>
      </c>
      <c r="W250" s="692"/>
      <c r="X250" s="761"/>
      <c r="Z250" s="713"/>
      <c r="AA250" s="10"/>
      <c r="AB250" s="8"/>
      <c r="AC250" s="8"/>
      <c r="AD250" s="8"/>
      <c r="AE250" s="8"/>
      <c r="AF250" s="8"/>
      <c r="AG250" s="8"/>
      <c r="AH250" s="761"/>
      <c r="AI250" s="761"/>
    </row>
    <row r="251" spans="1:35" ht="15.75">
      <c r="A251" s="692" t="s">
        <v>2888</v>
      </c>
      <c r="B251" s="692" t="s">
        <v>535</v>
      </c>
      <c r="D251" s="692" t="s">
        <v>1083</v>
      </c>
      <c r="E251" s="692" t="s">
        <v>2828</v>
      </c>
      <c r="F251" s="692" t="s">
        <v>2829</v>
      </c>
      <c r="G251" s="692" t="s">
        <v>117</v>
      </c>
      <c r="H251" s="692" t="s">
        <v>5</v>
      </c>
      <c r="I251" s="692" t="s">
        <v>43</v>
      </c>
      <c r="J251" s="692" t="s">
        <v>13</v>
      </c>
      <c r="K251" s="692" t="s">
        <v>3</v>
      </c>
      <c r="L251" s="692" t="str">
        <f t="shared" si="3"/>
        <v>2-10-01</v>
      </c>
      <c r="M251" s="692"/>
      <c r="N251" s="692"/>
      <c r="O251" s="692"/>
      <c r="P251" s="692" t="s">
        <v>595</v>
      </c>
      <c r="Q251" s="692" t="s">
        <v>4804</v>
      </c>
      <c r="R251" s="692" t="s">
        <v>5810</v>
      </c>
      <c r="S251" s="692">
        <v>24610887</v>
      </c>
      <c r="T251" s="692">
        <v>24610887</v>
      </c>
      <c r="U251" s="692" t="s">
        <v>3642</v>
      </c>
      <c r="V251" s="692" t="s">
        <v>2830</v>
      </c>
      <c r="W251" s="692"/>
      <c r="X251" s="761"/>
      <c r="Z251" s="713"/>
      <c r="AA251" s="10"/>
      <c r="AB251" s="8"/>
      <c r="AC251" s="8"/>
      <c r="AD251" s="8"/>
      <c r="AE251" s="8"/>
      <c r="AF251" s="8"/>
      <c r="AG251" s="8"/>
      <c r="AH251" s="761"/>
      <c r="AI251" s="761"/>
    </row>
    <row r="252" spans="1:35" ht="15.75">
      <c r="A252" s="692" t="s">
        <v>2900</v>
      </c>
      <c r="B252" s="692" t="s">
        <v>541</v>
      </c>
      <c r="D252" s="692" t="s">
        <v>906</v>
      </c>
      <c r="E252" s="692" t="s">
        <v>2831</v>
      </c>
      <c r="F252" s="692" t="s">
        <v>2832</v>
      </c>
      <c r="G252" s="692" t="s">
        <v>117</v>
      </c>
      <c r="H252" s="692" t="s">
        <v>6</v>
      </c>
      <c r="I252" s="692" t="s">
        <v>43</v>
      </c>
      <c r="J252" s="692" t="s">
        <v>13</v>
      </c>
      <c r="K252" s="692" t="s">
        <v>6</v>
      </c>
      <c r="L252" s="692" t="str">
        <f t="shared" si="3"/>
        <v>2-10-04</v>
      </c>
      <c r="M252" s="692"/>
      <c r="N252" s="692"/>
      <c r="O252" s="692"/>
      <c r="P252" s="692" t="s">
        <v>719</v>
      </c>
      <c r="Q252" s="692" t="s">
        <v>4804</v>
      </c>
      <c r="R252" s="692" t="s">
        <v>4856</v>
      </c>
      <c r="S252" s="692">
        <v>24740271</v>
      </c>
      <c r="T252" s="692">
        <v>24740271</v>
      </c>
      <c r="U252" s="692" t="s">
        <v>4449</v>
      </c>
      <c r="V252" s="692" t="s">
        <v>2834</v>
      </c>
      <c r="W252" s="692"/>
      <c r="X252" s="761"/>
      <c r="Z252" s="713"/>
      <c r="AA252" s="10"/>
      <c r="AB252" s="8"/>
      <c r="AC252" s="8"/>
      <c r="AD252" s="8"/>
      <c r="AE252" s="8"/>
      <c r="AF252" s="8"/>
      <c r="AG252" s="8"/>
      <c r="AH252" s="761" t="s">
        <v>4493</v>
      </c>
      <c r="AI252" s="761"/>
    </row>
    <row r="253" spans="1:35" ht="15.75">
      <c r="A253" s="692" t="s">
        <v>2878</v>
      </c>
      <c r="B253" s="692" t="s">
        <v>531</v>
      </c>
      <c r="D253" s="692" t="s">
        <v>907</v>
      </c>
      <c r="E253" s="692" t="s">
        <v>2835</v>
      </c>
      <c r="F253" s="692" t="s">
        <v>3503</v>
      </c>
      <c r="G253" s="692" t="s">
        <v>117</v>
      </c>
      <c r="H253" s="692" t="s">
        <v>9</v>
      </c>
      <c r="I253" s="692" t="s">
        <v>43</v>
      </c>
      <c r="J253" s="692" t="s">
        <v>13</v>
      </c>
      <c r="K253" s="692" t="s">
        <v>16</v>
      </c>
      <c r="L253" s="692" t="str">
        <f t="shared" si="3"/>
        <v>2-10-11</v>
      </c>
      <c r="M253" s="692"/>
      <c r="N253" s="692"/>
      <c r="O253" s="692"/>
      <c r="P253" s="692" t="s">
        <v>408</v>
      </c>
      <c r="Q253" s="692" t="s">
        <v>4804</v>
      </c>
      <c r="R253" s="692" t="s">
        <v>4175</v>
      </c>
      <c r="S253" s="692">
        <v>24615910</v>
      </c>
      <c r="T253" s="692">
        <v>24615910</v>
      </c>
      <c r="U253" s="692" t="s">
        <v>4176</v>
      </c>
      <c r="V253" s="692" t="s">
        <v>4177</v>
      </c>
      <c r="W253" s="692"/>
      <c r="X253" s="761"/>
      <c r="Z253" s="713"/>
      <c r="AA253" s="10"/>
      <c r="AB253" s="8"/>
      <c r="AC253" s="8"/>
      <c r="AD253" s="8"/>
      <c r="AE253" s="8"/>
      <c r="AF253" s="8"/>
      <c r="AG253" s="8"/>
      <c r="AH253" s="761"/>
      <c r="AI253" s="761"/>
    </row>
    <row r="254" spans="1:35" ht="15.75">
      <c r="A254" s="692" t="s">
        <v>2865</v>
      </c>
      <c r="B254" s="692" t="s">
        <v>1078</v>
      </c>
      <c r="D254" s="692" t="s">
        <v>515</v>
      </c>
      <c r="E254" s="692" t="s">
        <v>2836</v>
      </c>
      <c r="F254" s="692" t="s">
        <v>2837</v>
      </c>
      <c r="G254" s="692" t="s">
        <v>117</v>
      </c>
      <c r="H254" s="692" t="s">
        <v>18</v>
      </c>
      <c r="I254" s="692" t="s">
        <v>43</v>
      </c>
      <c r="J254" s="692" t="s">
        <v>13</v>
      </c>
      <c r="K254" s="692" t="s">
        <v>18</v>
      </c>
      <c r="L254" s="692" t="str">
        <f t="shared" si="3"/>
        <v>2-10-13</v>
      </c>
      <c r="M254" s="692"/>
      <c r="N254" s="692"/>
      <c r="O254" s="692"/>
      <c r="P254" s="692" t="s">
        <v>89</v>
      </c>
      <c r="Q254" s="692" t="s">
        <v>4804</v>
      </c>
      <c r="R254" s="692" t="s">
        <v>4450</v>
      </c>
      <c r="S254" s="692">
        <v>22005540</v>
      </c>
      <c r="T254" s="692">
        <v>24777082</v>
      </c>
      <c r="U254" s="692" t="s">
        <v>3889</v>
      </c>
      <c r="V254" s="692" t="s">
        <v>169</v>
      </c>
      <c r="W254" s="692"/>
      <c r="X254" s="761"/>
      <c r="Z254" s="713"/>
      <c r="AA254" s="10"/>
      <c r="AB254" s="8"/>
      <c r="AC254" s="8"/>
      <c r="AD254" s="8"/>
      <c r="AE254" s="8"/>
      <c r="AF254" s="8"/>
      <c r="AG254" s="8"/>
      <c r="AH254" s="761"/>
      <c r="AI254" s="761"/>
    </row>
    <row r="255" spans="1:35" ht="15.75">
      <c r="A255" s="692" t="s">
        <v>2898</v>
      </c>
      <c r="B255" s="692" t="s">
        <v>540</v>
      </c>
      <c r="D255" s="692" t="s">
        <v>516</v>
      </c>
      <c r="E255" s="692" t="s">
        <v>2838</v>
      </c>
      <c r="F255" s="692" t="s">
        <v>2839</v>
      </c>
      <c r="G255" s="692" t="s">
        <v>117</v>
      </c>
      <c r="H255" s="692" t="s">
        <v>12</v>
      </c>
      <c r="I255" s="692" t="s">
        <v>43</v>
      </c>
      <c r="J255" s="692" t="s">
        <v>118</v>
      </c>
      <c r="K255" s="692" t="s">
        <v>3</v>
      </c>
      <c r="L255" s="692" t="str">
        <f t="shared" si="3"/>
        <v>2-14-01</v>
      </c>
      <c r="M255" s="692"/>
      <c r="N255" s="692"/>
      <c r="O255" s="692"/>
      <c r="P255" s="692" t="s">
        <v>744</v>
      </c>
      <c r="Q255" s="692" t="s">
        <v>4804</v>
      </c>
      <c r="R255" s="692" t="s">
        <v>4178</v>
      </c>
      <c r="S255" s="692">
        <v>24713190</v>
      </c>
      <c r="T255" s="692">
        <v>24713190</v>
      </c>
      <c r="U255" s="692" t="s">
        <v>3890</v>
      </c>
      <c r="V255" s="692" t="s">
        <v>3891</v>
      </c>
      <c r="W255" s="692"/>
      <c r="X255" s="761"/>
      <c r="Z255" s="713"/>
      <c r="AA255" s="10"/>
      <c r="AB255" s="8"/>
      <c r="AC255" s="8"/>
      <c r="AD255" s="8"/>
      <c r="AE255" s="8"/>
      <c r="AF255" s="8"/>
      <c r="AG255" s="8"/>
      <c r="AH255" s="761"/>
      <c r="AI255" s="761"/>
    </row>
    <row r="256" spans="1:35" ht="15.75">
      <c r="A256" s="692" t="s">
        <v>2950</v>
      </c>
      <c r="B256" s="692" t="s">
        <v>911</v>
      </c>
      <c r="D256" s="692" t="s">
        <v>517</v>
      </c>
      <c r="E256" s="692" t="s">
        <v>2840</v>
      </c>
      <c r="F256" s="692" t="s">
        <v>2841</v>
      </c>
      <c r="G256" s="692" t="s">
        <v>128</v>
      </c>
      <c r="H256" s="692" t="s">
        <v>11</v>
      </c>
      <c r="I256" s="692" t="s">
        <v>56</v>
      </c>
      <c r="J256" s="692" t="s">
        <v>4</v>
      </c>
      <c r="K256" s="692" t="s">
        <v>6</v>
      </c>
      <c r="L256" s="692" t="str">
        <f t="shared" si="3"/>
        <v>3-02-04</v>
      </c>
      <c r="M256" s="692"/>
      <c r="N256" s="692"/>
      <c r="O256" s="692"/>
      <c r="P256" s="692" t="s">
        <v>763</v>
      </c>
      <c r="Q256" s="692" t="s">
        <v>4804</v>
      </c>
      <c r="R256" s="692" t="s">
        <v>5612</v>
      </c>
      <c r="S256" s="692">
        <v>25771820</v>
      </c>
      <c r="T256" s="692">
        <v>88513684</v>
      </c>
      <c r="U256" s="692" t="s">
        <v>3892</v>
      </c>
      <c r="V256" s="692" t="s">
        <v>2842</v>
      </c>
      <c r="W256" s="692"/>
      <c r="X256" s="761"/>
      <c r="Z256" s="713"/>
      <c r="AA256" s="10"/>
      <c r="AB256" s="8"/>
      <c r="AC256" s="8"/>
      <c r="AD256" s="8"/>
      <c r="AE256" s="8"/>
      <c r="AF256" s="8"/>
      <c r="AG256" s="8"/>
      <c r="AH256" s="761"/>
      <c r="AI256" s="761"/>
    </row>
    <row r="257" spans="1:35" ht="15.75">
      <c r="A257" s="692" t="s">
        <v>2849</v>
      </c>
      <c r="B257" s="692" t="s">
        <v>521</v>
      </c>
      <c r="D257" s="692" t="s">
        <v>518</v>
      </c>
      <c r="E257" s="692" t="s">
        <v>2843</v>
      </c>
      <c r="F257" s="692" t="s">
        <v>2844</v>
      </c>
      <c r="G257" s="692" t="s">
        <v>47</v>
      </c>
      <c r="H257" s="692" t="s">
        <v>4</v>
      </c>
      <c r="I257" s="692" t="s">
        <v>41</v>
      </c>
      <c r="J257" s="692" t="s">
        <v>5</v>
      </c>
      <c r="K257" s="692" t="s">
        <v>6</v>
      </c>
      <c r="L257" s="692" t="str">
        <f t="shared" si="3"/>
        <v>1-03-04</v>
      </c>
      <c r="M257" s="692"/>
      <c r="N257" s="692"/>
      <c r="O257" s="692"/>
      <c r="P257" s="692" t="s">
        <v>156</v>
      </c>
      <c r="Q257" s="692" t="s">
        <v>4804</v>
      </c>
      <c r="R257" s="692" t="s">
        <v>4451</v>
      </c>
      <c r="S257" s="692">
        <v>22197519</v>
      </c>
      <c r="T257" s="692">
        <v>22197519</v>
      </c>
      <c r="U257" s="692" t="s">
        <v>4452</v>
      </c>
      <c r="V257" s="692" t="s">
        <v>2845</v>
      </c>
      <c r="W257" s="692"/>
      <c r="X257" s="761"/>
      <c r="Z257" s="713"/>
      <c r="AA257" s="10"/>
      <c r="AB257" s="8"/>
      <c r="AC257" s="8"/>
      <c r="AD257" s="8"/>
      <c r="AE257" s="8"/>
      <c r="AF257" s="8"/>
      <c r="AG257" s="8"/>
      <c r="AH257" s="761"/>
      <c r="AI257" s="761"/>
    </row>
    <row r="258" spans="1:35" ht="15.75">
      <c r="A258" s="692" t="s">
        <v>2693</v>
      </c>
      <c r="B258" s="692" t="s">
        <v>449</v>
      </c>
      <c r="D258" s="692" t="s">
        <v>519</v>
      </c>
      <c r="E258" s="692" t="s">
        <v>2846</v>
      </c>
      <c r="F258" s="692" t="s">
        <v>2847</v>
      </c>
      <c r="G258" s="692" t="s">
        <v>387</v>
      </c>
      <c r="H258" s="692" t="s">
        <v>7</v>
      </c>
      <c r="I258" s="692" t="s">
        <v>41</v>
      </c>
      <c r="J258" s="692" t="s">
        <v>388</v>
      </c>
      <c r="K258" s="692" t="s">
        <v>6</v>
      </c>
      <c r="L258" s="692" t="str">
        <f t="shared" si="3"/>
        <v>1-19-04</v>
      </c>
      <c r="M258" s="692"/>
      <c r="N258" s="692"/>
      <c r="O258" s="692"/>
      <c r="P258" s="692" t="s">
        <v>487</v>
      </c>
      <c r="Q258" s="692" t="s">
        <v>4804</v>
      </c>
      <c r="R258" s="692" t="s">
        <v>4180</v>
      </c>
      <c r="S258" s="692">
        <v>27721635</v>
      </c>
      <c r="T258" s="692">
        <v>27721635</v>
      </c>
      <c r="U258" s="692" t="s">
        <v>3643</v>
      </c>
      <c r="V258" s="692" t="s">
        <v>2848</v>
      </c>
      <c r="W258" s="692"/>
      <c r="X258" s="761"/>
      <c r="Z258" s="713"/>
      <c r="AA258" s="10"/>
      <c r="AB258" s="8"/>
      <c r="AC258" s="8"/>
      <c r="AD258" s="8"/>
      <c r="AE258" s="8"/>
      <c r="AF258" s="8"/>
      <c r="AG258" s="8"/>
      <c r="AH258" s="761"/>
      <c r="AI258" s="761"/>
    </row>
    <row r="259" spans="1:35" ht="15.75">
      <c r="A259" s="692" t="s">
        <v>2688</v>
      </c>
      <c r="B259" s="692" t="s">
        <v>295</v>
      </c>
      <c r="D259" s="692" t="s">
        <v>521</v>
      </c>
      <c r="E259" s="692" t="s">
        <v>2849</v>
      </c>
      <c r="F259" s="692" t="s">
        <v>2850</v>
      </c>
      <c r="G259" s="692" t="s">
        <v>79</v>
      </c>
      <c r="H259" s="692" t="s">
        <v>5</v>
      </c>
      <c r="I259" s="692" t="s">
        <v>80</v>
      </c>
      <c r="J259" s="692" t="s">
        <v>9</v>
      </c>
      <c r="K259" s="692" t="s">
        <v>4</v>
      </c>
      <c r="L259" s="692" t="str">
        <f t="shared" ref="L259:L322" si="4">CONCATENATE(I259,"-",J259,"-",K259)</f>
        <v>6-07-02</v>
      </c>
      <c r="M259" s="692"/>
      <c r="N259" s="692"/>
      <c r="O259" s="692"/>
      <c r="P259" s="692" t="s">
        <v>271</v>
      </c>
      <c r="Q259" s="692" t="s">
        <v>4804</v>
      </c>
      <c r="R259" s="692" t="s">
        <v>5613</v>
      </c>
      <c r="S259" s="692">
        <v>27351179</v>
      </c>
      <c r="T259" s="692">
        <v>27351179</v>
      </c>
      <c r="U259" s="692" t="s">
        <v>3893</v>
      </c>
      <c r="V259" s="692" t="s">
        <v>3644</v>
      </c>
      <c r="W259" s="692"/>
      <c r="X259" s="761"/>
      <c r="Z259" s="713"/>
      <c r="AA259" s="10"/>
      <c r="AB259" s="8"/>
      <c r="AC259" s="8"/>
      <c r="AD259" s="8"/>
      <c r="AE259" s="8"/>
      <c r="AF259" s="8"/>
      <c r="AG259" s="8"/>
      <c r="AH259" s="761"/>
      <c r="AI259" s="761"/>
    </row>
    <row r="260" spans="1:35" ht="15.75">
      <c r="A260" s="692" t="s">
        <v>2760</v>
      </c>
      <c r="B260" s="692" t="s">
        <v>359</v>
      </c>
      <c r="D260" s="692" t="s">
        <v>522</v>
      </c>
      <c r="E260" s="692" t="s">
        <v>2851</v>
      </c>
      <c r="F260" s="692" t="s">
        <v>2503</v>
      </c>
      <c r="G260" s="692" t="s">
        <v>79</v>
      </c>
      <c r="H260" s="692" t="s">
        <v>11</v>
      </c>
      <c r="I260" s="692" t="s">
        <v>80</v>
      </c>
      <c r="J260" s="692" t="s">
        <v>11</v>
      </c>
      <c r="K260" s="692" t="s">
        <v>6</v>
      </c>
      <c r="L260" s="692" t="str">
        <f t="shared" si="4"/>
        <v>6-08-04</v>
      </c>
      <c r="M260" s="692"/>
      <c r="N260" s="692"/>
      <c r="O260" s="692"/>
      <c r="P260" s="692" t="s">
        <v>261</v>
      </c>
      <c r="Q260" s="692" t="s">
        <v>4804</v>
      </c>
      <c r="R260" s="692" t="s">
        <v>3054</v>
      </c>
      <c r="S260" s="692">
        <v>27847047</v>
      </c>
      <c r="T260" s="692">
        <v>27847047</v>
      </c>
      <c r="U260" s="692" t="s">
        <v>3894</v>
      </c>
      <c r="V260" s="692" t="s">
        <v>2852</v>
      </c>
      <c r="W260" s="692"/>
      <c r="X260" s="761"/>
      <c r="Z260" s="713"/>
      <c r="AA260" s="10"/>
      <c r="AB260" s="8"/>
      <c r="AC260" s="8"/>
      <c r="AD260" s="8"/>
      <c r="AE260" s="8"/>
      <c r="AF260" s="8"/>
      <c r="AG260" s="8"/>
      <c r="AH260" s="761"/>
      <c r="AI260" s="761"/>
    </row>
    <row r="261" spans="1:35" ht="15.75">
      <c r="A261" s="692" t="s">
        <v>2876</v>
      </c>
      <c r="B261" s="692" t="s">
        <v>530</v>
      </c>
      <c r="D261" s="692" t="s">
        <v>523</v>
      </c>
      <c r="E261" s="692" t="s">
        <v>2853</v>
      </c>
      <c r="F261" s="692" t="s">
        <v>2854</v>
      </c>
      <c r="G261" s="692" t="s">
        <v>5730</v>
      </c>
      <c r="H261" s="692" t="s">
        <v>6</v>
      </c>
      <c r="I261" s="692" t="s">
        <v>43</v>
      </c>
      <c r="J261" s="692" t="s">
        <v>18</v>
      </c>
      <c r="K261" s="692" t="s">
        <v>11</v>
      </c>
      <c r="L261" s="692" t="str">
        <f t="shared" si="4"/>
        <v>2-13-08</v>
      </c>
      <c r="M261" s="692"/>
      <c r="N261" s="692"/>
      <c r="O261" s="692"/>
      <c r="P261" s="692" t="s">
        <v>813</v>
      </c>
      <c r="Q261" s="692" t="s">
        <v>4804</v>
      </c>
      <c r="R261" s="692" t="s">
        <v>5843</v>
      </c>
      <c r="S261" s="692">
        <v>21019249</v>
      </c>
      <c r="T261" s="692">
        <v>24700970</v>
      </c>
      <c r="U261" s="692" t="s">
        <v>3895</v>
      </c>
      <c r="V261" s="692" t="s">
        <v>2855</v>
      </c>
      <c r="W261" s="692"/>
      <c r="X261" s="761"/>
      <c r="Z261" s="713"/>
      <c r="AA261" s="10"/>
      <c r="AB261" s="8"/>
      <c r="AC261" s="8"/>
      <c r="AD261" s="8"/>
      <c r="AE261" s="8"/>
      <c r="AF261" s="8"/>
      <c r="AG261" s="8"/>
      <c r="AH261" s="761"/>
      <c r="AI261" s="761"/>
    </row>
    <row r="262" spans="1:35" ht="15.75">
      <c r="A262" s="692" t="s">
        <v>2709</v>
      </c>
      <c r="B262" s="692" t="s">
        <v>460</v>
      </c>
      <c r="D262" s="692" t="s">
        <v>908</v>
      </c>
      <c r="E262" s="692" t="s">
        <v>2856</v>
      </c>
      <c r="F262" s="692" t="s">
        <v>2857</v>
      </c>
      <c r="G262" s="692" t="s">
        <v>216</v>
      </c>
      <c r="H262" s="692" t="s">
        <v>5</v>
      </c>
      <c r="I262" s="692" t="s">
        <v>41</v>
      </c>
      <c r="J262" s="692" t="s">
        <v>752</v>
      </c>
      <c r="K262" s="692" t="s">
        <v>5</v>
      </c>
      <c r="L262" s="692" t="str">
        <f t="shared" si="4"/>
        <v>1-20-03</v>
      </c>
      <c r="M262" s="692"/>
      <c r="N262" s="692"/>
      <c r="O262" s="692"/>
      <c r="P262" s="692" t="s">
        <v>202</v>
      </c>
      <c r="Q262" s="692" t="s">
        <v>4804</v>
      </c>
      <c r="R262" s="692" t="s">
        <v>5614</v>
      </c>
      <c r="S262" s="692">
        <v>25466955</v>
      </c>
      <c r="T262" s="692">
        <v>25466955</v>
      </c>
      <c r="U262" s="692" t="s">
        <v>4857</v>
      </c>
      <c r="V262" s="692" t="s">
        <v>4453</v>
      </c>
      <c r="W262" s="692"/>
      <c r="X262" s="761"/>
      <c r="Z262" s="713"/>
      <c r="AA262" s="10"/>
      <c r="AB262" s="8"/>
      <c r="AC262" s="8"/>
      <c r="AD262" s="8"/>
      <c r="AE262" s="8"/>
      <c r="AF262" s="8"/>
      <c r="AG262" s="8"/>
      <c r="AH262" s="761"/>
      <c r="AI262" s="761"/>
    </row>
    <row r="263" spans="1:35" ht="15.75">
      <c r="A263" s="692" t="s">
        <v>2881</v>
      </c>
      <c r="B263" s="692" t="s">
        <v>532</v>
      </c>
      <c r="D263" s="692" t="s">
        <v>1159</v>
      </c>
      <c r="E263" s="692" t="s">
        <v>2860</v>
      </c>
      <c r="F263" s="692" t="s">
        <v>2861</v>
      </c>
      <c r="G263" s="692" t="s">
        <v>4397</v>
      </c>
      <c r="H263" s="692" t="s">
        <v>4</v>
      </c>
      <c r="I263" s="692" t="s">
        <v>80</v>
      </c>
      <c r="J263" s="692" t="s">
        <v>5</v>
      </c>
      <c r="K263" s="692" t="s">
        <v>4</v>
      </c>
      <c r="L263" s="692" t="str">
        <f t="shared" si="4"/>
        <v>6-03-02</v>
      </c>
      <c r="M263" s="692"/>
      <c r="N263" s="692"/>
      <c r="O263" s="692"/>
      <c r="P263" s="692" t="s">
        <v>2862</v>
      </c>
      <c r="Q263" s="692" t="s">
        <v>4804</v>
      </c>
      <c r="R263" s="692" t="s">
        <v>2863</v>
      </c>
      <c r="S263" s="692">
        <v>27421085</v>
      </c>
      <c r="T263" s="692">
        <v>27424085</v>
      </c>
      <c r="U263" s="692" t="s">
        <v>3896</v>
      </c>
      <c r="V263" s="692" t="s">
        <v>2864</v>
      </c>
      <c r="W263" s="692"/>
      <c r="X263" s="761"/>
      <c r="Z263" s="713"/>
      <c r="AA263" s="10"/>
      <c r="AB263" s="8"/>
      <c r="AC263" s="8"/>
      <c r="AD263" s="8"/>
      <c r="AE263" s="8"/>
      <c r="AF263" s="8"/>
      <c r="AG263" s="8"/>
      <c r="AH263" s="761"/>
      <c r="AI263" s="761"/>
    </row>
    <row r="264" spans="1:35" ht="15.75">
      <c r="A264" s="692" t="s">
        <v>2673</v>
      </c>
      <c r="B264" s="692" t="s">
        <v>439</v>
      </c>
      <c r="D264" s="692" t="s">
        <v>1078</v>
      </c>
      <c r="E264" s="692" t="s">
        <v>2865</v>
      </c>
      <c r="F264" s="692" t="s">
        <v>2866</v>
      </c>
      <c r="G264" s="692" t="s">
        <v>4398</v>
      </c>
      <c r="H264" s="692" t="s">
        <v>6</v>
      </c>
      <c r="I264" s="692" t="s">
        <v>68</v>
      </c>
      <c r="J264" s="692" t="s">
        <v>6</v>
      </c>
      <c r="K264" s="692" t="s">
        <v>3</v>
      </c>
      <c r="L264" s="692" t="str">
        <f t="shared" si="4"/>
        <v>7-04-01</v>
      </c>
      <c r="M264" s="692"/>
      <c r="N264" s="692"/>
      <c r="O264" s="692"/>
      <c r="P264" s="692" t="s">
        <v>238</v>
      </c>
      <c r="Q264" s="692" t="s">
        <v>4804</v>
      </c>
      <c r="R264" s="692" t="s">
        <v>4182</v>
      </c>
      <c r="S264" s="692">
        <v>84033703</v>
      </c>
      <c r="T264" s="692"/>
      <c r="U264" s="692" t="s">
        <v>4183</v>
      </c>
      <c r="V264" s="692" t="s">
        <v>2867</v>
      </c>
      <c r="W264" s="692"/>
      <c r="X264" s="761"/>
      <c r="Z264" s="713"/>
      <c r="AA264" s="10"/>
      <c r="AB264" s="8"/>
      <c r="AC264" s="8"/>
      <c r="AD264" s="8"/>
      <c r="AE264" s="8"/>
      <c r="AF264" s="8"/>
      <c r="AG264" s="8"/>
      <c r="AH264" s="761"/>
      <c r="AI264" s="761"/>
    </row>
    <row r="265" spans="1:35" ht="15.75">
      <c r="A265" s="692" t="s">
        <v>2853</v>
      </c>
      <c r="B265" s="692" t="s">
        <v>523</v>
      </c>
      <c r="D265" s="692" t="s">
        <v>524</v>
      </c>
      <c r="E265" s="692" t="s">
        <v>2868</v>
      </c>
      <c r="F265" s="692" t="s">
        <v>4071</v>
      </c>
      <c r="G265" s="692" t="s">
        <v>387</v>
      </c>
      <c r="H265" s="692" t="s">
        <v>4</v>
      </c>
      <c r="I265" s="692" t="s">
        <v>41</v>
      </c>
      <c r="J265" s="692" t="s">
        <v>388</v>
      </c>
      <c r="K265" s="692" t="s">
        <v>16</v>
      </c>
      <c r="L265" s="692" t="str">
        <f t="shared" si="4"/>
        <v>1-19-11</v>
      </c>
      <c r="M265" s="692"/>
      <c r="N265" s="692"/>
      <c r="O265" s="692"/>
      <c r="P265" s="692" t="s">
        <v>1184</v>
      </c>
      <c r="Q265" s="692" t="s">
        <v>4804</v>
      </c>
      <c r="R265" s="692" t="s">
        <v>5780</v>
      </c>
      <c r="S265" s="692">
        <v>22005243</v>
      </c>
      <c r="T265" s="692">
        <v>22005243</v>
      </c>
      <c r="U265" s="692" t="s">
        <v>3645</v>
      </c>
      <c r="V265" s="692" t="s">
        <v>2869</v>
      </c>
      <c r="W265" s="692"/>
      <c r="X265" s="761"/>
      <c r="Z265" s="713"/>
      <c r="AA265" s="10"/>
      <c r="AB265" s="8"/>
      <c r="AC265" s="8"/>
      <c r="AD265" s="8"/>
      <c r="AE265" s="8"/>
      <c r="AF265" s="8"/>
      <c r="AG265" s="8"/>
      <c r="AH265" s="761"/>
      <c r="AI265" s="761"/>
    </row>
    <row r="266" spans="1:35" ht="15.75">
      <c r="A266" s="692" t="s">
        <v>2741</v>
      </c>
      <c r="B266" s="692" t="s">
        <v>476</v>
      </c>
      <c r="D266" s="692" t="s">
        <v>526</v>
      </c>
      <c r="E266" s="692" t="s">
        <v>2870</v>
      </c>
      <c r="F266" s="692" t="s">
        <v>4072</v>
      </c>
      <c r="G266" s="692" t="s">
        <v>387</v>
      </c>
      <c r="H266" s="692" t="s">
        <v>4</v>
      </c>
      <c r="I266" s="692" t="s">
        <v>41</v>
      </c>
      <c r="J266" s="692" t="s">
        <v>388</v>
      </c>
      <c r="K266" s="692" t="s">
        <v>13</v>
      </c>
      <c r="L266" s="692" t="str">
        <f t="shared" si="4"/>
        <v>1-19-10</v>
      </c>
      <c r="M266" s="692"/>
      <c r="N266" s="692"/>
      <c r="O266" s="692"/>
      <c r="P266" s="692" t="s">
        <v>405</v>
      </c>
      <c r="Q266" s="692" t="s">
        <v>4804</v>
      </c>
      <c r="R266" s="692" t="s">
        <v>5759</v>
      </c>
      <c r="S266" s="692">
        <v>22005352</v>
      </c>
      <c r="T266" s="692"/>
      <c r="U266" s="692" t="s">
        <v>3646</v>
      </c>
      <c r="V266" s="692" t="s">
        <v>4454</v>
      </c>
      <c r="W266" s="692"/>
      <c r="X266" s="761"/>
      <c r="Z266" s="713"/>
      <c r="AA266" s="10"/>
      <c r="AB266" s="8"/>
      <c r="AC266" s="8"/>
      <c r="AD266" s="8"/>
      <c r="AE266" s="8"/>
      <c r="AF266" s="8"/>
      <c r="AG266" s="8"/>
      <c r="AH266" s="761"/>
      <c r="AI266" s="761"/>
    </row>
    <row r="267" spans="1:35" ht="15.75">
      <c r="A267" s="692" t="s">
        <v>2846</v>
      </c>
      <c r="B267" s="692" t="s">
        <v>519</v>
      </c>
      <c r="D267" s="692" t="s">
        <v>528</v>
      </c>
      <c r="E267" s="692" t="s">
        <v>2871</v>
      </c>
      <c r="F267" s="692" t="s">
        <v>2872</v>
      </c>
      <c r="G267" s="692" t="s">
        <v>4397</v>
      </c>
      <c r="H267" s="692" t="s">
        <v>11</v>
      </c>
      <c r="I267" s="692" t="s">
        <v>80</v>
      </c>
      <c r="J267" s="692" t="s">
        <v>7</v>
      </c>
      <c r="K267" s="692" t="s">
        <v>5</v>
      </c>
      <c r="L267" s="692" t="str">
        <f t="shared" si="4"/>
        <v>6-05-03</v>
      </c>
      <c r="M267" s="692"/>
      <c r="N267" s="692"/>
      <c r="O267" s="692"/>
      <c r="P267" s="692" t="s">
        <v>832</v>
      </c>
      <c r="Q267" s="692" t="s">
        <v>4804</v>
      </c>
      <c r="R267" s="692" t="s">
        <v>2873</v>
      </c>
      <c r="S267" s="692">
        <v>27881232</v>
      </c>
      <c r="T267" s="692">
        <v>27881232</v>
      </c>
      <c r="U267" s="692" t="s">
        <v>4184</v>
      </c>
      <c r="V267" s="692" t="s">
        <v>2874</v>
      </c>
      <c r="W267" s="692"/>
      <c r="X267" s="761"/>
      <c r="Z267" s="713"/>
      <c r="AA267" s="10"/>
      <c r="AB267" s="8"/>
      <c r="AC267" s="8"/>
      <c r="AD267" s="8"/>
      <c r="AE267" s="8"/>
      <c r="AF267" s="8"/>
      <c r="AG267" s="8"/>
      <c r="AH267" s="761"/>
      <c r="AI267" s="761"/>
    </row>
    <row r="268" spans="1:35" ht="15.75">
      <c r="A268" s="692" t="s">
        <v>2851</v>
      </c>
      <c r="B268" s="692" t="s">
        <v>522</v>
      </c>
      <c r="D268" s="692" t="s">
        <v>529</v>
      </c>
      <c r="E268" s="692" t="s">
        <v>2875</v>
      </c>
      <c r="F268" s="692" t="s">
        <v>4073</v>
      </c>
      <c r="G268" s="692" t="s">
        <v>387</v>
      </c>
      <c r="H268" s="692" t="s">
        <v>9</v>
      </c>
      <c r="I268" s="692" t="s">
        <v>41</v>
      </c>
      <c r="J268" s="692" t="s">
        <v>388</v>
      </c>
      <c r="K268" s="692" t="s">
        <v>5</v>
      </c>
      <c r="L268" s="692" t="str">
        <f t="shared" si="4"/>
        <v>1-19-03</v>
      </c>
      <c r="M268" s="692"/>
      <c r="N268" s="692"/>
      <c r="O268" s="692"/>
      <c r="P268" s="692" t="s">
        <v>5702</v>
      </c>
      <c r="Q268" s="692" t="s">
        <v>4804</v>
      </c>
      <c r="R268" s="692" t="s">
        <v>5840</v>
      </c>
      <c r="S268" s="692">
        <v>27371302</v>
      </c>
      <c r="T268" s="692"/>
      <c r="U268" s="692" t="s">
        <v>4651</v>
      </c>
      <c r="V268" s="692" t="s">
        <v>4455</v>
      </c>
      <c r="W268" s="692"/>
      <c r="X268" s="761"/>
      <c r="Z268" s="713"/>
      <c r="AA268" s="10"/>
      <c r="AB268" s="8"/>
      <c r="AC268" s="8"/>
      <c r="AD268" s="8"/>
      <c r="AE268" s="8"/>
      <c r="AF268" s="8"/>
      <c r="AG268" s="8"/>
      <c r="AH268" s="761"/>
      <c r="AI268" s="761"/>
    </row>
    <row r="269" spans="1:35" ht="15.75">
      <c r="A269" s="692" t="s">
        <v>2949</v>
      </c>
      <c r="B269" s="692" t="s">
        <v>1141</v>
      </c>
      <c r="D269" s="692" t="s">
        <v>530</v>
      </c>
      <c r="E269" s="692" t="s">
        <v>2876</v>
      </c>
      <c r="F269" s="692" t="s">
        <v>2877</v>
      </c>
      <c r="G269" s="692" t="s">
        <v>117</v>
      </c>
      <c r="H269" s="692" t="s">
        <v>7</v>
      </c>
      <c r="I269" s="692" t="s">
        <v>43</v>
      </c>
      <c r="J269" s="692" t="s">
        <v>13</v>
      </c>
      <c r="K269" s="692" t="s">
        <v>8</v>
      </c>
      <c r="L269" s="692" t="str">
        <f t="shared" si="4"/>
        <v>2-10-06</v>
      </c>
      <c r="M269" s="692"/>
      <c r="N269" s="692"/>
      <c r="O269" s="692"/>
      <c r="P269" s="692" t="s">
        <v>60</v>
      </c>
      <c r="Q269" s="692" t="s">
        <v>4804</v>
      </c>
      <c r="R269" s="692" t="s">
        <v>3560</v>
      </c>
      <c r="S269" s="692">
        <v>24041060</v>
      </c>
      <c r="T269" s="692">
        <v>24041153</v>
      </c>
      <c r="U269" s="692" t="s">
        <v>4185</v>
      </c>
      <c r="V269" s="692" t="s">
        <v>1185</v>
      </c>
      <c r="W269" s="692"/>
      <c r="X269" s="761"/>
      <c r="Z269" s="713"/>
      <c r="AA269" s="10"/>
      <c r="AB269" s="8"/>
      <c r="AC269" s="8"/>
      <c r="AD269" s="8"/>
      <c r="AE269" s="8"/>
      <c r="AF269" s="8"/>
      <c r="AG269" s="8"/>
      <c r="AH269" s="761"/>
      <c r="AI269" s="761"/>
    </row>
    <row r="270" spans="1:35" ht="15.75">
      <c r="A270" s="692" t="s">
        <v>2758</v>
      </c>
      <c r="B270" s="692" t="s">
        <v>311</v>
      </c>
      <c r="D270" s="692" t="s">
        <v>531</v>
      </c>
      <c r="E270" s="692" t="s">
        <v>2878</v>
      </c>
      <c r="F270" s="692" t="s">
        <v>2879</v>
      </c>
      <c r="G270" s="692" t="s">
        <v>117</v>
      </c>
      <c r="H270" s="692" t="s">
        <v>7</v>
      </c>
      <c r="I270" s="692" t="s">
        <v>43</v>
      </c>
      <c r="J270" s="692" t="s">
        <v>13</v>
      </c>
      <c r="K270" s="692" t="s">
        <v>8</v>
      </c>
      <c r="L270" s="692" t="str">
        <f t="shared" si="4"/>
        <v>2-10-06</v>
      </c>
      <c r="M270" s="692"/>
      <c r="N270" s="692"/>
      <c r="O270" s="692"/>
      <c r="P270" s="692" t="s">
        <v>721</v>
      </c>
      <c r="Q270" s="692" t="s">
        <v>4804</v>
      </c>
      <c r="R270" s="692" t="s">
        <v>5789</v>
      </c>
      <c r="S270" s="692">
        <v>44028592</v>
      </c>
      <c r="T270" s="692"/>
      <c r="U270" s="692" t="s">
        <v>3897</v>
      </c>
      <c r="V270" s="692" t="s">
        <v>209</v>
      </c>
      <c r="W270" s="692"/>
      <c r="X270" s="761"/>
      <c r="Z270" s="713"/>
      <c r="AA270" s="10"/>
      <c r="AB270" s="8"/>
      <c r="AC270" s="8"/>
      <c r="AD270" s="8"/>
      <c r="AE270" s="8"/>
      <c r="AF270" s="8"/>
      <c r="AG270" s="8"/>
      <c r="AH270" s="761"/>
      <c r="AI270" s="761"/>
    </row>
    <row r="271" spans="1:35" ht="15.75">
      <c r="A271" s="692" t="s">
        <v>2752</v>
      </c>
      <c r="B271" s="692" t="s">
        <v>934</v>
      </c>
      <c r="D271" s="692" t="s">
        <v>532</v>
      </c>
      <c r="E271" s="692" t="s">
        <v>2881</v>
      </c>
      <c r="F271" s="692" t="s">
        <v>2882</v>
      </c>
      <c r="G271" s="692" t="s">
        <v>117</v>
      </c>
      <c r="H271" s="692" t="s">
        <v>16</v>
      </c>
      <c r="I271" s="692" t="s">
        <v>43</v>
      </c>
      <c r="J271" s="692" t="s">
        <v>13</v>
      </c>
      <c r="K271" s="692" t="s">
        <v>17</v>
      </c>
      <c r="L271" s="692" t="str">
        <f t="shared" si="4"/>
        <v>2-10-12</v>
      </c>
      <c r="M271" s="692"/>
      <c r="N271" s="692"/>
      <c r="O271" s="692"/>
      <c r="P271" s="692" t="s">
        <v>510</v>
      </c>
      <c r="Q271" s="692" t="s">
        <v>4804</v>
      </c>
      <c r="R271" s="692" t="s">
        <v>3091</v>
      </c>
      <c r="S271" s="692">
        <v>24780042</v>
      </c>
      <c r="T271" s="692">
        <v>24780042</v>
      </c>
      <c r="U271" s="692" t="s">
        <v>3898</v>
      </c>
      <c r="V271" s="692" t="s">
        <v>4456</v>
      </c>
      <c r="W271" s="692"/>
      <c r="X271" s="761"/>
      <c r="Z271" s="713"/>
      <c r="AA271" s="10"/>
      <c r="AB271" s="8"/>
      <c r="AC271" s="8"/>
      <c r="AD271" s="8"/>
      <c r="AE271" s="8"/>
      <c r="AF271" s="8"/>
      <c r="AG271" s="8"/>
      <c r="AH271" s="761"/>
      <c r="AI271" s="761"/>
    </row>
    <row r="272" spans="1:35" ht="15.75">
      <c r="A272" s="692" t="s">
        <v>2736</v>
      </c>
      <c r="B272" s="692" t="s">
        <v>473</v>
      </c>
      <c r="D272" s="692" t="s">
        <v>535</v>
      </c>
      <c r="E272" s="692" t="s">
        <v>2888</v>
      </c>
      <c r="F272" s="692" t="s">
        <v>2889</v>
      </c>
      <c r="G272" s="692" t="s">
        <v>4396</v>
      </c>
      <c r="H272" s="692" t="s">
        <v>8</v>
      </c>
      <c r="I272" s="692" t="s">
        <v>41</v>
      </c>
      <c r="J272" s="692" t="s">
        <v>16</v>
      </c>
      <c r="K272" s="692" t="s">
        <v>7</v>
      </c>
      <c r="L272" s="692" t="str">
        <f t="shared" si="4"/>
        <v>1-11-05</v>
      </c>
      <c r="M272" s="692"/>
      <c r="N272" s="692"/>
      <c r="O272" s="692"/>
      <c r="P272" s="692" t="s">
        <v>233</v>
      </c>
      <c r="Q272" s="692" t="s">
        <v>4804</v>
      </c>
      <c r="R272" s="692" t="s">
        <v>5833</v>
      </c>
      <c r="S272" s="692">
        <v>22291993</v>
      </c>
      <c r="T272" s="692">
        <v>22943651</v>
      </c>
      <c r="U272" s="692" t="s">
        <v>3899</v>
      </c>
      <c r="V272" s="692" t="s">
        <v>5834</v>
      </c>
      <c r="W272" s="692"/>
      <c r="X272" s="761"/>
      <c r="Z272" s="713"/>
      <c r="AA272" s="10"/>
      <c r="AB272" s="8"/>
      <c r="AC272" s="8"/>
      <c r="AD272" s="8"/>
      <c r="AE272" s="8"/>
      <c r="AF272" s="8"/>
      <c r="AG272" s="8"/>
      <c r="AH272" s="761"/>
      <c r="AI272" s="761"/>
    </row>
    <row r="273" spans="1:35" ht="15.75">
      <c r="A273" s="692" t="s">
        <v>2926</v>
      </c>
      <c r="B273" s="692" t="s">
        <v>550</v>
      </c>
      <c r="D273" s="692" t="s">
        <v>539</v>
      </c>
      <c r="E273" s="692" t="s">
        <v>2894</v>
      </c>
      <c r="F273" s="692" t="s">
        <v>2895</v>
      </c>
      <c r="G273" s="692" t="s">
        <v>109</v>
      </c>
      <c r="H273" s="692" t="s">
        <v>4</v>
      </c>
      <c r="I273" s="692" t="s">
        <v>110</v>
      </c>
      <c r="J273" s="692" t="s">
        <v>13</v>
      </c>
      <c r="K273" s="692" t="s">
        <v>5</v>
      </c>
      <c r="L273" s="692" t="str">
        <f t="shared" si="4"/>
        <v>4-10-03</v>
      </c>
      <c r="M273" s="692"/>
      <c r="N273" s="692"/>
      <c r="O273" s="692"/>
      <c r="P273" s="692" t="s">
        <v>2896</v>
      </c>
      <c r="Q273" s="692" t="s">
        <v>4804</v>
      </c>
      <c r="R273" s="692" t="s">
        <v>3050</v>
      </c>
      <c r="S273" s="692">
        <v>27643036</v>
      </c>
      <c r="T273" s="692">
        <v>24644116</v>
      </c>
      <c r="U273" s="692" t="s">
        <v>3900</v>
      </c>
      <c r="V273" s="692" t="s">
        <v>2897</v>
      </c>
      <c r="W273" s="692"/>
      <c r="X273" s="761" t="s">
        <v>818</v>
      </c>
      <c r="Z273" s="713"/>
      <c r="AA273" s="10"/>
      <c r="AB273" s="8"/>
      <c r="AC273" s="8"/>
      <c r="AD273" s="8"/>
      <c r="AE273" s="8"/>
      <c r="AF273" s="8"/>
      <c r="AG273" s="8"/>
      <c r="AH273" s="761"/>
      <c r="AI273" s="761"/>
    </row>
    <row r="274" spans="1:35" ht="15.75">
      <c r="A274" s="692" t="s">
        <v>2908</v>
      </c>
      <c r="B274" s="692" t="s">
        <v>543</v>
      </c>
      <c r="D274" s="692" t="s">
        <v>540</v>
      </c>
      <c r="E274" s="692" t="s">
        <v>2898</v>
      </c>
      <c r="F274" s="692" t="s">
        <v>2899</v>
      </c>
      <c r="G274" s="692" t="s">
        <v>5729</v>
      </c>
      <c r="H274" s="692" t="s">
        <v>6</v>
      </c>
      <c r="I274" s="692" t="s">
        <v>68</v>
      </c>
      <c r="J274" s="692" t="s">
        <v>5</v>
      </c>
      <c r="K274" s="692" t="s">
        <v>4</v>
      </c>
      <c r="L274" s="692" t="str">
        <f t="shared" si="4"/>
        <v>7-03-02</v>
      </c>
      <c r="M274" s="692"/>
      <c r="N274" s="692"/>
      <c r="O274" s="692"/>
      <c r="P274" s="692" t="s">
        <v>725</v>
      </c>
      <c r="Q274" s="692" t="s">
        <v>4804</v>
      </c>
      <c r="R274" s="692" t="s">
        <v>5803</v>
      </c>
      <c r="S274" s="692">
        <v>22006469</v>
      </c>
      <c r="T274" s="692">
        <v>27699901</v>
      </c>
      <c r="U274" s="692" t="s">
        <v>4458</v>
      </c>
      <c r="V274" s="692" t="s">
        <v>4186</v>
      </c>
      <c r="W274" s="692"/>
      <c r="X274" s="761"/>
      <c r="Z274" s="713"/>
      <c r="AA274" s="10"/>
      <c r="AB274" s="8"/>
      <c r="AC274" s="8"/>
      <c r="AD274" s="8"/>
      <c r="AE274" s="8"/>
      <c r="AF274" s="8"/>
      <c r="AG274" s="8"/>
      <c r="AH274" s="761"/>
      <c r="AI274" s="761"/>
    </row>
    <row r="275" spans="1:35" ht="15.75">
      <c r="A275" s="692" t="s">
        <v>2667</v>
      </c>
      <c r="B275" s="692" t="s">
        <v>281</v>
      </c>
      <c r="D275" s="692" t="s">
        <v>541</v>
      </c>
      <c r="E275" s="692" t="s">
        <v>2900</v>
      </c>
      <c r="F275" s="692" t="s">
        <v>5615</v>
      </c>
      <c r="G275" s="692" t="s">
        <v>216</v>
      </c>
      <c r="H275" s="692" t="s">
        <v>5</v>
      </c>
      <c r="I275" s="692" t="s">
        <v>41</v>
      </c>
      <c r="J275" s="692" t="s">
        <v>8</v>
      </c>
      <c r="K275" s="692" t="s">
        <v>7</v>
      </c>
      <c r="L275" s="692" t="str">
        <f t="shared" si="4"/>
        <v>1-06-05</v>
      </c>
      <c r="M275" s="692"/>
      <c r="N275" s="692"/>
      <c r="O275" s="692"/>
      <c r="P275" s="692" t="s">
        <v>377</v>
      </c>
      <c r="Q275" s="692" t="s">
        <v>4804</v>
      </c>
      <c r="R275" s="692" t="s">
        <v>5790</v>
      </c>
      <c r="S275" s="692">
        <v>22005071</v>
      </c>
      <c r="T275" s="692"/>
      <c r="U275" s="692" t="s">
        <v>5791</v>
      </c>
      <c r="V275" s="692" t="s">
        <v>2901</v>
      </c>
      <c r="W275" s="692"/>
      <c r="X275" s="761"/>
      <c r="Z275" s="713"/>
      <c r="AA275" s="10"/>
      <c r="AB275" s="8"/>
      <c r="AC275" s="8"/>
      <c r="AD275" s="8"/>
      <c r="AE275" s="8"/>
      <c r="AF275" s="8"/>
      <c r="AG275" s="8"/>
      <c r="AH275" s="761"/>
      <c r="AI275" s="761"/>
    </row>
    <row r="276" spans="1:35" ht="15.75">
      <c r="A276" s="692" t="s">
        <v>2922</v>
      </c>
      <c r="B276" s="692" t="s">
        <v>548</v>
      </c>
      <c r="D276" s="692" t="s">
        <v>1086</v>
      </c>
      <c r="E276" s="692" t="s">
        <v>2902</v>
      </c>
      <c r="F276" s="692" t="s">
        <v>2903</v>
      </c>
      <c r="G276" s="692" t="s">
        <v>79</v>
      </c>
      <c r="H276" s="692" t="s">
        <v>18</v>
      </c>
      <c r="I276" s="692" t="s">
        <v>80</v>
      </c>
      <c r="J276" s="692" t="s">
        <v>13</v>
      </c>
      <c r="K276" s="692" t="s">
        <v>3</v>
      </c>
      <c r="L276" s="692" t="str">
        <f t="shared" si="4"/>
        <v>6-10-01</v>
      </c>
      <c r="M276" s="692"/>
      <c r="N276" s="692"/>
      <c r="O276" s="692"/>
      <c r="P276" s="692" t="s">
        <v>3505</v>
      </c>
      <c r="Q276" s="692" t="s">
        <v>4804</v>
      </c>
      <c r="R276" s="692" t="s">
        <v>4858</v>
      </c>
      <c r="S276" s="692"/>
      <c r="T276" s="692"/>
      <c r="U276" s="692" t="s">
        <v>3647</v>
      </c>
      <c r="V276" s="692" t="s">
        <v>4187</v>
      </c>
      <c r="W276" s="692"/>
      <c r="X276" s="761"/>
      <c r="Z276" s="713"/>
      <c r="AA276" s="10"/>
      <c r="AB276" s="8"/>
      <c r="AC276" s="8"/>
      <c r="AD276" s="8"/>
      <c r="AE276" s="8"/>
      <c r="AF276" s="8"/>
      <c r="AG276" s="8"/>
      <c r="AH276" s="761"/>
      <c r="AI276" s="761"/>
    </row>
    <row r="277" spans="1:35" ht="15.75">
      <c r="A277" s="692" t="s">
        <v>2918</v>
      </c>
      <c r="B277" s="692" t="s">
        <v>547</v>
      </c>
      <c r="D277" s="692" t="s">
        <v>1165</v>
      </c>
      <c r="E277" s="692" t="s">
        <v>2904</v>
      </c>
      <c r="F277" s="692" t="s">
        <v>3228</v>
      </c>
      <c r="G277" s="692" t="s">
        <v>79</v>
      </c>
      <c r="H277" s="692" t="s">
        <v>16</v>
      </c>
      <c r="I277" s="692" t="s">
        <v>80</v>
      </c>
      <c r="J277" s="692" t="s">
        <v>13</v>
      </c>
      <c r="K277" s="692" t="s">
        <v>6</v>
      </c>
      <c r="L277" s="692" t="str">
        <f t="shared" si="4"/>
        <v>6-10-04</v>
      </c>
      <c r="M277" s="692"/>
      <c r="N277" s="692"/>
      <c r="O277" s="692"/>
      <c r="P277" s="692" t="s">
        <v>402</v>
      </c>
      <c r="Q277" s="692" t="s">
        <v>4804</v>
      </c>
      <c r="R277" s="692" t="s">
        <v>4859</v>
      </c>
      <c r="S277" s="692">
        <v>83405445</v>
      </c>
      <c r="T277" s="692"/>
      <c r="U277" s="692" t="s">
        <v>3901</v>
      </c>
      <c r="V277" s="692" t="s">
        <v>4188</v>
      </c>
      <c r="W277" s="692"/>
      <c r="X277" s="761"/>
      <c r="Z277" s="713"/>
      <c r="AA277" s="10"/>
      <c r="AB277" s="8"/>
      <c r="AC277" s="8"/>
      <c r="AD277" s="8"/>
      <c r="AE277" s="8"/>
      <c r="AF277" s="8"/>
      <c r="AG277" s="8"/>
      <c r="AH277" s="761"/>
      <c r="AI277" s="761"/>
    </row>
    <row r="278" spans="1:35" ht="15.75">
      <c r="A278" s="692" t="s">
        <v>2902</v>
      </c>
      <c r="B278" s="692" t="s">
        <v>1086</v>
      </c>
      <c r="D278" s="692" t="s">
        <v>1760</v>
      </c>
      <c r="E278" s="692" t="s">
        <v>2905</v>
      </c>
      <c r="F278" s="692" t="s">
        <v>2906</v>
      </c>
      <c r="G278" s="692" t="s">
        <v>298</v>
      </c>
      <c r="H278" s="692" t="s">
        <v>7</v>
      </c>
      <c r="I278" s="692" t="s">
        <v>126</v>
      </c>
      <c r="J278" s="692" t="s">
        <v>13</v>
      </c>
      <c r="K278" s="692" t="s">
        <v>4</v>
      </c>
      <c r="L278" s="692" t="str">
        <f t="shared" si="4"/>
        <v>5-10-02</v>
      </c>
      <c r="M278" s="692"/>
      <c r="N278" s="692"/>
      <c r="O278" s="692"/>
      <c r="P278" s="692" t="s">
        <v>792</v>
      </c>
      <c r="Q278" s="692" t="s">
        <v>4804</v>
      </c>
      <c r="R278" s="692" t="s">
        <v>2907</v>
      </c>
      <c r="S278" s="692">
        <v>85298708</v>
      </c>
      <c r="T278" s="692"/>
      <c r="U278" s="692" t="s">
        <v>3902</v>
      </c>
      <c r="V278" s="692" t="s">
        <v>5806</v>
      </c>
      <c r="W278" s="692"/>
      <c r="X278" s="761"/>
      <c r="Z278" s="713"/>
      <c r="AA278" s="10"/>
      <c r="AB278" s="8"/>
      <c r="AC278" s="8"/>
      <c r="AD278" s="8"/>
      <c r="AE278" s="8"/>
      <c r="AF278" s="8"/>
      <c r="AG278" s="8"/>
      <c r="AH278" s="761"/>
      <c r="AI278" s="761"/>
    </row>
    <row r="279" spans="1:35" ht="15.75">
      <c r="A279" s="692" t="s">
        <v>2904</v>
      </c>
      <c r="B279" s="692" t="s">
        <v>1165</v>
      </c>
      <c r="D279" s="692" t="s">
        <v>543</v>
      </c>
      <c r="E279" s="692" t="s">
        <v>2908</v>
      </c>
      <c r="F279" s="692" t="s">
        <v>2909</v>
      </c>
      <c r="G279" s="692" t="s">
        <v>298</v>
      </c>
      <c r="H279" s="692" t="s">
        <v>4</v>
      </c>
      <c r="I279" s="692" t="s">
        <v>126</v>
      </c>
      <c r="J279" s="692" t="s">
        <v>3</v>
      </c>
      <c r="K279" s="692" t="s">
        <v>6</v>
      </c>
      <c r="L279" s="692" t="str">
        <f t="shared" si="4"/>
        <v>5-01-04</v>
      </c>
      <c r="M279" s="692"/>
      <c r="N279" s="692"/>
      <c r="O279" s="692"/>
      <c r="P279" s="692" t="s">
        <v>795</v>
      </c>
      <c r="Q279" s="692" t="s">
        <v>4804</v>
      </c>
      <c r="R279" s="692" t="s">
        <v>2910</v>
      </c>
      <c r="S279" s="692">
        <v>26670148</v>
      </c>
      <c r="T279" s="692">
        <v>26670148</v>
      </c>
      <c r="U279" s="692" t="s">
        <v>3648</v>
      </c>
      <c r="V279" s="692" t="s">
        <v>5827</v>
      </c>
      <c r="W279" s="692"/>
      <c r="X279" s="761"/>
      <c r="Z279" s="713"/>
      <c r="AA279" s="10"/>
      <c r="AB279" s="8"/>
      <c r="AC279" s="8"/>
      <c r="AD279" s="8"/>
      <c r="AE279" s="8"/>
      <c r="AF279" s="8"/>
      <c r="AG279" s="8"/>
      <c r="AH279" s="761"/>
      <c r="AI279" s="761"/>
    </row>
    <row r="280" spans="1:35" ht="15.75">
      <c r="A280" s="692" t="s">
        <v>2924</v>
      </c>
      <c r="B280" s="692" t="s">
        <v>549</v>
      </c>
      <c r="D280" s="692" t="s">
        <v>545</v>
      </c>
      <c r="E280" s="692" t="s">
        <v>2911</v>
      </c>
      <c r="F280" s="692" t="s">
        <v>2912</v>
      </c>
      <c r="G280" s="692" t="s">
        <v>5730</v>
      </c>
      <c r="H280" s="692" t="s">
        <v>4</v>
      </c>
      <c r="I280" s="692" t="s">
        <v>43</v>
      </c>
      <c r="J280" s="692" t="s">
        <v>18</v>
      </c>
      <c r="K280" s="692" t="s">
        <v>4</v>
      </c>
      <c r="L280" s="692" t="str">
        <f t="shared" si="4"/>
        <v>2-13-02</v>
      </c>
      <c r="M280" s="692"/>
      <c r="N280" s="692"/>
      <c r="O280" s="692"/>
      <c r="P280" s="692" t="s">
        <v>786</v>
      </c>
      <c r="Q280" s="692" t="s">
        <v>4804</v>
      </c>
      <c r="R280" s="692" t="s">
        <v>2913</v>
      </c>
      <c r="S280" s="692">
        <v>72967040</v>
      </c>
      <c r="T280" s="692">
        <v>24660220</v>
      </c>
      <c r="U280" s="692" t="s">
        <v>4189</v>
      </c>
      <c r="V280" s="692" t="s">
        <v>4652</v>
      </c>
      <c r="W280" s="692"/>
      <c r="X280" s="761"/>
      <c r="Z280" s="713"/>
      <c r="AA280" s="10"/>
      <c r="AB280" s="8"/>
      <c r="AC280" s="8"/>
      <c r="AD280" s="8"/>
      <c r="AE280" s="8"/>
      <c r="AF280" s="8"/>
      <c r="AG280" s="8"/>
      <c r="AH280" s="761"/>
      <c r="AI280" s="761"/>
    </row>
    <row r="281" spans="1:35" ht="15.75">
      <c r="A281" s="692" t="s">
        <v>2961</v>
      </c>
      <c r="B281" s="692" t="s">
        <v>564</v>
      </c>
      <c r="D281" s="692" t="s">
        <v>546</v>
      </c>
      <c r="E281" s="692" t="s">
        <v>2914</v>
      </c>
      <c r="F281" s="692" t="s">
        <v>2915</v>
      </c>
      <c r="G281" s="692" t="s">
        <v>109</v>
      </c>
      <c r="H281" s="692" t="s">
        <v>6</v>
      </c>
      <c r="I281" s="692" t="s">
        <v>110</v>
      </c>
      <c r="J281" s="692" t="s">
        <v>13</v>
      </c>
      <c r="K281" s="692" t="s">
        <v>5</v>
      </c>
      <c r="L281" s="692" t="str">
        <f t="shared" si="4"/>
        <v>4-10-03</v>
      </c>
      <c r="M281" s="692"/>
      <c r="N281" s="692"/>
      <c r="O281" s="692"/>
      <c r="P281" s="692" t="s">
        <v>863</v>
      </c>
      <c r="Q281" s="692" t="s">
        <v>4804</v>
      </c>
      <c r="R281" s="692" t="s">
        <v>2916</v>
      </c>
      <c r="S281" s="692">
        <v>27643852</v>
      </c>
      <c r="T281" s="692"/>
      <c r="U281" s="692" t="s">
        <v>3903</v>
      </c>
      <c r="V281" s="692" t="s">
        <v>2917</v>
      </c>
      <c r="W281" s="692"/>
      <c r="X281" s="761"/>
      <c r="Z281" s="713"/>
      <c r="AA281" s="10"/>
      <c r="AB281" s="8"/>
      <c r="AC281" s="8"/>
      <c r="AD281" s="8"/>
      <c r="AE281" s="8"/>
      <c r="AF281" s="8"/>
      <c r="AG281" s="8"/>
      <c r="AH281" s="761"/>
      <c r="AI281" s="761"/>
    </row>
    <row r="282" spans="1:35" ht="15.75">
      <c r="A282" s="692" t="s">
        <v>2940</v>
      </c>
      <c r="B282" s="692" t="s">
        <v>1783</v>
      </c>
      <c r="D282" s="692" t="s">
        <v>547</v>
      </c>
      <c r="E282" s="692" t="s">
        <v>2918</v>
      </c>
      <c r="F282" s="692" t="s">
        <v>2919</v>
      </c>
      <c r="G282" s="692" t="s">
        <v>4398</v>
      </c>
      <c r="H282" s="692" t="s">
        <v>5</v>
      </c>
      <c r="I282" s="692" t="s">
        <v>68</v>
      </c>
      <c r="J282" s="692" t="s">
        <v>6</v>
      </c>
      <c r="K282" s="692" t="s">
        <v>6</v>
      </c>
      <c r="L282" s="692" t="str">
        <f t="shared" si="4"/>
        <v>7-04-04</v>
      </c>
      <c r="M282" s="692"/>
      <c r="N282" s="692"/>
      <c r="O282" s="692"/>
      <c r="P282" s="692" t="s">
        <v>846</v>
      </c>
      <c r="Q282" s="692" t="s">
        <v>4804</v>
      </c>
      <c r="R282" s="692" t="s">
        <v>2920</v>
      </c>
      <c r="S282" s="692">
        <v>85487681</v>
      </c>
      <c r="T282" s="692"/>
      <c r="U282" s="692" t="s">
        <v>4653</v>
      </c>
      <c r="V282" s="692" t="s">
        <v>2921</v>
      </c>
      <c r="W282" s="692"/>
      <c r="X282" s="761"/>
      <c r="Z282" s="713"/>
      <c r="AA282" s="10"/>
      <c r="AB282" s="8"/>
      <c r="AC282" s="8"/>
      <c r="AD282" s="8"/>
      <c r="AE282" s="8"/>
      <c r="AF282" s="8"/>
      <c r="AG282" s="8"/>
      <c r="AH282" s="761"/>
      <c r="AI282" s="761"/>
    </row>
    <row r="283" spans="1:35" ht="15.75">
      <c r="A283" s="692" t="s">
        <v>2937</v>
      </c>
      <c r="B283" s="692" t="s">
        <v>557</v>
      </c>
      <c r="D283" s="692" t="s">
        <v>548</v>
      </c>
      <c r="E283" s="692" t="s">
        <v>2922</v>
      </c>
      <c r="F283" s="692" t="s">
        <v>5616</v>
      </c>
      <c r="G283" s="692" t="s">
        <v>5729</v>
      </c>
      <c r="H283" s="692" t="s">
        <v>12</v>
      </c>
      <c r="I283" s="692" t="s">
        <v>68</v>
      </c>
      <c r="J283" s="692" t="s">
        <v>7</v>
      </c>
      <c r="K283" s="692" t="s">
        <v>5</v>
      </c>
      <c r="L283" s="692" t="str">
        <f t="shared" si="4"/>
        <v>7-05-03</v>
      </c>
      <c r="M283" s="692"/>
      <c r="N283" s="692"/>
      <c r="O283" s="692"/>
      <c r="P283" s="692" t="s">
        <v>698</v>
      </c>
      <c r="Q283" s="692" t="s">
        <v>4804</v>
      </c>
      <c r="R283" s="692" t="s">
        <v>2923</v>
      </c>
      <c r="S283" s="692">
        <v>27977297</v>
      </c>
      <c r="T283" s="692">
        <v>27977297</v>
      </c>
      <c r="U283" s="692" t="s">
        <v>3904</v>
      </c>
      <c r="V283" s="692" t="s">
        <v>3649</v>
      </c>
      <c r="W283" s="692"/>
      <c r="X283" s="761"/>
      <c r="Z283" s="713"/>
      <c r="AA283" s="10"/>
      <c r="AB283" s="8"/>
      <c r="AC283" s="8"/>
      <c r="AD283" s="8"/>
      <c r="AE283" s="8"/>
      <c r="AF283" s="8"/>
      <c r="AG283" s="8"/>
      <c r="AH283" s="761"/>
      <c r="AI283" s="761"/>
    </row>
    <row r="284" spans="1:35" ht="15.75">
      <c r="A284" s="692" t="s">
        <v>2942</v>
      </c>
      <c r="B284" s="692" t="s">
        <v>910</v>
      </c>
      <c r="D284" s="692" t="s">
        <v>549</v>
      </c>
      <c r="E284" s="692" t="s">
        <v>2924</v>
      </c>
      <c r="F284" s="692" t="s">
        <v>2925</v>
      </c>
      <c r="G284" s="692" t="s">
        <v>117</v>
      </c>
      <c r="H284" s="692" t="s">
        <v>7</v>
      </c>
      <c r="I284" s="692" t="s">
        <v>43</v>
      </c>
      <c r="J284" s="692" t="s">
        <v>13</v>
      </c>
      <c r="K284" s="692" t="s">
        <v>8</v>
      </c>
      <c r="L284" s="692" t="str">
        <f t="shared" si="4"/>
        <v>2-10-06</v>
      </c>
      <c r="M284" s="692"/>
      <c r="N284" s="692"/>
      <c r="O284" s="692"/>
      <c r="P284" s="692" t="s">
        <v>720</v>
      </c>
      <c r="Q284" s="692" t="s">
        <v>4804</v>
      </c>
      <c r="R284" s="692" t="s">
        <v>4242</v>
      </c>
      <c r="S284" s="692">
        <v>24038273</v>
      </c>
      <c r="T284" s="692">
        <v>24038273</v>
      </c>
      <c r="U284" s="692" t="s">
        <v>3905</v>
      </c>
      <c r="V284" s="692" t="s">
        <v>209</v>
      </c>
      <c r="W284" s="692"/>
      <c r="X284" s="761"/>
      <c r="Z284" s="713"/>
      <c r="AA284" s="10"/>
      <c r="AB284" s="8"/>
      <c r="AC284" s="8"/>
      <c r="AD284" s="8"/>
      <c r="AE284" s="8"/>
      <c r="AF284" s="8"/>
      <c r="AG284" s="8"/>
      <c r="AH284" s="761"/>
      <c r="AI284" s="761"/>
    </row>
    <row r="285" spans="1:35" ht="15.75">
      <c r="A285" s="692" t="s">
        <v>2927</v>
      </c>
      <c r="B285" s="692" t="s">
        <v>551</v>
      </c>
      <c r="D285" s="692" t="s">
        <v>550</v>
      </c>
      <c r="E285" s="692" t="s">
        <v>2926</v>
      </c>
      <c r="F285" s="692" t="s">
        <v>5720</v>
      </c>
      <c r="G285" s="692" t="s">
        <v>117</v>
      </c>
      <c r="H285" s="692" t="s">
        <v>8</v>
      </c>
      <c r="I285" s="692" t="s">
        <v>43</v>
      </c>
      <c r="J285" s="692" t="s">
        <v>13</v>
      </c>
      <c r="K285" s="692" t="s">
        <v>9</v>
      </c>
      <c r="L285" s="692" t="str">
        <f t="shared" si="4"/>
        <v>2-10-07</v>
      </c>
      <c r="M285" s="692"/>
      <c r="N285" s="692"/>
      <c r="O285" s="692"/>
      <c r="P285" s="692" t="s">
        <v>60</v>
      </c>
      <c r="Q285" s="692" t="s">
        <v>4804</v>
      </c>
      <c r="R285" s="692" t="s">
        <v>5858</v>
      </c>
      <c r="S285" s="692">
        <v>24691644</v>
      </c>
      <c r="T285" s="692">
        <v>24691442</v>
      </c>
      <c r="U285" s="692" t="s">
        <v>3906</v>
      </c>
      <c r="V285" s="692" t="s">
        <v>4654</v>
      </c>
      <c r="W285" s="692"/>
      <c r="X285" s="761"/>
      <c r="Z285" s="713"/>
      <c r="AA285" s="10"/>
      <c r="AB285" s="8"/>
      <c r="AC285" s="8"/>
      <c r="AD285" s="8"/>
      <c r="AE285" s="8"/>
      <c r="AF285" s="8"/>
      <c r="AG285" s="8"/>
      <c r="AH285" s="761"/>
      <c r="AI285" s="761"/>
    </row>
    <row r="286" spans="1:35" ht="15.75">
      <c r="A286" s="692" t="s">
        <v>2911</v>
      </c>
      <c r="B286" s="692" t="s">
        <v>545</v>
      </c>
      <c r="D286" s="692" t="s">
        <v>551</v>
      </c>
      <c r="E286" s="692" t="s">
        <v>2927</v>
      </c>
      <c r="F286" s="692" t="s">
        <v>4074</v>
      </c>
      <c r="G286" s="692" t="s">
        <v>172</v>
      </c>
      <c r="H286" s="692" t="s">
        <v>5</v>
      </c>
      <c r="I286" s="692" t="s">
        <v>41</v>
      </c>
      <c r="J286" s="692" t="s">
        <v>6</v>
      </c>
      <c r="K286" s="692" t="s">
        <v>12</v>
      </c>
      <c r="L286" s="692" t="str">
        <f t="shared" si="4"/>
        <v>1-04-09</v>
      </c>
      <c r="M286" s="692"/>
      <c r="N286" s="692"/>
      <c r="O286" s="692"/>
      <c r="P286" s="692" t="s">
        <v>1071</v>
      </c>
      <c r="Q286" s="692" t="s">
        <v>4804</v>
      </c>
      <c r="R286" s="692" t="s">
        <v>5765</v>
      </c>
      <c r="S286" s="692"/>
      <c r="T286" s="692"/>
      <c r="U286" s="692" t="s">
        <v>4860</v>
      </c>
      <c r="V286" s="692" t="s">
        <v>4167</v>
      </c>
      <c r="W286" s="692"/>
      <c r="X286" s="761"/>
      <c r="Z286" s="713"/>
      <c r="AA286" s="10"/>
      <c r="AB286" s="8"/>
      <c r="AC286" s="8"/>
      <c r="AD286" s="8"/>
      <c r="AE286" s="8"/>
      <c r="AF286" s="8"/>
      <c r="AG286" s="8"/>
      <c r="AH286" s="761"/>
      <c r="AI286" s="761"/>
    </row>
    <row r="287" spans="1:35" ht="15.75">
      <c r="A287" s="692" t="s">
        <v>2914</v>
      </c>
      <c r="B287" s="692" t="s">
        <v>546</v>
      </c>
      <c r="D287" s="692" t="s">
        <v>557</v>
      </c>
      <c r="E287" s="692" t="s">
        <v>2937</v>
      </c>
      <c r="F287" s="692" t="s">
        <v>2938</v>
      </c>
      <c r="G287" s="692" t="s">
        <v>387</v>
      </c>
      <c r="H287" s="692" t="s">
        <v>12</v>
      </c>
      <c r="I287" s="692" t="s">
        <v>41</v>
      </c>
      <c r="J287" s="692" t="s">
        <v>388</v>
      </c>
      <c r="K287" s="692" t="s">
        <v>7</v>
      </c>
      <c r="L287" s="692" t="str">
        <f t="shared" si="4"/>
        <v>1-19-05</v>
      </c>
      <c r="M287" s="692"/>
      <c r="N287" s="692"/>
      <c r="O287" s="692"/>
      <c r="P287" s="692" t="s">
        <v>230</v>
      </c>
      <c r="Q287" s="692" t="s">
        <v>4804</v>
      </c>
      <c r="R287" s="692" t="s">
        <v>4241</v>
      </c>
      <c r="S287" s="692">
        <v>44033414</v>
      </c>
      <c r="T287" s="692"/>
      <c r="U287" s="692" t="s">
        <v>3650</v>
      </c>
      <c r="V287" s="692" t="s">
        <v>2939</v>
      </c>
      <c r="W287" s="692"/>
      <c r="X287" s="761"/>
      <c r="Z287" s="713"/>
      <c r="AA287" s="10"/>
      <c r="AB287" s="8"/>
      <c r="AC287" s="8"/>
      <c r="AD287" s="8"/>
      <c r="AE287" s="8"/>
      <c r="AF287" s="8"/>
      <c r="AG287" s="8"/>
      <c r="AH287" s="761" t="s">
        <v>4493</v>
      </c>
      <c r="AI287" s="761"/>
    </row>
    <row r="288" spans="1:35" ht="15.75">
      <c r="A288" s="692" t="s">
        <v>2946</v>
      </c>
      <c r="B288" s="692" t="s">
        <v>1169</v>
      </c>
      <c r="D288" s="692" t="s">
        <v>1783</v>
      </c>
      <c r="E288" s="692" t="s">
        <v>2940</v>
      </c>
      <c r="F288" s="692" t="s">
        <v>4075</v>
      </c>
      <c r="G288" s="692" t="s">
        <v>387</v>
      </c>
      <c r="H288" s="692" t="s">
        <v>11</v>
      </c>
      <c r="I288" s="692" t="s">
        <v>41</v>
      </c>
      <c r="J288" s="692" t="s">
        <v>388</v>
      </c>
      <c r="K288" s="692" t="s">
        <v>17</v>
      </c>
      <c r="L288" s="692" t="str">
        <f t="shared" si="4"/>
        <v>1-19-12</v>
      </c>
      <c r="M288" s="692"/>
      <c r="N288" s="692"/>
      <c r="O288" s="692"/>
      <c r="P288" s="692" t="s">
        <v>132</v>
      </c>
      <c r="Q288" s="692" t="s">
        <v>4804</v>
      </c>
      <c r="R288" s="692" t="s">
        <v>5847</v>
      </c>
      <c r="S288" s="692">
        <v>27715964</v>
      </c>
      <c r="T288" s="692">
        <v>27715964</v>
      </c>
      <c r="U288" s="692" t="s">
        <v>3651</v>
      </c>
      <c r="V288" s="692" t="s">
        <v>2941</v>
      </c>
      <c r="W288" s="692"/>
      <c r="X288" s="761"/>
      <c r="Z288" s="713"/>
      <c r="AA288" s="10"/>
      <c r="AB288" s="8"/>
      <c r="AC288" s="8"/>
      <c r="AD288" s="8"/>
      <c r="AE288" s="8"/>
      <c r="AF288" s="8"/>
      <c r="AG288" s="8"/>
      <c r="AH288" s="761"/>
      <c r="AI288" s="761"/>
    </row>
    <row r="289" spans="1:35" ht="15.75">
      <c r="A289" s="692" t="s">
        <v>3048</v>
      </c>
      <c r="B289" s="692" t="s">
        <v>500</v>
      </c>
      <c r="D289" s="692" t="s">
        <v>910</v>
      </c>
      <c r="E289" s="692" t="s">
        <v>2942</v>
      </c>
      <c r="F289" s="692" t="s">
        <v>2943</v>
      </c>
      <c r="G289" s="692" t="s">
        <v>4397</v>
      </c>
      <c r="H289" s="692" t="s">
        <v>17</v>
      </c>
      <c r="I289" s="692" t="s">
        <v>80</v>
      </c>
      <c r="J289" s="692" t="s">
        <v>5</v>
      </c>
      <c r="K289" s="692" t="s">
        <v>5</v>
      </c>
      <c r="L289" s="692" t="str">
        <f t="shared" si="4"/>
        <v>6-03-03</v>
      </c>
      <c r="M289" s="692"/>
      <c r="N289" s="692"/>
      <c r="O289" s="692"/>
      <c r="P289" s="692" t="s">
        <v>2944</v>
      </c>
      <c r="Q289" s="692" t="s">
        <v>4804</v>
      </c>
      <c r="R289" s="692" t="s">
        <v>5756</v>
      </c>
      <c r="S289" s="692">
        <v>83306208</v>
      </c>
      <c r="T289" s="692"/>
      <c r="U289" s="692" t="s">
        <v>3907</v>
      </c>
      <c r="V289" s="692" t="s">
        <v>2945</v>
      </c>
      <c r="W289" s="692"/>
      <c r="X289" s="761"/>
      <c r="Z289" s="713"/>
      <c r="AA289" s="10"/>
      <c r="AB289" s="8"/>
      <c r="AC289" s="8"/>
      <c r="AD289" s="8"/>
      <c r="AE289" s="8"/>
      <c r="AF289" s="8"/>
      <c r="AG289" s="8"/>
      <c r="AH289" s="761"/>
      <c r="AI289" s="761"/>
    </row>
    <row r="290" spans="1:35" ht="15.75">
      <c r="A290" s="692" t="s">
        <v>2953</v>
      </c>
      <c r="B290" s="692" t="s">
        <v>559</v>
      </c>
      <c r="D290" s="692" t="s">
        <v>1169</v>
      </c>
      <c r="E290" s="692" t="s">
        <v>2946</v>
      </c>
      <c r="F290" s="692" t="s">
        <v>2947</v>
      </c>
      <c r="G290" s="692" t="s">
        <v>109</v>
      </c>
      <c r="H290" s="692" t="s">
        <v>7</v>
      </c>
      <c r="I290" s="692" t="s">
        <v>110</v>
      </c>
      <c r="J290" s="692" t="s">
        <v>13</v>
      </c>
      <c r="K290" s="692" t="s">
        <v>6</v>
      </c>
      <c r="L290" s="692" t="str">
        <f t="shared" si="4"/>
        <v>4-10-04</v>
      </c>
      <c r="M290" s="692"/>
      <c r="N290" s="692"/>
      <c r="O290" s="692"/>
      <c r="P290" s="692" t="s">
        <v>742</v>
      </c>
      <c r="Q290" s="692" t="s">
        <v>4804</v>
      </c>
      <c r="R290" s="692" t="s">
        <v>4861</v>
      </c>
      <c r="S290" s="692">
        <v>22005341</v>
      </c>
      <c r="T290" s="692">
        <v>22005341</v>
      </c>
      <c r="U290" s="692" t="s">
        <v>3908</v>
      </c>
      <c r="V290" s="692" t="s">
        <v>415</v>
      </c>
      <c r="W290" s="692"/>
      <c r="X290" s="761"/>
      <c r="Z290" s="713"/>
      <c r="AA290" s="10"/>
      <c r="AB290" s="8"/>
      <c r="AC290" s="8"/>
      <c r="AD290" s="8"/>
      <c r="AE290" s="8"/>
      <c r="AF290" s="8"/>
      <c r="AG290" s="8"/>
      <c r="AH290" s="761"/>
      <c r="AI290" s="761"/>
    </row>
    <row r="291" spans="1:35" ht="15.75">
      <c r="A291" s="692" t="s">
        <v>2905</v>
      </c>
      <c r="B291" s="692" t="s">
        <v>1760</v>
      </c>
      <c r="D291" s="692" t="s">
        <v>1141</v>
      </c>
      <c r="E291" s="692" t="s">
        <v>2949</v>
      </c>
      <c r="F291" s="692" t="s">
        <v>4076</v>
      </c>
      <c r="G291" s="692" t="s">
        <v>109</v>
      </c>
      <c r="H291" s="692" t="s">
        <v>7</v>
      </c>
      <c r="I291" s="692" t="s">
        <v>110</v>
      </c>
      <c r="J291" s="692" t="s">
        <v>13</v>
      </c>
      <c r="K291" s="692" t="s">
        <v>3</v>
      </c>
      <c r="L291" s="692" t="str">
        <f t="shared" si="4"/>
        <v>4-10-01</v>
      </c>
      <c r="M291" s="692"/>
      <c r="N291" s="692"/>
      <c r="O291" s="692"/>
      <c r="P291" s="692" t="s">
        <v>1192</v>
      </c>
      <c r="Q291" s="692" t="s">
        <v>4804</v>
      </c>
      <c r="R291" s="692" t="s">
        <v>4459</v>
      </c>
      <c r="S291" s="692">
        <v>70147671</v>
      </c>
      <c r="T291" s="692"/>
      <c r="U291" s="692" t="s">
        <v>4191</v>
      </c>
      <c r="V291" s="692" t="s">
        <v>4192</v>
      </c>
      <c r="W291" s="692"/>
      <c r="X291" s="761"/>
      <c r="Z291" s="713"/>
      <c r="AA291" s="10"/>
      <c r="AB291" s="8"/>
      <c r="AC291" s="8"/>
      <c r="AD291" s="8"/>
      <c r="AE291" s="8"/>
      <c r="AF291" s="8"/>
      <c r="AG291" s="8"/>
      <c r="AH291" s="761"/>
      <c r="AI291" s="761"/>
    </row>
    <row r="292" spans="1:35" ht="15.75">
      <c r="A292" s="692" t="s">
        <v>3006</v>
      </c>
      <c r="B292" s="692" t="s">
        <v>1075</v>
      </c>
      <c r="D292" s="692" t="s">
        <v>911</v>
      </c>
      <c r="E292" s="692" t="s">
        <v>2950</v>
      </c>
      <c r="F292" s="692" t="s">
        <v>2951</v>
      </c>
      <c r="G292" s="692" t="s">
        <v>109</v>
      </c>
      <c r="H292" s="692" t="s">
        <v>7</v>
      </c>
      <c r="I292" s="692" t="s">
        <v>110</v>
      </c>
      <c r="J292" s="692" t="s">
        <v>13</v>
      </c>
      <c r="K292" s="692" t="s">
        <v>3</v>
      </c>
      <c r="L292" s="692" t="str">
        <f t="shared" si="4"/>
        <v>4-10-01</v>
      </c>
      <c r="M292" s="692"/>
      <c r="N292" s="692"/>
      <c r="O292" s="692"/>
      <c r="P292" s="692" t="s">
        <v>72</v>
      </c>
      <c r="Q292" s="692" t="s">
        <v>4804</v>
      </c>
      <c r="R292" s="692" t="s">
        <v>3568</v>
      </c>
      <c r="S292" s="692">
        <v>44056293</v>
      </c>
      <c r="T292" s="692"/>
      <c r="U292" s="692" t="s">
        <v>3909</v>
      </c>
      <c r="V292" s="692" t="s">
        <v>2952</v>
      </c>
      <c r="W292" s="692"/>
      <c r="X292" s="761"/>
      <c r="Z292" s="713"/>
      <c r="AA292" s="10"/>
      <c r="AB292" s="8"/>
      <c r="AC292" s="8"/>
      <c r="AD292" s="8"/>
      <c r="AE292" s="8"/>
      <c r="AF292" s="8"/>
      <c r="AG292" s="8"/>
      <c r="AH292" s="761"/>
      <c r="AI292" s="761"/>
    </row>
    <row r="293" spans="1:35" ht="15.75">
      <c r="A293" s="692" t="s">
        <v>2988</v>
      </c>
      <c r="B293" s="692" t="s">
        <v>575</v>
      </c>
      <c r="D293" s="692" t="s">
        <v>559</v>
      </c>
      <c r="E293" s="692" t="s">
        <v>2953</v>
      </c>
      <c r="F293" s="692" t="s">
        <v>2954</v>
      </c>
      <c r="G293" s="692" t="s">
        <v>109</v>
      </c>
      <c r="H293" s="692" t="s">
        <v>7</v>
      </c>
      <c r="I293" s="692" t="s">
        <v>110</v>
      </c>
      <c r="J293" s="692" t="s">
        <v>13</v>
      </c>
      <c r="K293" s="692" t="s">
        <v>3</v>
      </c>
      <c r="L293" s="692" t="str">
        <f t="shared" si="4"/>
        <v>4-10-01</v>
      </c>
      <c r="M293" s="692"/>
      <c r="N293" s="692"/>
      <c r="O293" s="692"/>
      <c r="P293" s="692" t="s">
        <v>1170</v>
      </c>
      <c r="Q293" s="692" t="s">
        <v>4804</v>
      </c>
      <c r="R293" s="692" t="s">
        <v>2955</v>
      </c>
      <c r="S293" s="692">
        <v>71599329</v>
      </c>
      <c r="T293" s="692">
        <v>44136634</v>
      </c>
      <c r="U293" s="692" t="s">
        <v>4193</v>
      </c>
      <c r="V293" s="692" t="s">
        <v>2956</v>
      </c>
      <c r="W293" s="692"/>
      <c r="X293" s="761"/>
      <c r="Z293" s="713"/>
      <c r="AA293" s="10"/>
      <c r="AB293" s="8"/>
      <c r="AC293" s="8"/>
      <c r="AD293" s="8"/>
      <c r="AE293" s="8"/>
      <c r="AF293" s="8"/>
      <c r="AG293" s="8"/>
      <c r="AH293" s="761"/>
      <c r="AI293" s="761"/>
    </row>
    <row r="294" spans="1:35" ht="15.75">
      <c r="A294" s="692" t="s">
        <v>2960</v>
      </c>
      <c r="B294" s="692" t="s">
        <v>563</v>
      </c>
      <c r="D294" s="692" t="s">
        <v>562</v>
      </c>
      <c r="E294" s="692" t="s">
        <v>2958</v>
      </c>
      <c r="F294" s="692" t="s">
        <v>2959</v>
      </c>
      <c r="G294" s="692" t="s">
        <v>5729</v>
      </c>
      <c r="H294" s="692" t="s">
        <v>11</v>
      </c>
      <c r="I294" s="692" t="s">
        <v>68</v>
      </c>
      <c r="J294" s="692" t="s">
        <v>6</v>
      </c>
      <c r="K294" s="692" t="s">
        <v>3</v>
      </c>
      <c r="L294" s="692" t="str">
        <f t="shared" si="4"/>
        <v>7-04-01</v>
      </c>
      <c r="M294" s="692"/>
      <c r="N294" s="692"/>
      <c r="O294" s="692"/>
      <c r="P294" s="692" t="s">
        <v>751</v>
      </c>
      <c r="Q294" s="692" t="s">
        <v>4804</v>
      </c>
      <c r="R294" s="692" t="s">
        <v>5782</v>
      </c>
      <c r="S294" s="692">
        <v>27502027</v>
      </c>
      <c r="T294" s="692">
        <v>27502027</v>
      </c>
      <c r="U294" s="692" t="s">
        <v>5783</v>
      </c>
      <c r="V294" s="692" t="s">
        <v>5784</v>
      </c>
      <c r="W294" s="692"/>
      <c r="X294" s="761"/>
      <c r="Z294" s="713"/>
      <c r="AA294" s="10"/>
      <c r="AB294" s="8"/>
      <c r="AC294" s="8"/>
      <c r="AD294" s="8"/>
      <c r="AE294" s="8"/>
      <c r="AF294" s="8"/>
      <c r="AG294" s="8"/>
      <c r="AH294" s="761"/>
      <c r="AI294" s="761"/>
    </row>
    <row r="295" spans="1:35" ht="15.75">
      <c r="A295" s="692" t="s">
        <v>3028</v>
      </c>
      <c r="B295" s="692" t="s">
        <v>355</v>
      </c>
      <c r="D295" s="692" t="s">
        <v>563</v>
      </c>
      <c r="E295" s="692" t="s">
        <v>2960</v>
      </c>
      <c r="F295" s="692" t="s">
        <v>3507</v>
      </c>
      <c r="G295" s="692" t="s">
        <v>117</v>
      </c>
      <c r="H295" s="692" t="s">
        <v>12</v>
      </c>
      <c r="I295" s="692" t="s">
        <v>43</v>
      </c>
      <c r="J295" s="692" t="s">
        <v>118</v>
      </c>
      <c r="K295" s="692" t="s">
        <v>3</v>
      </c>
      <c r="L295" s="692" t="str">
        <f t="shared" si="4"/>
        <v>2-14-01</v>
      </c>
      <c r="M295" s="692"/>
      <c r="N295" s="692"/>
      <c r="O295" s="692"/>
      <c r="P295" s="692" t="s">
        <v>743</v>
      </c>
      <c r="Q295" s="692" t="s">
        <v>4804</v>
      </c>
      <c r="R295" s="692" t="s">
        <v>4862</v>
      </c>
      <c r="S295" s="692">
        <v>41051025</v>
      </c>
      <c r="T295" s="692">
        <v>62132258</v>
      </c>
      <c r="U295" s="692" t="s">
        <v>4194</v>
      </c>
      <c r="V295" s="692" t="s">
        <v>4195</v>
      </c>
      <c r="W295" s="692"/>
      <c r="X295" s="761"/>
      <c r="Z295" s="713"/>
      <c r="AA295" s="10"/>
      <c r="AB295" s="8"/>
      <c r="AC295" s="8"/>
      <c r="AD295" s="8"/>
      <c r="AE295" s="8"/>
      <c r="AF295" s="8"/>
      <c r="AG295" s="8"/>
      <c r="AH295" s="761"/>
      <c r="AI295" s="761"/>
    </row>
    <row r="296" spans="1:35" ht="15.75">
      <c r="A296" s="692" t="s">
        <v>2982</v>
      </c>
      <c r="B296" s="692" t="s">
        <v>572</v>
      </c>
      <c r="D296" s="692" t="s">
        <v>564</v>
      </c>
      <c r="E296" s="692" t="s">
        <v>2961</v>
      </c>
      <c r="F296" s="692" t="s">
        <v>2962</v>
      </c>
      <c r="G296" s="692" t="s">
        <v>117</v>
      </c>
      <c r="H296" s="692" t="s">
        <v>18</v>
      </c>
      <c r="I296" s="692" t="s">
        <v>43</v>
      </c>
      <c r="J296" s="692" t="s">
        <v>13</v>
      </c>
      <c r="K296" s="692" t="s">
        <v>18</v>
      </c>
      <c r="L296" s="692" t="str">
        <f t="shared" si="4"/>
        <v>2-10-13</v>
      </c>
      <c r="M296" s="692"/>
      <c r="N296" s="692"/>
      <c r="O296" s="692"/>
      <c r="P296" s="692" t="s">
        <v>453</v>
      </c>
      <c r="Q296" s="692" t="s">
        <v>4804</v>
      </c>
      <c r="R296" s="692" t="s">
        <v>4863</v>
      </c>
      <c r="S296" s="692">
        <v>73006433</v>
      </c>
      <c r="T296" s="692"/>
      <c r="U296" s="692" t="s">
        <v>3910</v>
      </c>
      <c r="V296" s="692" t="s">
        <v>2963</v>
      </c>
      <c r="W296" s="692"/>
      <c r="X296" s="761"/>
      <c r="Z296" s="713"/>
      <c r="AA296" s="10"/>
      <c r="AB296" s="8"/>
      <c r="AC296" s="8"/>
      <c r="AD296" s="8"/>
      <c r="AE296" s="8"/>
      <c r="AF296" s="8"/>
      <c r="AG296" s="8"/>
      <c r="AH296" s="761"/>
      <c r="AI296" s="761"/>
    </row>
    <row r="297" spans="1:35" ht="15.75">
      <c r="A297" s="692" t="s">
        <v>2979</v>
      </c>
      <c r="B297" s="692" t="s">
        <v>571</v>
      </c>
      <c r="D297" s="692" t="s">
        <v>565</v>
      </c>
      <c r="E297" s="692" t="s">
        <v>2964</v>
      </c>
      <c r="F297" s="692" t="s">
        <v>2965</v>
      </c>
      <c r="G297" s="692" t="s">
        <v>125</v>
      </c>
      <c r="H297" s="692" t="s">
        <v>8</v>
      </c>
      <c r="I297" s="692" t="s">
        <v>126</v>
      </c>
      <c r="J297" s="692" t="s">
        <v>7</v>
      </c>
      <c r="K297" s="692" t="s">
        <v>5</v>
      </c>
      <c r="L297" s="692" t="str">
        <f t="shared" si="4"/>
        <v>5-05-03</v>
      </c>
      <c r="M297" s="692"/>
      <c r="N297" s="692"/>
      <c r="O297" s="692"/>
      <c r="P297" s="692" t="s">
        <v>1195</v>
      </c>
      <c r="Q297" s="692" t="s">
        <v>4804</v>
      </c>
      <c r="R297" s="692" t="s">
        <v>5866</v>
      </c>
      <c r="S297" s="692">
        <v>26701597</v>
      </c>
      <c r="T297" s="692">
        <v>26701597</v>
      </c>
      <c r="U297" s="692" t="s">
        <v>3652</v>
      </c>
      <c r="V297" s="692" t="s">
        <v>2966</v>
      </c>
      <c r="W297" s="692"/>
      <c r="X297" s="761"/>
      <c r="Z297" s="713"/>
      <c r="AA297" s="10"/>
      <c r="AB297" s="8"/>
      <c r="AC297" s="8"/>
      <c r="AD297" s="8"/>
      <c r="AE297" s="8"/>
      <c r="AF297" s="8"/>
      <c r="AG297" s="8"/>
      <c r="AH297" s="761"/>
      <c r="AI297" s="761"/>
    </row>
    <row r="298" spans="1:35" ht="15.75">
      <c r="A298" s="692" t="s">
        <v>2973</v>
      </c>
      <c r="B298" s="692" t="s">
        <v>912</v>
      </c>
      <c r="D298" s="692" t="s">
        <v>566</v>
      </c>
      <c r="E298" s="692" t="s">
        <v>2967</v>
      </c>
      <c r="F298" s="692" t="s">
        <v>2968</v>
      </c>
      <c r="G298" s="692" t="s">
        <v>4397</v>
      </c>
      <c r="H298" s="692" t="s">
        <v>4</v>
      </c>
      <c r="I298" s="692" t="s">
        <v>80</v>
      </c>
      <c r="J298" s="692" t="s">
        <v>5</v>
      </c>
      <c r="K298" s="692" t="s">
        <v>12</v>
      </c>
      <c r="L298" s="692" t="str">
        <f t="shared" si="4"/>
        <v>6-03-09</v>
      </c>
      <c r="M298" s="692"/>
      <c r="N298" s="692"/>
      <c r="O298" s="692"/>
      <c r="P298" s="692" t="s">
        <v>76</v>
      </c>
      <c r="Q298" s="692" t="s">
        <v>4804</v>
      </c>
      <c r="R298" s="692" t="s">
        <v>4647</v>
      </c>
      <c r="S298" s="692">
        <v>27302700</v>
      </c>
      <c r="T298" s="692">
        <v>27302700</v>
      </c>
      <c r="U298" s="692" t="s">
        <v>4196</v>
      </c>
      <c r="V298" s="692" t="s">
        <v>2969</v>
      </c>
      <c r="W298" s="692"/>
      <c r="X298" s="761"/>
      <c r="Z298" s="713"/>
      <c r="AA298" s="10"/>
      <c r="AB298" s="8"/>
      <c r="AC298" s="8"/>
      <c r="AD298" s="8"/>
      <c r="AE298" s="8"/>
      <c r="AF298" s="8"/>
      <c r="AG298" s="8"/>
      <c r="AH298" s="761"/>
      <c r="AI298" s="761"/>
    </row>
    <row r="299" spans="1:35" ht="15.75">
      <c r="A299" s="692" t="s">
        <v>2970</v>
      </c>
      <c r="B299" s="692" t="s">
        <v>568</v>
      </c>
      <c r="D299" s="692" t="s">
        <v>568</v>
      </c>
      <c r="E299" s="692" t="s">
        <v>2970</v>
      </c>
      <c r="F299" s="692" t="s">
        <v>2971</v>
      </c>
      <c r="G299" s="692" t="s">
        <v>4397</v>
      </c>
      <c r="H299" s="692" t="s">
        <v>17</v>
      </c>
      <c r="I299" s="692" t="s">
        <v>80</v>
      </c>
      <c r="J299" s="692" t="s">
        <v>5</v>
      </c>
      <c r="K299" s="692" t="s">
        <v>3</v>
      </c>
      <c r="L299" s="692" t="str">
        <f t="shared" si="4"/>
        <v>6-03-01</v>
      </c>
      <c r="M299" s="692"/>
      <c r="N299" s="692"/>
      <c r="O299" s="692"/>
      <c r="P299" s="692" t="s">
        <v>1182</v>
      </c>
      <c r="Q299" s="692" t="s">
        <v>4804</v>
      </c>
      <c r="R299" s="692" t="s">
        <v>4197</v>
      </c>
      <c r="S299" s="692">
        <v>27305078</v>
      </c>
      <c r="T299" s="692"/>
      <c r="U299" s="692" t="s">
        <v>4198</v>
      </c>
      <c r="V299" s="692" t="s">
        <v>2972</v>
      </c>
      <c r="W299" s="692"/>
      <c r="X299" s="761"/>
      <c r="Z299" s="713"/>
      <c r="AA299" s="10"/>
      <c r="AB299" s="8"/>
      <c r="AC299" s="8"/>
      <c r="AD299" s="8"/>
      <c r="AE299" s="8"/>
      <c r="AF299" s="8"/>
      <c r="AG299" s="8"/>
      <c r="AH299" s="761"/>
      <c r="AI299" s="761"/>
    </row>
    <row r="300" spans="1:35" ht="15.75">
      <c r="A300" s="692" t="s">
        <v>3038</v>
      </c>
      <c r="B300" s="692" t="s">
        <v>442</v>
      </c>
      <c r="D300" s="692" t="s">
        <v>912</v>
      </c>
      <c r="E300" s="692" t="s">
        <v>2973</v>
      </c>
      <c r="F300" s="692" t="s">
        <v>2837</v>
      </c>
      <c r="G300" s="692" t="s">
        <v>79</v>
      </c>
      <c r="H300" s="692" t="s">
        <v>18</v>
      </c>
      <c r="I300" s="692" t="s">
        <v>80</v>
      </c>
      <c r="J300" s="692" t="s">
        <v>13</v>
      </c>
      <c r="K300" s="692" t="s">
        <v>3</v>
      </c>
      <c r="L300" s="692" t="str">
        <f t="shared" si="4"/>
        <v>6-10-01</v>
      </c>
      <c r="M300" s="692"/>
      <c r="N300" s="692"/>
      <c r="O300" s="692"/>
      <c r="P300" s="692" t="s">
        <v>2974</v>
      </c>
      <c r="Q300" s="692" t="s">
        <v>4804</v>
      </c>
      <c r="R300" s="692" t="s">
        <v>4199</v>
      </c>
      <c r="S300" s="692">
        <v>87484223</v>
      </c>
      <c r="T300" s="692"/>
      <c r="U300" s="692" t="s">
        <v>3911</v>
      </c>
      <c r="V300" s="692" t="s">
        <v>395</v>
      </c>
      <c r="W300" s="692"/>
      <c r="X300" s="761"/>
      <c r="Z300" s="713"/>
      <c r="AA300" s="10"/>
      <c r="AB300" s="8"/>
      <c r="AC300" s="8"/>
      <c r="AD300" s="8"/>
      <c r="AE300" s="8"/>
      <c r="AF300" s="8"/>
      <c r="AG300" s="8"/>
      <c r="AH300" s="761"/>
      <c r="AI300" s="761"/>
    </row>
    <row r="301" spans="1:35" ht="15.75">
      <c r="A301" s="692" t="s">
        <v>3010</v>
      </c>
      <c r="B301" s="692" t="s">
        <v>423</v>
      </c>
      <c r="D301" s="692" t="s">
        <v>569</v>
      </c>
      <c r="E301" s="692" t="s">
        <v>2975</v>
      </c>
      <c r="F301" s="692" t="s">
        <v>2976</v>
      </c>
      <c r="G301" s="692" t="s">
        <v>65</v>
      </c>
      <c r="H301" s="692" t="s">
        <v>11</v>
      </c>
      <c r="I301" s="692" t="s">
        <v>43</v>
      </c>
      <c r="J301" s="692" t="s">
        <v>8</v>
      </c>
      <c r="K301" s="692" t="s">
        <v>3</v>
      </c>
      <c r="L301" s="692" t="str">
        <f t="shared" si="4"/>
        <v>2-06-01</v>
      </c>
      <c r="M301" s="692"/>
      <c r="N301" s="692"/>
      <c r="O301" s="692"/>
      <c r="P301" s="692" t="s">
        <v>687</v>
      </c>
      <c r="Q301" s="692" t="s">
        <v>4804</v>
      </c>
      <c r="R301" s="692" t="s">
        <v>2977</v>
      </c>
      <c r="S301" s="692">
        <v>24504950</v>
      </c>
      <c r="T301" s="692">
        <v>24510307</v>
      </c>
      <c r="U301" s="692" t="s">
        <v>4460</v>
      </c>
      <c r="V301" s="692" t="s">
        <v>2978</v>
      </c>
      <c r="W301" s="692"/>
      <c r="X301" s="761" t="s">
        <v>399</v>
      </c>
      <c r="Z301" s="713"/>
      <c r="AA301" s="10"/>
      <c r="AB301" s="8"/>
      <c r="AC301" s="8"/>
      <c r="AD301" s="8"/>
      <c r="AE301" s="8"/>
      <c r="AF301" s="8"/>
      <c r="AG301" s="8"/>
      <c r="AH301" s="761"/>
      <c r="AI301" s="761"/>
    </row>
    <row r="302" spans="1:35" ht="15.75">
      <c r="A302" s="692" t="s">
        <v>2984</v>
      </c>
      <c r="B302" s="692" t="s">
        <v>573</v>
      </c>
      <c r="D302" s="692" t="s">
        <v>571</v>
      </c>
      <c r="E302" s="692" t="s">
        <v>2979</v>
      </c>
      <c r="F302" s="692" t="s">
        <v>2980</v>
      </c>
      <c r="G302" s="692" t="s">
        <v>216</v>
      </c>
      <c r="H302" s="692" t="s">
        <v>5</v>
      </c>
      <c r="I302" s="692" t="s">
        <v>41</v>
      </c>
      <c r="J302" s="692" t="s">
        <v>752</v>
      </c>
      <c r="K302" s="692" t="s">
        <v>7</v>
      </c>
      <c r="L302" s="692" t="str">
        <f t="shared" si="4"/>
        <v>1-20-05</v>
      </c>
      <c r="M302" s="692"/>
      <c r="N302" s="692"/>
      <c r="O302" s="692"/>
      <c r="P302" s="692" t="s">
        <v>125</v>
      </c>
      <c r="Q302" s="692" t="s">
        <v>4804</v>
      </c>
      <c r="R302" s="692" t="s">
        <v>5755</v>
      </c>
      <c r="S302" s="692">
        <v>25440248</v>
      </c>
      <c r="T302" s="692">
        <v>25441512</v>
      </c>
      <c r="U302" s="692" t="s">
        <v>4200</v>
      </c>
      <c r="V302" s="692" t="s">
        <v>2981</v>
      </c>
      <c r="W302" s="692"/>
      <c r="X302" s="761"/>
      <c r="Z302" s="713"/>
      <c r="AA302" s="10"/>
      <c r="AB302" s="8"/>
      <c r="AC302" s="8"/>
      <c r="AD302" s="8"/>
      <c r="AE302" s="8"/>
      <c r="AF302" s="8"/>
      <c r="AG302" s="8"/>
      <c r="AH302" s="761"/>
      <c r="AI302" s="761"/>
    </row>
    <row r="303" spans="1:35" ht="15.75">
      <c r="A303" s="692" t="s">
        <v>2958</v>
      </c>
      <c r="B303" s="692" t="s">
        <v>562</v>
      </c>
      <c r="D303" s="692" t="s">
        <v>572</v>
      </c>
      <c r="E303" s="692" t="s">
        <v>2982</v>
      </c>
      <c r="F303" s="692" t="s">
        <v>2983</v>
      </c>
      <c r="G303" s="692" t="s">
        <v>216</v>
      </c>
      <c r="H303" s="692" t="s">
        <v>5</v>
      </c>
      <c r="I303" s="692" t="s">
        <v>41</v>
      </c>
      <c r="J303" s="692" t="s">
        <v>752</v>
      </c>
      <c r="K303" s="692" t="s">
        <v>4</v>
      </c>
      <c r="L303" s="692" t="str">
        <f t="shared" si="4"/>
        <v>1-20-02</v>
      </c>
      <c r="M303" s="692"/>
      <c r="N303" s="692"/>
      <c r="O303" s="692"/>
      <c r="P303" s="692" t="s">
        <v>735</v>
      </c>
      <c r="Q303" s="692" t="s">
        <v>4804</v>
      </c>
      <c r="R303" s="692" t="s">
        <v>4461</v>
      </c>
      <c r="S303" s="692">
        <v>88278807</v>
      </c>
      <c r="T303" s="692">
        <v>25442281</v>
      </c>
      <c r="U303" s="692" t="s">
        <v>4201</v>
      </c>
      <c r="V303" s="692" t="s">
        <v>4462</v>
      </c>
      <c r="W303" s="692"/>
      <c r="X303" s="761"/>
      <c r="Z303" s="713"/>
      <c r="AA303" s="10"/>
      <c r="AB303" s="8"/>
      <c r="AC303" s="8"/>
      <c r="AD303" s="8"/>
      <c r="AE303" s="8"/>
      <c r="AF303" s="8"/>
      <c r="AG303" s="8"/>
      <c r="AH303" s="761"/>
      <c r="AI303" s="761"/>
    </row>
    <row r="304" spans="1:35" ht="15.75">
      <c r="A304" s="692" t="s">
        <v>3025</v>
      </c>
      <c r="B304" s="692" t="s">
        <v>1077</v>
      </c>
      <c r="D304" s="692" t="s">
        <v>573</v>
      </c>
      <c r="E304" s="692" t="s">
        <v>2984</v>
      </c>
      <c r="F304" s="692" t="s">
        <v>2985</v>
      </c>
      <c r="G304" s="692" t="s">
        <v>109</v>
      </c>
      <c r="H304" s="692" t="s">
        <v>7</v>
      </c>
      <c r="I304" s="692" t="s">
        <v>110</v>
      </c>
      <c r="J304" s="692" t="s">
        <v>13</v>
      </c>
      <c r="K304" s="692" t="s">
        <v>3</v>
      </c>
      <c r="L304" s="692" t="str">
        <f t="shared" si="4"/>
        <v>4-10-01</v>
      </c>
      <c r="M304" s="692"/>
      <c r="N304" s="692"/>
      <c r="O304" s="692"/>
      <c r="P304" s="692" t="s">
        <v>782</v>
      </c>
      <c r="Q304" s="692" t="s">
        <v>4804</v>
      </c>
      <c r="R304" s="692" t="s">
        <v>5769</v>
      </c>
      <c r="S304" s="692">
        <v>41117962</v>
      </c>
      <c r="T304" s="692"/>
      <c r="U304" s="692" t="s">
        <v>5770</v>
      </c>
      <c r="V304" s="692" t="s">
        <v>2986</v>
      </c>
      <c r="W304" s="692"/>
      <c r="X304" s="761"/>
      <c r="Z304" s="713"/>
      <c r="AA304" s="10"/>
      <c r="AB304" s="8"/>
      <c r="AC304" s="8"/>
      <c r="AD304" s="8"/>
      <c r="AE304" s="8"/>
      <c r="AF304" s="8"/>
      <c r="AG304" s="8"/>
      <c r="AH304" s="761"/>
      <c r="AI304" s="761"/>
    </row>
    <row r="305" spans="1:35" ht="15.75">
      <c r="A305" s="692" t="s">
        <v>3022</v>
      </c>
      <c r="B305" s="692" t="s">
        <v>432</v>
      </c>
      <c r="D305" s="692" t="s">
        <v>574</v>
      </c>
      <c r="E305" s="692" t="s">
        <v>2987</v>
      </c>
      <c r="F305" s="692" t="s">
        <v>5617</v>
      </c>
      <c r="G305" s="692" t="s">
        <v>750</v>
      </c>
      <c r="H305" s="692" t="s">
        <v>9</v>
      </c>
      <c r="I305" s="692" t="s">
        <v>68</v>
      </c>
      <c r="J305" s="692" t="s">
        <v>8</v>
      </c>
      <c r="K305" s="692" t="s">
        <v>6</v>
      </c>
      <c r="L305" s="692" t="str">
        <f t="shared" si="4"/>
        <v>7-06-04</v>
      </c>
      <c r="M305" s="692"/>
      <c r="N305" s="692"/>
      <c r="O305" s="692"/>
      <c r="P305" s="692" t="s">
        <v>5703</v>
      </c>
      <c r="Q305" s="692" t="s">
        <v>4804</v>
      </c>
      <c r="R305" s="692" t="s">
        <v>5855</v>
      </c>
      <c r="S305" s="692">
        <v>27621112</v>
      </c>
      <c r="T305" s="692"/>
      <c r="U305" s="692" t="s">
        <v>3653</v>
      </c>
      <c r="V305" s="692" t="s">
        <v>5618</v>
      </c>
      <c r="W305" s="692"/>
      <c r="X305" s="761"/>
      <c r="Z305" s="713"/>
      <c r="AA305" s="10"/>
      <c r="AB305" s="8"/>
      <c r="AC305" s="8"/>
      <c r="AD305" s="8"/>
      <c r="AE305" s="8"/>
      <c r="AF305" s="8"/>
      <c r="AG305" s="8"/>
      <c r="AH305" s="761"/>
      <c r="AI305" s="761"/>
    </row>
    <row r="306" spans="1:35" ht="15.75">
      <c r="A306" s="692" t="s">
        <v>3032</v>
      </c>
      <c r="B306" s="692" t="s">
        <v>438</v>
      </c>
      <c r="D306" s="692" t="s">
        <v>575</v>
      </c>
      <c r="E306" s="692" t="s">
        <v>2988</v>
      </c>
      <c r="F306" s="692" t="s">
        <v>4077</v>
      </c>
      <c r="G306" s="692" t="s">
        <v>5730</v>
      </c>
      <c r="H306" s="692" t="s">
        <v>11</v>
      </c>
      <c r="I306" s="692" t="s">
        <v>43</v>
      </c>
      <c r="J306" s="692" t="s">
        <v>18</v>
      </c>
      <c r="K306" s="692" t="s">
        <v>3</v>
      </c>
      <c r="L306" s="692" t="str">
        <f t="shared" si="4"/>
        <v>2-13-01</v>
      </c>
      <c r="M306" s="692"/>
      <c r="N306" s="692"/>
      <c r="O306" s="692"/>
      <c r="P306" s="692" t="s">
        <v>2989</v>
      </c>
      <c r="Q306" s="692" t="s">
        <v>4804</v>
      </c>
      <c r="R306" s="692" t="s">
        <v>5766</v>
      </c>
      <c r="S306" s="692">
        <v>44056298</v>
      </c>
      <c r="T306" s="692">
        <v>24708340</v>
      </c>
      <c r="U306" s="692" t="s">
        <v>4202</v>
      </c>
      <c r="V306" s="692" t="s">
        <v>4203</v>
      </c>
      <c r="W306" s="692"/>
      <c r="X306" s="761"/>
      <c r="Z306" s="713"/>
      <c r="AA306" s="10"/>
      <c r="AB306" s="8"/>
      <c r="AC306" s="8"/>
      <c r="AD306" s="8"/>
      <c r="AE306" s="8"/>
      <c r="AF306" s="8"/>
      <c r="AG306" s="8"/>
      <c r="AH306" s="761"/>
      <c r="AI306" s="761"/>
    </row>
    <row r="307" spans="1:35" ht="15.75">
      <c r="A307" s="692" t="s">
        <v>3015</v>
      </c>
      <c r="B307" s="692" t="s">
        <v>421</v>
      </c>
      <c r="D307" s="692" t="s">
        <v>1181</v>
      </c>
      <c r="E307" s="692" t="s">
        <v>2990</v>
      </c>
      <c r="F307" s="692" t="s">
        <v>2991</v>
      </c>
      <c r="G307" s="692" t="s">
        <v>5730</v>
      </c>
      <c r="H307" s="692" t="s">
        <v>11</v>
      </c>
      <c r="I307" s="692" t="s">
        <v>43</v>
      </c>
      <c r="J307" s="692" t="s">
        <v>18</v>
      </c>
      <c r="K307" s="692" t="s">
        <v>3</v>
      </c>
      <c r="L307" s="692" t="str">
        <f t="shared" si="4"/>
        <v>2-13-01</v>
      </c>
      <c r="M307" s="692"/>
      <c r="N307" s="692"/>
      <c r="O307" s="692"/>
      <c r="P307" s="692" t="s">
        <v>815</v>
      </c>
      <c r="Q307" s="692" t="s">
        <v>4804</v>
      </c>
      <c r="R307" s="692" t="s">
        <v>2992</v>
      </c>
      <c r="S307" s="692">
        <v>24708386</v>
      </c>
      <c r="T307" s="692">
        <v>24708386</v>
      </c>
      <c r="U307" s="692" t="s">
        <v>3912</v>
      </c>
      <c r="V307" s="692" t="s">
        <v>2993</v>
      </c>
      <c r="W307" s="692"/>
      <c r="X307" s="761"/>
      <c r="Z307" s="713"/>
      <c r="AA307" s="10"/>
      <c r="AB307" s="8"/>
      <c r="AC307" s="8"/>
      <c r="AD307" s="8"/>
      <c r="AE307" s="8"/>
      <c r="AF307" s="8"/>
      <c r="AG307" s="8"/>
      <c r="AH307" s="761"/>
      <c r="AI307" s="761"/>
    </row>
    <row r="308" spans="1:35" ht="15.75">
      <c r="A308" s="692" t="s">
        <v>3011</v>
      </c>
      <c r="B308" s="692" t="s">
        <v>420</v>
      </c>
      <c r="D308" s="692" t="s">
        <v>576</v>
      </c>
      <c r="E308" s="692" t="s">
        <v>2994</v>
      </c>
      <c r="F308" s="692" t="s">
        <v>2995</v>
      </c>
      <c r="G308" s="692" t="s">
        <v>5730</v>
      </c>
      <c r="H308" s="692" t="s">
        <v>9</v>
      </c>
      <c r="I308" s="692" t="s">
        <v>43</v>
      </c>
      <c r="J308" s="692" t="s">
        <v>18</v>
      </c>
      <c r="K308" s="692" t="s">
        <v>5</v>
      </c>
      <c r="L308" s="692" t="str">
        <f t="shared" si="4"/>
        <v>2-13-03</v>
      </c>
      <c r="M308" s="692"/>
      <c r="N308" s="692"/>
      <c r="O308" s="692"/>
      <c r="P308" s="692" t="s">
        <v>2996</v>
      </c>
      <c r="Q308" s="692" t="s">
        <v>4804</v>
      </c>
      <c r="R308" s="692" t="s">
        <v>2997</v>
      </c>
      <c r="S308" s="692">
        <v>72969041</v>
      </c>
      <c r="T308" s="692">
        <v>24702897</v>
      </c>
      <c r="U308" s="692" t="s">
        <v>3654</v>
      </c>
      <c r="V308" s="692" t="s">
        <v>3913</v>
      </c>
      <c r="W308" s="692"/>
      <c r="X308" s="761"/>
      <c r="Z308" s="713"/>
      <c r="AA308" s="10"/>
      <c r="AB308" s="8"/>
      <c r="AC308" s="8"/>
      <c r="AD308" s="8"/>
      <c r="AE308" s="8"/>
      <c r="AF308" s="8"/>
      <c r="AG308" s="8"/>
      <c r="AH308" s="761"/>
      <c r="AI308" s="761"/>
    </row>
    <row r="309" spans="1:35" ht="15.75">
      <c r="A309" s="692" t="s">
        <v>2990</v>
      </c>
      <c r="B309" s="692" t="s">
        <v>1181</v>
      </c>
      <c r="D309" s="692" t="s">
        <v>578</v>
      </c>
      <c r="E309" s="692" t="s">
        <v>2998</v>
      </c>
      <c r="F309" s="692" t="s">
        <v>2999</v>
      </c>
      <c r="G309" s="692" t="s">
        <v>5730</v>
      </c>
      <c r="H309" s="692" t="s">
        <v>4</v>
      </c>
      <c r="I309" s="692" t="s">
        <v>43</v>
      </c>
      <c r="J309" s="692" t="s">
        <v>18</v>
      </c>
      <c r="K309" s="692" t="s">
        <v>4</v>
      </c>
      <c r="L309" s="692" t="str">
        <f t="shared" si="4"/>
        <v>2-13-02</v>
      </c>
      <c r="M309" s="692"/>
      <c r="N309" s="692"/>
      <c r="O309" s="692"/>
      <c r="P309" s="692" t="s">
        <v>785</v>
      </c>
      <c r="Q309" s="692" t="s">
        <v>4804</v>
      </c>
      <c r="R309" s="692" t="s">
        <v>4463</v>
      </c>
      <c r="S309" s="692">
        <v>24660117</v>
      </c>
      <c r="T309" s="692">
        <v>24660117</v>
      </c>
      <c r="U309" s="692" t="s">
        <v>4204</v>
      </c>
      <c r="V309" s="692" t="s">
        <v>5619</v>
      </c>
      <c r="W309" s="692"/>
      <c r="X309" s="761"/>
      <c r="Z309" s="713"/>
      <c r="AA309" s="10"/>
      <c r="AB309" s="8"/>
      <c r="AC309" s="8"/>
      <c r="AD309" s="8"/>
      <c r="AE309" s="8"/>
      <c r="AF309" s="8"/>
      <c r="AG309" s="8"/>
      <c r="AH309" s="761"/>
      <c r="AI309" s="761"/>
    </row>
    <row r="310" spans="1:35" ht="15.75">
      <c r="A310" s="692" t="s">
        <v>2994</v>
      </c>
      <c r="B310" s="692" t="s">
        <v>576</v>
      </c>
      <c r="D310" s="692" t="s">
        <v>579</v>
      </c>
      <c r="E310" s="692" t="s">
        <v>3000</v>
      </c>
      <c r="F310" s="692" t="s">
        <v>3001</v>
      </c>
      <c r="G310" s="692" t="s">
        <v>298</v>
      </c>
      <c r="H310" s="692" t="s">
        <v>7</v>
      </c>
      <c r="I310" s="692" t="s">
        <v>126</v>
      </c>
      <c r="J310" s="692" t="s">
        <v>13</v>
      </c>
      <c r="K310" s="692" t="s">
        <v>4</v>
      </c>
      <c r="L310" s="692" t="str">
        <f t="shared" si="4"/>
        <v>5-10-02</v>
      </c>
      <c r="M310" s="692"/>
      <c r="N310" s="692"/>
      <c r="O310" s="692"/>
      <c r="P310" s="692" t="s">
        <v>793</v>
      </c>
      <c r="Q310" s="692" t="s">
        <v>4804</v>
      </c>
      <c r="R310" s="692" t="s">
        <v>5761</v>
      </c>
      <c r="S310" s="692">
        <v>22025250</v>
      </c>
      <c r="T310" s="692"/>
      <c r="U310" s="692" t="s">
        <v>3655</v>
      </c>
      <c r="V310" s="692" t="s">
        <v>3002</v>
      </c>
      <c r="W310" s="692"/>
      <c r="X310" s="761"/>
      <c r="Z310" s="713"/>
      <c r="AA310" s="10"/>
      <c r="AB310" s="8"/>
      <c r="AC310" s="8"/>
      <c r="AD310" s="8"/>
      <c r="AE310" s="8"/>
      <c r="AF310" s="8"/>
      <c r="AG310" s="8"/>
      <c r="AH310" s="761"/>
      <c r="AI310" s="761"/>
    </row>
    <row r="311" spans="1:35" ht="15.75">
      <c r="A311" s="692" t="s">
        <v>2998</v>
      </c>
      <c r="B311" s="692" t="s">
        <v>578</v>
      </c>
      <c r="D311" s="692" t="s">
        <v>580</v>
      </c>
      <c r="E311" s="692" t="s">
        <v>3003</v>
      </c>
      <c r="F311" s="692" t="s">
        <v>3004</v>
      </c>
      <c r="G311" s="692" t="s">
        <v>5730</v>
      </c>
      <c r="H311" s="692" t="s">
        <v>9</v>
      </c>
      <c r="I311" s="692" t="s">
        <v>43</v>
      </c>
      <c r="J311" s="692" t="s">
        <v>18</v>
      </c>
      <c r="K311" s="692" t="s">
        <v>8</v>
      </c>
      <c r="L311" s="692" t="str">
        <f t="shared" si="4"/>
        <v>2-13-06</v>
      </c>
      <c r="M311" s="692"/>
      <c r="N311" s="692"/>
      <c r="O311" s="692"/>
      <c r="P311" s="692" t="s">
        <v>3005</v>
      </c>
      <c r="Q311" s="692" t="s">
        <v>4804</v>
      </c>
      <c r="R311" s="692" t="s">
        <v>3914</v>
      </c>
      <c r="S311" s="692">
        <v>72964516</v>
      </c>
      <c r="T311" s="692">
        <v>24702822</v>
      </c>
      <c r="U311" s="692" t="s">
        <v>3656</v>
      </c>
      <c r="V311" s="692" t="s">
        <v>4656</v>
      </c>
      <c r="W311" s="692"/>
      <c r="X311" s="761"/>
      <c r="Z311" s="713"/>
      <c r="AA311" s="10"/>
      <c r="AB311" s="8"/>
      <c r="AC311" s="8"/>
      <c r="AD311" s="8"/>
      <c r="AE311" s="8"/>
      <c r="AF311" s="8"/>
      <c r="AG311" s="8"/>
      <c r="AH311" s="761"/>
      <c r="AI311" s="761"/>
    </row>
    <row r="312" spans="1:35" ht="15.75">
      <c r="A312" s="692" t="s">
        <v>3003</v>
      </c>
      <c r="B312" s="692" t="s">
        <v>580</v>
      </c>
      <c r="D312" s="692" t="s">
        <v>1075</v>
      </c>
      <c r="E312" s="692" t="s">
        <v>3006</v>
      </c>
      <c r="F312" s="692" t="s">
        <v>3007</v>
      </c>
      <c r="G312" s="692" t="s">
        <v>5730</v>
      </c>
      <c r="H312" s="692" t="s">
        <v>11</v>
      </c>
      <c r="I312" s="692" t="s">
        <v>43</v>
      </c>
      <c r="J312" s="692" t="s">
        <v>18</v>
      </c>
      <c r="K312" s="692" t="s">
        <v>9</v>
      </c>
      <c r="L312" s="692" t="str">
        <f t="shared" si="4"/>
        <v>2-13-07</v>
      </c>
      <c r="M312" s="692"/>
      <c r="N312" s="692"/>
      <c r="O312" s="692"/>
      <c r="P312" s="692" t="s">
        <v>67</v>
      </c>
      <c r="Q312" s="692" t="s">
        <v>4804</v>
      </c>
      <c r="R312" s="692" t="s">
        <v>4657</v>
      </c>
      <c r="S312" s="692">
        <v>44064355</v>
      </c>
      <c r="T312" s="692">
        <v>62415333</v>
      </c>
      <c r="U312" s="692" t="s">
        <v>3915</v>
      </c>
      <c r="V312" s="692" t="s">
        <v>4658</v>
      </c>
      <c r="W312" s="692"/>
      <c r="X312" s="761"/>
      <c r="Z312" s="713"/>
      <c r="AA312" s="10"/>
      <c r="AB312" s="8"/>
      <c r="AC312" s="8"/>
      <c r="AD312" s="8"/>
      <c r="AE312" s="8"/>
      <c r="AF312" s="8"/>
      <c r="AG312" s="8"/>
      <c r="AH312" s="761"/>
      <c r="AI312" s="761"/>
    </row>
    <row r="313" spans="1:35" ht="15.75">
      <c r="A313" s="692" t="s">
        <v>3000</v>
      </c>
      <c r="B313" s="692" t="s">
        <v>579</v>
      </c>
      <c r="D313" s="692" t="s">
        <v>581</v>
      </c>
      <c r="E313" s="692" t="s">
        <v>3008</v>
      </c>
      <c r="F313" s="692" t="s">
        <v>3009</v>
      </c>
      <c r="G313" s="692" t="s">
        <v>450</v>
      </c>
      <c r="H313" s="692" t="s">
        <v>7</v>
      </c>
      <c r="I313" s="692" t="s">
        <v>80</v>
      </c>
      <c r="J313" s="692" t="s">
        <v>16</v>
      </c>
      <c r="K313" s="692" t="s">
        <v>4</v>
      </c>
      <c r="L313" s="692" t="str">
        <f t="shared" si="4"/>
        <v>6-11-02</v>
      </c>
      <c r="M313" s="692"/>
      <c r="N313" s="692"/>
      <c r="O313" s="692"/>
      <c r="P313" s="692" t="s">
        <v>648</v>
      </c>
      <c r="Q313" s="692" t="s">
        <v>4804</v>
      </c>
      <c r="R313" s="692" t="s">
        <v>4659</v>
      </c>
      <c r="S313" s="692">
        <v>26370111</v>
      </c>
      <c r="T313" s="692"/>
      <c r="U313" s="692" t="s">
        <v>4464</v>
      </c>
      <c r="V313" s="692" t="s">
        <v>4864</v>
      </c>
      <c r="W313" s="692"/>
      <c r="X313" s="761"/>
      <c r="Z313" s="713"/>
      <c r="AA313" s="10"/>
      <c r="AB313" s="8"/>
      <c r="AC313" s="8"/>
      <c r="AD313" s="8"/>
      <c r="AE313" s="8"/>
      <c r="AF313" s="8"/>
      <c r="AG313" s="8"/>
      <c r="AH313" s="761"/>
      <c r="AI313" s="761"/>
    </row>
    <row r="314" spans="1:35" ht="15.75">
      <c r="A314" s="692" t="s">
        <v>3016</v>
      </c>
      <c r="B314" s="692" t="s">
        <v>428</v>
      </c>
      <c r="D314" s="692" t="s">
        <v>423</v>
      </c>
      <c r="E314" s="692" t="s">
        <v>3010</v>
      </c>
      <c r="F314" s="692" t="s">
        <v>5620</v>
      </c>
      <c r="G314" s="692" t="s">
        <v>750</v>
      </c>
      <c r="H314" s="692" t="s">
        <v>9</v>
      </c>
      <c r="I314" s="692" t="s">
        <v>68</v>
      </c>
      <c r="J314" s="692" t="s">
        <v>4</v>
      </c>
      <c r="K314" s="692" t="s">
        <v>8</v>
      </c>
      <c r="L314" s="692" t="str">
        <f t="shared" si="4"/>
        <v>7-02-06</v>
      </c>
      <c r="M314" s="692"/>
      <c r="N314" s="692"/>
      <c r="O314" s="692"/>
      <c r="P314" s="692" t="s">
        <v>5704</v>
      </c>
      <c r="Q314" s="692" t="s">
        <v>4804</v>
      </c>
      <c r="R314" s="692" t="s">
        <v>3569</v>
      </c>
      <c r="S314" s="692">
        <v>44020005</v>
      </c>
      <c r="T314" s="692"/>
      <c r="U314" s="692" t="s">
        <v>4205</v>
      </c>
      <c r="V314" s="692" t="s">
        <v>4206</v>
      </c>
      <c r="W314" s="692"/>
      <c r="X314" s="761"/>
      <c r="Z314" s="713"/>
      <c r="AA314" s="10"/>
      <c r="AB314" s="8"/>
      <c r="AC314" s="8"/>
      <c r="AD314" s="8"/>
      <c r="AE314" s="8"/>
      <c r="AF314" s="8"/>
      <c r="AG314" s="8"/>
      <c r="AH314" s="761"/>
      <c r="AI314" s="761"/>
    </row>
    <row r="315" spans="1:35" ht="15.75">
      <c r="A315" s="692" t="s">
        <v>2975</v>
      </c>
      <c r="B315" s="692" t="s">
        <v>569</v>
      </c>
      <c r="D315" s="692" t="s">
        <v>420</v>
      </c>
      <c r="E315" s="692" t="s">
        <v>3011</v>
      </c>
      <c r="F315" s="692" t="s">
        <v>3012</v>
      </c>
      <c r="G315" s="692" t="s">
        <v>117</v>
      </c>
      <c r="H315" s="692" t="s">
        <v>11</v>
      </c>
      <c r="I315" s="692" t="s">
        <v>43</v>
      </c>
      <c r="J315" s="692" t="s">
        <v>13</v>
      </c>
      <c r="K315" s="692" t="s">
        <v>18</v>
      </c>
      <c r="L315" s="692" t="str">
        <f t="shared" si="4"/>
        <v>2-10-13</v>
      </c>
      <c r="M315" s="692"/>
      <c r="N315" s="692"/>
      <c r="O315" s="692"/>
      <c r="P315" s="692" t="s">
        <v>825</v>
      </c>
      <c r="Q315" s="692" t="s">
        <v>4804</v>
      </c>
      <c r="R315" s="692" t="s">
        <v>4865</v>
      </c>
      <c r="S315" s="692">
        <v>24478480</v>
      </c>
      <c r="T315" s="692">
        <v>24777082</v>
      </c>
      <c r="U315" s="692" t="s">
        <v>3916</v>
      </c>
      <c r="V315" s="692" t="s">
        <v>3014</v>
      </c>
      <c r="W315" s="692"/>
      <c r="X315" s="761"/>
      <c r="Z315" s="713"/>
      <c r="AA315" s="10"/>
      <c r="AB315" s="8"/>
      <c r="AC315" s="8"/>
      <c r="AD315" s="8"/>
      <c r="AE315" s="8"/>
      <c r="AF315" s="8"/>
      <c r="AG315" s="8"/>
      <c r="AH315" s="761" t="s">
        <v>4493</v>
      </c>
      <c r="AI315" s="761"/>
    </row>
    <row r="316" spans="1:35" ht="15.75">
      <c r="A316" s="692" t="s">
        <v>2733</v>
      </c>
      <c r="B316" s="692" t="s">
        <v>471</v>
      </c>
      <c r="D316" s="692" t="s">
        <v>421</v>
      </c>
      <c r="E316" s="692" t="s">
        <v>3015</v>
      </c>
      <c r="F316" s="692" t="s">
        <v>4078</v>
      </c>
      <c r="G316" s="692" t="s">
        <v>117</v>
      </c>
      <c r="H316" s="692" t="s">
        <v>6</v>
      </c>
      <c r="I316" s="692" t="s">
        <v>43</v>
      </c>
      <c r="J316" s="692" t="s">
        <v>13</v>
      </c>
      <c r="K316" s="692" t="s">
        <v>6</v>
      </c>
      <c r="L316" s="692" t="str">
        <f t="shared" si="4"/>
        <v>2-10-04</v>
      </c>
      <c r="M316" s="692"/>
      <c r="N316" s="692"/>
      <c r="O316" s="692"/>
      <c r="P316" s="692" t="s">
        <v>1187</v>
      </c>
      <c r="Q316" s="692" t="s">
        <v>4804</v>
      </c>
      <c r="R316" s="692" t="s">
        <v>5583</v>
      </c>
      <c r="S316" s="692">
        <v>24613705</v>
      </c>
      <c r="T316" s="692"/>
      <c r="U316" s="692" t="s">
        <v>4207</v>
      </c>
      <c r="V316" s="692" t="s">
        <v>4208</v>
      </c>
      <c r="W316" s="692"/>
      <c r="X316" s="761"/>
      <c r="Z316" s="713"/>
      <c r="AA316" s="10"/>
      <c r="AB316" s="8"/>
      <c r="AC316" s="8"/>
      <c r="AD316" s="8"/>
      <c r="AE316" s="8"/>
      <c r="AF316" s="8"/>
      <c r="AG316" s="8"/>
      <c r="AH316" s="761"/>
      <c r="AI316" s="761"/>
    </row>
    <row r="317" spans="1:35" ht="15.75">
      <c r="A317" s="714" t="s">
        <v>2784</v>
      </c>
      <c r="B317" s="714" t="s">
        <v>492</v>
      </c>
      <c r="D317" s="692" t="s">
        <v>428</v>
      </c>
      <c r="E317" s="692" t="s">
        <v>3016</v>
      </c>
      <c r="F317" s="692" t="s">
        <v>3017</v>
      </c>
      <c r="G317" s="692" t="s">
        <v>117</v>
      </c>
      <c r="H317" s="692" t="s">
        <v>118</v>
      </c>
      <c r="I317" s="692" t="s">
        <v>43</v>
      </c>
      <c r="J317" s="692" t="s">
        <v>13</v>
      </c>
      <c r="K317" s="692" t="s">
        <v>3</v>
      </c>
      <c r="L317" s="692" t="str">
        <f t="shared" si="4"/>
        <v>2-10-01</v>
      </c>
      <c r="M317" s="692"/>
      <c r="N317" s="692"/>
      <c r="O317" s="692"/>
      <c r="P317" s="692" t="s">
        <v>305</v>
      </c>
      <c r="Q317" s="692" t="s">
        <v>4804</v>
      </c>
      <c r="R317" s="692" t="s">
        <v>3018</v>
      </c>
      <c r="S317" s="692">
        <v>24612906</v>
      </c>
      <c r="T317" s="692">
        <v>24612906</v>
      </c>
      <c r="U317" s="692" t="s">
        <v>4209</v>
      </c>
      <c r="V317" s="692" t="s">
        <v>3019</v>
      </c>
      <c r="W317" s="692"/>
      <c r="X317" s="761"/>
      <c r="Z317" s="713"/>
      <c r="AA317" s="10"/>
      <c r="AB317" s="8"/>
      <c r="AC317" s="8"/>
      <c r="AD317" s="8"/>
      <c r="AE317" s="8"/>
      <c r="AF317" s="8"/>
      <c r="AG317" s="8"/>
      <c r="AH317" s="761" t="s">
        <v>4493</v>
      </c>
      <c r="AI317" s="761"/>
    </row>
    <row r="318" spans="1:35" ht="15.75">
      <c r="A318" s="692" t="s">
        <v>3034</v>
      </c>
      <c r="B318" s="692" t="s">
        <v>440</v>
      </c>
      <c r="D318" s="692" t="s">
        <v>429</v>
      </c>
      <c r="E318" s="692" t="s">
        <v>3020</v>
      </c>
      <c r="F318" s="692" t="s">
        <v>4079</v>
      </c>
      <c r="G318" s="692" t="s">
        <v>47</v>
      </c>
      <c r="H318" s="692" t="s">
        <v>9</v>
      </c>
      <c r="I318" s="692" t="s">
        <v>41</v>
      </c>
      <c r="J318" s="692" t="s">
        <v>5</v>
      </c>
      <c r="K318" s="692" t="s">
        <v>16</v>
      </c>
      <c r="L318" s="692" t="str">
        <f t="shared" si="4"/>
        <v>1-03-11</v>
      </c>
      <c r="M318" s="692"/>
      <c r="N318" s="692"/>
      <c r="O318" s="692"/>
      <c r="P318" s="692" t="s">
        <v>862</v>
      </c>
      <c r="Q318" s="692" t="s">
        <v>4804</v>
      </c>
      <c r="R318" s="692" t="s">
        <v>4258</v>
      </c>
      <c r="S318" s="692">
        <v>22759945</v>
      </c>
      <c r="T318" s="692">
        <v>22759945</v>
      </c>
      <c r="U318" s="692" t="s">
        <v>3917</v>
      </c>
      <c r="V318" s="692" t="s">
        <v>3021</v>
      </c>
      <c r="W318" s="692"/>
      <c r="X318" s="761"/>
      <c r="Z318" s="713"/>
      <c r="AA318" s="10"/>
      <c r="AB318" s="8"/>
      <c r="AC318" s="8"/>
      <c r="AD318" s="8"/>
      <c r="AE318" s="8"/>
      <c r="AF318" s="8"/>
      <c r="AG318" s="8"/>
      <c r="AH318" s="761"/>
      <c r="AI318" s="761"/>
    </row>
    <row r="319" spans="1:35" ht="15.75">
      <c r="A319" s="692" t="s">
        <v>3008</v>
      </c>
      <c r="B319" s="692" t="s">
        <v>581</v>
      </c>
      <c r="D319" s="692" t="s">
        <v>432</v>
      </c>
      <c r="E319" s="692" t="s">
        <v>3022</v>
      </c>
      <c r="F319" s="692" t="s">
        <v>3023</v>
      </c>
      <c r="G319" s="692" t="s">
        <v>172</v>
      </c>
      <c r="H319" s="692" t="s">
        <v>9</v>
      </c>
      <c r="I319" s="692" t="s">
        <v>41</v>
      </c>
      <c r="J319" s="692" t="s">
        <v>304</v>
      </c>
      <c r="K319" s="692" t="s">
        <v>7</v>
      </c>
      <c r="L319" s="692" t="str">
        <f t="shared" si="4"/>
        <v>1-16-05</v>
      </c>
      <c r="M319" s="692"/>
      <c r="N319" s="692"/>
      <c r="O319" s="692"/>
      <c r="P319" s="692" t="s">
        <v>132</v>
      </c>
      <c r="Q319" s="692" t="s">
        <v>4804</v>
      </c>
      <c r="R319" s="692" t="s">
        <v>5533</v>
      </c>
      <c r="S319" s="692">
        <v>27798687</v>
      </c>
      <c r="T319" s="692">
        <v>27798687</v>
      </c>
      <c r="U319" s="692" t="s">
        <v>3657</v>
      </c>
      <c r="V319" s="692" t="s">
        <v>3024</v>
      </c>
      <c r="W319" s="692"/>
      <c r="X319" s="761"/>
      <c r="Z319" s="713"/>
      <c r="AA319" s="10"/>
      <c r="AB319" s="8"/>
      <c r="AC319" s="8"/>
      <c r="AD319" s="8"/>
      <c r="AE319" s="8"/>
      <c r="AF319" s="8"/>
      <c r="AG319" s="8"/>
      <c r="AH319" s="761"/>
      <c r="AI319" s="761"/>
    </row>
    <row r="320" spans="1:35" ht="15.75">
      <c r="A320" s="692" t="s">
        <v>2987</v>
      </c>
      <c r="B320" s="692" t="s">
        <v>574</v>
      </c>
      <c r="D320" s="692" t="s">
        <v>1077</v>
      </c>
      <c r="E320" s="692" t="s">
        <v>3025</v>
      </c>
      <c r="F320" s="692" t="s">
        <v>3026</v>
      </c>
      <c r="G320" s="692" t="s">
        <v>172</v>
      </c>
      <c r="H320" s="692" t="s">
        <v>4</v>
      </c>
      <c r="I320" s="692" t="s">
        <v>41</v>
      </c>
      <c r="J320" s="692" t="s">
        <v>6</v>
      </c>
      <c r="K320" s="692" t="s">
        <v>4</v>
      </c>
      <c r="L320" s="692" t="str">
        <f t="shared" si="4"/>
        <v>1-04-02</v>
      </c>
      <c r="M320" s="692"/>
      <c r="N320" s="692"/>
      <c r="O320" s="692"/>
      <c r="P320" s="692" t="s">
        <v>271</v>
      </c>
      <c r="Q320" s="692" t="s">
        <v>4804</v>
      </c>
      <c r="R320" s="692" t="s">
        <v>5772</v>
      </c>
      <c r="S320" s="692">
        <v>24170223</v>
      </c>
      <c r="T320" s="692">
        <v>24170223</v>
      </c>
      <c r="U320" s="692" t="s">
        <v>4210</v>
      </c>
      <c r="V320" s="692" t="s">
        <v>4465</v>
      </c>
      <c r="W320" s="692"/>
      <c r="X320" s="761"/>
      <c r="Z320" s="713"/>
      <c r="AA320" s="10"/>
      <c r="AB320" s="8"/>
      <c r="AC320" s="8"/>
      <c r="AD320" s="8"/>
      <c r="AE320" s="8"/>
      <c r="AF320" s="8"/>
      <c r="AG320" s="8"/>
      <c r="AH320" s="761" t="s">
        <v>4493</v>
      </c>
      <c r="AI320" s="761"/>
    </row>
    <row r="321" spans="1:35" ht="15.75">
      <c r="A321" s="692" t="s">
        <v>2967</v>
      </c>
      <c r="B321" s="692" t="s">
        <v>566</v>
      </c>
      <c r="D321" s="692" t="s">
        <v>355</v>
      </c>
      <c r="E321" s="692" t="s">
        <v>3028</v>
      </c>
      <c r="F321" s="692" t="s">
        <v>3029</v>
      </c>
      <c r="G321" s="692" t="s">
        <v>558</v>
      </c>
      <c r="H321" s="692" t="s">
        <v>3</v>
      </c>
      <c r="I321" s="692" t="s">
        <v>126</v>
      </c>
      <c r="J321" s="692" t="s">
        <v>8</v>
      </c>
      <c r="K321" s="692" t="s">
        <v>6</v>
      </c>
      <c r="L321" s="692" t="str">
        <f t="shared" si="4"/>
        <v>5-06-04</v>
      </c>
      <c r="M321" s="692"/>
      <c r="N321" s="692"/>
      <c r="O321" s="692"/>
      <c r="P321" s="692" t="s">
        <v>1847</v>
      </c>
      <c r="Q321" s="692" t="s">
        <v>4804</v>
      </c>
      <c r="R321" s="692" t="s">
        <v>4867</v>
      </c>
      <c r="S321" s="692">
        <v>26740446</v>
      </c>
      <c r="T321" s="692">
        <v>26740446</v>
      </c>
      <c r="U321" s="692" t="s">
        <v>3658</v>
      </c>
      <c r="V321" s="692" t="s">
        <v>3030</v>
      </c>
      <c r="W321" s="692"/>
      <c r="X321" s="761"/>
      <c r="Z321" s="713"/>
      <c r="AA321" s="10"/>
      <c r="AB321" s="8"/>
      <c r="AC321" s="8"/>
      <c r="AD321" s="8"/>
      <c r="AE321" s="8"/>
      <c r="AF321" s="8"/>
      <c r="AG321" s="8"/>
      <c r="AH321" s="761"/>
      <c r="AI321" s="761"/>
    </row>
    <row r="322" spans="1:35" ht="15.75">
      <c r="A322" s="692" t="s">
        <v>2964</v>
      </c>
      <c r="B322" s="692" t="s">
        <v>565</v>
      </c>
      <c r="D322" s="692" t="s">
        <v>438</v>
      </c>
      <c r="E322" s="692" t="s">
        <v>3032</v>
      </c>
      <c r="F322" s="692" t="s">
        <v>3742</v>
      </c>
      <c r="G322" s="692" t="s">
        <v>117</v>
      </c>
      <c r="H322" s="692" t="s">
        <v>7</v>
      </c>
      <c r="I322" s="692" t="s">
        <v>43</v>
      </c>
      <c r="J322" s="692" t="s">
        <v>13</v>
      </c>
      <c r="K322" s="692" t="s">
        <v>8</v>
      </c>
      <c r="L322" s="692" t="str">
        <f t="shared" si="4"/>
        <v>2-10-06</v>
      </c>
      <c r="M322" s="692"/>
      <c r="N322" s="692"/>
      <c r="O322" s="692"/>
      <c r="P322" s="692" t="s">
        <v>136</v>
      </c>
      <c r="Q322" s="692" t="s">
        <v>4804</v>
      </c>
      <c r="R322" s="692" t="s">
        <v>4219</v>
      </c>
      <c r="S322" s="692">
        <v>22064538</v>
      </c>
      <c r="T322" s="692"/>
      <c r="U322" s="692" t="s">
        <v>3659</v>
      </c>
      <c r="V322" s="692" t="s">
        <v>3033</v>
      </c>
      <c r="W322" s="692"/>
      <c r="X322" s="761"/>
      <c r="Z322" s="713"/>
      <c r="AA322" s="10"/>
      <c r="AB322" s="8"/>
      <c r="AC322" s="8"/>
      <c r="AD322" s="8"/>
      <c r="AE322" s="8"/>
      <c r="AF322" s="8"/>
      <c r="AG322" s="8"/>
      <c r="AH322" s="761"/>
      <c r="AI322" s="761"/>
    </row>
    <row r="323" spans="1:35" ht="15.75">
      <c r="A323" s="692" t="s">
        <v>3132</v>
      </c>
      <c r="B323" s="692" t="s">
        <v>606</v>
      </c>
      <c r="D323" s="692" t="s">
        <v>440</v>
      </c>
      <c r="E323" s="692" t="s">
        <v>3034</v>
      </c>
      <c r="F323" s="692" t="s">
        <v>3035</v>
      </c>
      <c r="G323" s="692" t="s">
        <v>298</v>
      </c>
      <c r="H323" s="692" t="s">
        <v>3</v>
      </c>
      <c r="I323" s="692" t="s">
        <v>126</v>
      </c>
      <c r="J323" s="692" t="s">
        <v>13</v>
      </c>
      <c r="K323" s="692" t="s">
        <v>5</v>
      </c>
      <c r="L323" s="692" t="str">
        <f t="shared" ref="L323:L386" si="5">CONCATENATE(I323,"-",J323,"-",K323)</f>
        <v>5-10-03</v>
      </c>
      <c r="M323" s="692"/>
      <c r="N323" s="692"/>
      <c r="O323" s="692"/>
      <c r="P323" s="692" t="s">
        <v>627</v>
      </c>
      <c r="Q323" s="692" t="s">
        <v>4804</v>
      </c>
      <c r="R323" s="692" t="s">
        <v>2522</v>
      </c>
      <c r="S323" s="692">
        <v>26797756</v>
      </c>
      <c r="T323" s="692">
        <v>26799174</v>
      </c>
      <c r="U323" s="692" t="s">
        <v>3660</v>
      </c>
      <c r="V323" s="692" t="s">
        <v>3036</v>
      </c>
      <c r="W323" s="692"/>
      <c r="X323" s="761"/>
      <c r="Z323" s="713"/>
      <c r="AA323" s="10"/>
      <c r="AB323" s="8"/>
      <c r="AC323" s="8"/>
      <c r="AD323" s="8"/>
      <c r="AE323" s="8"/>
      <c r="AF323" s="8"/>
      <c r="AG323" s="8"/>
      <c r="AH323" s="761"/>
      <c r="AI323" s="761"/>
    </row>
    <row r="324" spans="1:35" ht="15.75">
      <c r="A324" s="692" t="s">
        <v>3020</v>
      </c>
      <c r="B324" s="692" t="s">
        <v>429</v>
      </c>
      <c r="D324" s="692" t="s">
        <v>442</v>
      </c>
      <c r="E324" s="692" t="s">
        <v>3038</v>
      </c>
      <c r="F324" s="692" t="s">
        <v>3039</v>
      </c>
      <c r="G324" s="692" t="s">
        <v>750</v>
      </c>
      <c r="H324" s="692" t="s">
        <v>9</v>
      </c>
      <c r="I324" s="692" t="s">
        <v>68</v>
      </c>
      <c r="J324" s="692" t="s">
        <v>8</v>
      </c>
      <c r="K324" s="692" t="s">
        <v>6</v>
      </c>
      <c r="L324" s="692" t="str">
        <f t="shared" si="5"/>
        <v>7-06-04</v>
      </c>
      <c r="M324" s="692"/>
      <c r="N324" s="692"/>
      <c r="O324" s="692"/>
      <c r="P324" s="692" t="s">
        <v>809</v>
      </c>
      <c r="Q324" s="692" t="s">
        <v>4804</v>
      </c>
      <c r="R324" s="692" t="s">
        <v>4466</v>
      </c>
      <c r="S324" s="692">
        <v>27166987</v>
      </c>
      <c r="T324" s="692">
        <v>27169066</v>
      </c>
      <c r="U324" s="692" t="s">
        <v>4211</v>
      </c>
      <c r="V324" s="692" t="s">
        <v>3040</v>
      </c>
      <c r="W324" s="692"/>
      <c r="X324" s="761"/>
      <c r="Z324" s="713"/>
      <c r="AA324" s="10"/>
      <c r="AB324" s="8"/>
      <c r="AC324" s="8"/>
      <c r="AD324" s="8"/>
      <c r="AE324" s="8"/>
      <c r="AF324" s="8"/>
      <c r="AG324" s="8"/>
      <c r="AH324" s="761"/>
      <c r="AI324" s="761"/>
    </row>
    <row r="325" spans="1:35" ht="15.75">
      <c r="A325" s="692" t="s">
        <v>3057</v>
      </c>
      <c r="B325" s="692" t="s">
        <v>520</v>
      </c>
      <c r="D325" s="714" t="s">
        <v>475</v>
      </c>
      <c r="E325" s="714" t="s">
        <v>5705</v>
      </c>
      <c r="F325" s="714" t="s">
        <v>3041</v>
      </c>
      <c r="G325" s="714" t="s">
        <v>81</v>
      </c>
      <c r="H325" s="714" t="s">
        <v>7</v>
      </c>
      <c r="I325" s="714" t="s">
        <v>80</v>
      </c>
      <c r="J325" s="714" t="s">
        <v>3</v>
      </c>
      <c r="K325" s="714" t="s">
        <v>3</v>
      </c>
      <c r="L325" s="692" t="str">
        <f t="shared" si="5"/>
        <v>6-01-01</v>
      </c>
      <c r="M325" s="714"/>
      <c r="N325" s="714"/>
      <c r="O325" s="714"/>
      <c r="P325" s="714" t="s">
        <v>842</v>
      </c>
      <c r="Q325" s="714" t="s">
        <v>4804</v>
      </c>
      <c r="R325" s="714" t="s">
        <v>4536</v>
      </c>
      <c r="S325" s="714">
        <v>26614936</v>
      </c>
      <c r="T325" s="714">
        <v>26614936</v>
      </c>
      <c r="U325" s="714" t="s">
        <v>3727</v>
      </c>
      <c r="V325" s="714" t="s">
        <v>3728</v>
      </c>
      <c r="W325" s="714"/>
      <c r="X325" s="761"/>
      <c r="Z325" s="714"/>
      <c r="AH325" s="761"/>
      <c r="AI325" s="761"/>
    </row>
    <row r="326" spans="1:35" ht="15.75">
      <c r="A326" s="692" t="s">
        <v>3084</v>
      </c>
      <c r="B326" s="692" t="s">
        <v>600</v>
      </c>
      <c r="D326" s="692" t="s">
        <v>493</v>
      </c>
      <c r="E326" s="692" t="s">
        <v>3042</v>
      </c>
      <c r="F326" s="692" t="s">
        <v>3043</v>
      </c>
      <c r="G326" s="692" t="s">
        <v>172</v>
      </c>
      <c r="H326" s="692" t="s">
        <v>6</v>
      </c>
      <c r="I326" s="692" t="s">
        <v>41</v>
      </c>
      <c r="J326" s="692" t="s">
        <v>9</v>
      </c>
      <c r="K326" s="692" t="s">
        <v>7</v>
      </c>
      <c r="L326" s="692" t="str">
        <f t="shared" si="5"/>
        <v>1-07-05</v>
      </c>
      <c r="M326" s="692"/>
      <c r="N326" s="692"/>
      <c r="O326" s="692"/>
      <c r="P326" s="692" t="s">
        <v>328</v>
      </c>
      <c r="Q326" s="692" t="s">
        <v>4804</v>
      </c>
      <c r="R326" s="692" t="s">
        <v>5798</v>
      </c>
      <c r="S326" s="692">
        <v>21013715</v>
      </c>
      <c r="T326" s="692"/>
      <c r="U326" s="692" t="s">
        <v>4467</v>
      </c>
      <c r="V326" s="692" t="s">
        <v>4868</v>
      </c>
      <c r="W326" s="692"/>
      <c r="X326" s="761"/>
      <c r="Z326" s="713"/>
      <c r="AA326" s="10"/>
      <c r="AB326" s="8"/>
      <c r="AC326" s="8"/>
      <c r="AD326" s="8"/>
      <c r="AE326" s="8"/>
      <c r="AF326" s="8"/>
      <c r="AG326" s="8"/>
      <c r="AH326" s="761"/>
      <c r="AI326" s="761"/>
    </row>
    <row r="327" spans="1:35" ht="15.75">
      <c r="A327" s="692" t="s">
        <v>3108</v>
      </c>
      <c r="B327" s="692" t="s">
        <v>351</v>
      </c>
      <c r="D327" s="692" t="s">
        <v>494</v>
      </c>
      <c r="E327" s="692" t="s">
        <v>3044</v>
      </c>
      <c r="F327" s="692" t="s">
        <v>3045</v>
      </c>
      <c r="G327" s="692" t="s">
        <v>172</v>
      </c>
      <c r="H327" s="692" t="s">
        <v>6</v>
      </c>
      <c r="I327" s="692" t="s">
        <v>41</v>
      </c>
      <c r="J327" s="692" t="s">
        <v>6</v>
      </c>
      <c r="K327" s="692" t="s">
        <v>5</v>
      </c>
      <c r="L327" s="692" t="str">
        <f t="shared" si="5"/>
        <v>1-04-03</v>
      </c>
      <c r="M327" s="692"/>
      <c r="N327" s="692"/>
      <c r="O327" s="692"/>
      <c r="P327" s="692" t="s">
        <v>321</v>
      </c>
      <c r="Q327" s="692" t="s">
        <v>4804</v>
      </c>
      <c r="R327" s="692" t="s">
        <v>3046</v>
      </c>
      <c r="S327" s="692">
        <v>24171741</v>
      </c>
      <c r="T327" s="692">
        <v>24171741</v>
      </c>
      <c r="U327" s="692" t="s">
        <v>3918</v>
      </c>
      <c r="V327" s="692" t="s">
        <v>3047</v>
      </c>
      <c r="W327" s="692"/>
      <c r="X327" s="761" t="s">
        <v>1194</v>
      </c>
      <c r="Z327" s="713"/>
      <c r="AA327" s="10"/>
      <c r="AB327" s="8"/>
      <c r="AC327" s="8"/>
      <c r="AD327" s="8"/>
      <c r="AE327" s="8"/>
      <c r="AF327" s="8"/>
      <c r="AG327" s="8"/>
      <c r="AH327" s="761"/>
      <c r="AI327" s="761"/>
    </row>
    <row r="328" spans="1:35" ht="15.75">
      <c r="A328" s="692" t="s">
        <v>3059</v>
      </c>
      <c r="B328" s="692" t="s">
        <v>587</v>
      </c>
      <c r="D328" s="692" t="s">
        <v>500</v>
      </c>
      <c r="E328" s="692" t="s">
        <v>3048</v>
      </c>
      <c r="F328" s="692" t="s">
        <v>3049</v>
      </c>
      <c r="G328" s="692" t="s">
        <v>109</v>
      </c>
      <c r="H328" s="692" t="s">
        <v>3</v>
      </c>
      <c r="I328" s="692" t="s">
        <v>110</v>
      </c>
      <c r="J328" s="692" t="s">
        <v>13</v>
      </c>
      <c r="K328" s="692" t="s">
        <v>4</v>
      </c>
      <c r="L328" s="692" t="str">
        <f t="shared" si="5"/>
        <v>4-10-02</v>
      </c>
      <c r="M328" s="692"/>
      <c r="N328" s="692"/>
      <c r="O328" s="692"/>
      <c r="P328" s="692" t="s">
        <v>860</v>
      </c>
      <c r="Q328" s="692" t="s">
        <v>4804</v>
      </c>
      <c r="R328" s="692" t="s">
        <v>4212</v>
      </c>
      <c r="S328" s="692">
        <v>27610841</v>
      </c>
      <c r="T328" s="692">
        <v>70174069</v>
      </c>
      <c r="U328" s="692" t="s">
        <v>4213</v>
      </c>
      <c r="V328" s="692" t="s">
        <v>3051</v>
      </c>
      <c r="W328" s="692"/>
      <c r="X328" s="761"/>
      <c r="Z328" s="713"/>
      <c r="AA328" s="10"/>
      <c r="AB328" s="8"/>
      <c r="AC328" s="8"/>
      <c r="AD328" s="8"/>
      <c r="AE328" s="8"/>
      <c r="AF328" s="8"/>
      <c r="AG328" s="8"/>
      <c r="AH328" s="761"/>
      <c r="AI328" s="761"/>
    </row>
    <row r="329" spans="1:35" ht="15.75">
      <c r="A329" s="692" t="s">
        <v>3074</v>
      </c>
      <c r="B329" s="692" t="s">
        <v>593</v>
      </c>
      <c r="D329" s="692" t="s">
        <v>514</v>
      </c>
      <c r="E329" s="692" t="s">
        <v>3053</v>
      </c>
      <c r="F329" s="692" t="s">
        <v>4080</v>
      </c>
      <c r="G329" s="692" t="s">
        <v>79</v>
      </c>
      <c r="H329" s="692" t="s">
        <v>7</v>
      </c>
      <c r="I329" s="692" t="s">
        <v>80</v>
      </c>
      <c r="J329" s="692" t="s">
        <v>11</v>
      </c>
      <c r="K329" s="692" t="s">
        <v>3</v>
      </c>
      <c r="L329" s="692" t="str">
        <f t="shared" si="5"/>
        <v>6-08-01</v>
      </c>
      <c r="M329" s="692"/>
      <c r="N329" s="692"/>
      <c r="O329" s="692"/>
      <c r="P329" s="692" t="s">
        <v>740</v>
      </c>
      <c r="Q329" s="692" t="s">
        <v>4804</v>
      </c>
      <c r="R329" s="692" t="s">
        <v>4214</v>
      </c>
      <c r="S329" s="692">
        <v>27734715</v>
      </c>
      <c r="T329" s="692">
        <v>27734715</v>
      </c>
      <c r="U329" s="692" t="s">
        <v>3919</v>
      </c>
      <c r="V329" s="692" t="s">
        <v>4468</v>
      </c>
      <c r="W329" s="692"/>
      <c r="X329" s="761"/>
      <c r="Z329" s="713"/>
      <c r="AA329" s="10"/>
      <c r="AB329" s="8"/>
      <c r="AC329" s="8"/>
      <c r="AD329" s="8"/>
      <c r="AE329" s="8"/>
      <c r="AF329" s="8"/>
      <c r="AG329" s="8"/>
      <c r="AH329" s="761"/>
      <c r="AI329" s="761"/>
    </row>
    <row r="330" spans="1:35" ht="15.75">
      <c r="A330" s="692" t="s">
        <v>3076</v>
      </c>
      <c r="B330" s="692" t="s">
        <v>594</v>
      </c>
      <c r="D330" s="692" t="s">
        <v>513</v>
      </c>
      <c r="E330" s="692" t="s">
        <v>3055</v>
      </c>
      <c r="F330" s="692" t="s">
        <v>4081</v>
      </c>
      <c r="G330" s="692" t="s">
        <v>47</v>
      </c>
      <c r="H330" s="692" t="s">
        <v>4</v>
      </c>
      <c r="I330" s="692" t="s">
        <v>41</v>
      </c>
      <c r="J330" s="692" t="s">
        <v>5</v>
      </c>
      <c r="K330" s="692" t="s">
        <v>5</v>
      </c>
      <c r="L330" s="692" t="str">
        <f t="shared" si="5"/>
        <v>1-03-03</v>
      </c>
      <c r="M330" s="692"/>
      <c r="N330" s="692"/>
      <c r="O330" s="692"/>
      <c r="P330" s="692" t="s">
        <v>161</v>
      </c>
      <c r="Q330" s="692" t="s">
        <v>4804</v>
      </c>
      <c r="R330" s="692" t="s">
        <v>5621</v>
      </c>
      <c r="S330" s="692">
        <v>22198848</v>
      </c>
      <c r="T330" s="692">
        <v>22595019</v>
      </c>
      <c r="U330" s="692" t="s">
        <v>3920</v>
      </c>
      <c r="V330" s="692" t="s">
        <v>3056</v>
      </c>
      <c r="W330" s="692"/>
      <c r="X330" s="761"/>
      <c r="Z330" s="713"/>
      <c r="AA330" s="10"/>
      <c r="AB330" s="8"/>
      <c r="AC330" s="8"/>
      <c r="AD330" s="8"/>
      <c r="AE330" s="8"/>
      <c r="AF330" s="8"/>
      <c r="AG330" s="8"/>
      <c r="AH330" s="761"/>
      <c r="AI330" s="761"/>
    </row>
    <row r="331" spans="1:35" ht="15.75">
      <c r="A331" s="692" t="s">
        <v>3071</v>
      </c>
      <c r="B331" s="692" t="s">
        <v>592</v>
      </c>
      <c r="D331" s="692" t="s">
        <v>520</v>
      </c>
      <c r="E331" s="692" t="s">
        <v>3057</v>
      </c>
      <c r="F331" s="692" t="s">
        <v>3058</v>
      </c>
      <c r="G331" s="692" t="s">
        <v>47</v>
      </c>
      <c r="H331" s="692" t="s">
        <v>5</v>
      </c>
      <c r="I331" s="692" t="s">
        <v>41</v>
      </c>
      <c r="J331" s="692" t="s">
        <v>8</v>
      </c>
      <c r="K331" s="692" t="s">
        <v>5</v>
      </c>
      <c r="L331" s="692" t="str">
        <f t="shared" si="5"/>
        <v>1-06-03</v>
      </c>
      <c r="M331" s="692"/>
      <c r="N331" s="692"/>
      <c r="O331" s="692"/>
      <c r="P331" s="692" t="s">
        <v>212</v>
      </c>
      <c r="Q331" s="692" t="s">
        <v>4804</v>
      </c>
      <c r="R331" s="692" t="s">
        <v>4660</v>
      </c>
      <c r="S331" s="692">
        <v>24104630</v>
      </c>
      <c r="T331" s="692">
        <v>24104630</v>
      </c>
      <c r="U331" s="692" t="s">
        <v>4869</v>
      </c>
      <c r="V331" s="692" t="s">
        <v>5743</v>
      </c>
      <c r="W331" s="692"/>
      <c r="X331" s="761"/>
      <c r="Z331" s="713"/>
      <c r="AA331" s="10"/>
      <c r="AB331" s="8"/>
      <c r="AC331" s="8"/>
      <c r="AD331" s="8"/>
      <c r="AE331" s="8"/>
      <c r="AF331" s="8"/>
      <c r="AG331" s="8"/>
      <c r="AH331" s="761"/>
      <c r="AI331" s="761"/>
    </row>
    <row r="332" spans="1:35" ht="15.75">
      <c r="A332" s="692" t="s">
        <v>3061</v>
      </c>
      <c r="B332" s="692" t="s">
        <v>588</v>
      </c>
      <c r="D332" s="692" t="s">
        <v>587</v>
      </c>
      <c r="E332" s="692" t="s">
        <v>3059</v>
      </c>
      <c r="F332" s="692" t="s">
        <v>3060</v>
      </c>
      <c r="G332" s="692" t="s">
        <v>128</v>
      </c>
      <c r="H332" s="692" t="s">
        <v>8</v>
      </c>
      <c r="I332" s="692" t="s">
        <v>56</v>
      </c>
      <c r="J332" s="692" t="s">
        <v>5</v>
      </c>
      <c r="K332" s="692" t="s">
        <v>4</v>
      </c>
      <c r="L332" s="692" t="str">
        <f t="shared" si="5"/>
        <v>3-03-02</v>
      </c>
      <c r="M332" s="692"/>
      <c r="N332" s="692"/>
      <c r="O332" s="692"/>
      <c r="P332" s="692" t="s">
        <v>732</v>
      </c>
      <c r="Q332" s="692" t="s">
        <v>4804</v>
      </c>
      <c r="R332" s="692" t="s">
        <v>5622</v>
      </c>
      <c r="S332" s="692">
        <v>22795011</v>
      </c>
      <c r="T332" s="692">
        <v>22795011</v>
      </c>
      <c r="U332" s="692" t="s">
        <v>1778</v>
      </c>
      <c r="V332" s="692" t="s">
        <v>5623</v>
      </c>
      <c r="W332" s="692"/>
      <c r="X332" s="761"/>
      <c r="Z332" s="713"/>
      <c r="AA332" s="10"/>
      <c r="AB332" s="8"/>
      <c r="AC332" s="8"/>
      <c r="AD332" s="8"/>
      <c r="AE332" s="8"/>
      <c r="AF332" s="8"/>
      <c r="AG332" s="8"/>
      <c r="AH332" s="761"/>
      <c r="AI332" s="761"/>
    </row>
    <row r="333" spans="1:35" ht="15.75">
      <c r="A333" s="692" t="s">
        <v>3063</v>
      </c>
      <c r="B333" s="692" t="s">
        <v>913</v>
      </c>
      <c r="D333" s="692" t="s">
        <v>588</v>
      </c>
      <c r="E333" s="692" t="s">
        <v>3061</v>
      </c>
      <c r="F333" s="692" t="s">
        <v>3062</v>
      </c>
      <c r="G333" s="692" t="s">
        <v>128</v>
      </c>
      <c r="H333" s="692" t="s">
        <v>5</v>
      </c>
      <c r="I333" s="692" t="s">
        <v>56</v>
      </c>
      <c r="J333" s="692" t="s">
        <v>11</v>
      </c>
      <c r="K333" s="692" t="s">
        <v>4</v>
      </c>
      <c r="L333" s="692" t="str">
        <f t="shared" si="5"/>
        <v>3-08-02</v>
      </c>
      <c r="M333" s="692"/>
      <c r="N333" s="692"/>
      <c r="O333" s="692"/>
      <c r="P333" s="692" t="s">
        <v>758</v>
      </c>
      <c r="Q333" s="692" t="s">
        <v>4804</v>
      </c>
      <c r="R333" s="692" t="s">
        <v>5624</v>
      </c>
      <c r="S333" s="692">
        <v>25712182</v>
      </c>
      <c r="T333" s="692">
        <v>83890694</v>
      </c>
      <c r="U333" s="692" t="s">
        <v>4215</v>
      </c>
      <c r="V333" s="692" t="s">
        <v>5625</v>
      </c>
      <c r="W333" s="692"/>
      <c r="X333" s="761"/>
      <c r="Z333" s="713"/>
      <c r="AA333" s="10"/>
      <c r="AB333" s="8"/>
      <c r="AC333" s="8"/>
      <c r="AD333" s="8"/>
      <c r="AE333" s="8"/>
      <c r="AF333" s="8"/>
      <c r="AG333" s="8"/>
      <c r="AH333" s="761"/>
      <c r="AI333" s="761"/>
    </row>
    <row r="334" spans="1:35" ht="15.75">
      <c r="A334" s="692" t="s">
        <v>3122</v>
      </c>
      <c r="B334" s="692" t="s">
        <v>604</v>
      </c>
      <c r="D334" s="692" t="s">
        <v>913</v>
      </c>
      <c r="E334" s="692" t="s">
        <v>3063</v>
      </c>
      <c r="F334" s="692" t="s">
        <v>3064</v>
      </c>
      <c r="G334" s="692" t="s">
        <v>216</v>
      </c>
      <c r="H334" s="692" t="s">
        <v>3</v>
      </c>
      <c r="I334" s="692" t="s">
        <v>41</v>
      </c>
      <c r="J334" s="692" t="s">
        <v>7</v>
      </c>
      <c r="K334" s="692" t="s">
        <v>5</v>
      </c>
      <c r="L334" s="692" t="str">
        <f t="shared" si="5"/>
        <v>1-05-03</v>
      </c>
      <c r="M334" s="692"/>
      <c r="N334" s="692"/>
      <c r="O334" s="692"/>
      <c r="P334" s="692" t="s">
        <v>117</v>
      </c>
      <c r="Q334" s="692" t="s">
        <v>4804</v>
      </c>
      <c r="R334" s="692" t="s">
        <v>4469</v>
      </c>
      <c r="S334" s="692">
        <v>25466051</v>
      </c>
      <c r="T334" s="692"/>
      <c r="U334" s="692" t="s">
        <v>4216</v>
      </c>
      <c r="V334" s="692" t="s">
        <v>3065</v>
      </c>
      <c r="W334" s="692"/>
      <c r="X334" s="761"/>
      <c r="Z334" s="713"/>
      <c r="AA334" s="10"/>
      <c r="AB334" s="8"/>
      <c r="AC334" s="8"/>
      <c r="AD334" s="8"/>
      <c r="AE334" s="8"/>
      <c r="AF334" s="8"/>
      <c r="AG334" s="8"/>
      <c r="AH334" s="761"/>
      <c r="AI334" s="761"/>
    </row>
    <row r="335" spans="1:35" ht="15.75">
      <c r="A335" s="692" t="s">
        <v>3137</v>
      </c>
      <c r="B335" s="692" t="s">
        <v>127</v>
      </c>
      <c r="D335" s="692" t="s">
        <v>589</v>
      </c>
      <c r="E335" s="692" t="s">
        <v>3066</v>
      </c>
      <c r="F335" s="692" t="s">
        <v>3067</v>
      </c>
      <c r="G335" s="692" t="s">
        <v>298</v>
      </c>
      <c r="H335" s="692" t="s">
        <v>6</v>
      </c>
      <c r="I335" s="692" t="s">
        <v>126</v>
      </c>
      <c r="J335" s="692" t="s">
        <v>3</v>
      </c>
      <c r="K335" s="692" t="s">
        <v>5</v>
      </c>
      <c r="L335" s="692" t="str">
        <f t="shared" si="5"/>
        <v>5-01-03</v>
      </c>
      <c r="M335" s="692"/>
      <c r="N335" s="692"/>
      <c r="O335" s="692"/>
      <c r="P335" s="692" t="s">
        <v>868</v>
      </c>
      <c r="Q335" s="692" t="s">
        <v>4804</v>
      </c>
      <c r="R335" s="692" t="s">
        <v>4866</v>
      </c>
      <c r="S335" s="692">
        <v>22006750</v>
      </c>
      <c r="T335" s="692">
        <v>22006750</v>
      </c>
      <c r="U335" s="692" t="s">
        <v>3661</v>
      </c>
      <c r="V335" s="692" t="s">
        <v>3068</v>
      </c>
      <c r="W335" s="692"/>
      <c r="X335" s="761"/>
      <c r="Z335" s="713"/>
      <c r="AA335" s="10"/>
      <c r="AB335" s="8"/>
      <c r="AC335" s="8"/>
      <c r="AD335" s="8"/>
      <c r="AE335" s="8"/>
      <c r="AF335" s="8"/>
      <c r="AG335" s="8"/>
      <c r="AH335" s="761"/>
      <c r="AI335" s="761"/>
    </row>
    <row r="336" spans="1:35" ht="15.75">
      <c r="A336" s="692" t="s">
        <v>3069</v>
      </c>
      <c r="B336" s="692" t="s">
        <v>590</v>
      </c>
      <c r="D336" s="692" t="s">
        <v>590</v>
      </c>
      <c r="E336" s="692" t="s">
        <v>3069</v>
      </c>
      <c r="F336" s="692" t="s">
        <v>3070</v>
      </c>
      <c r="G336" s="692" t="s">
        <v>298</v>
      </c>
      <c r="H336" s="692" t="s">
        <v>3</v>
      </c>
      <c r="I336" s="692" t="s">
        <v>126</v>
      </c>
      <c r="J336" s="692" t="s">
        <v>13</v>
      </c>
      <c r="K336" s="692" t="s">
        <v>6</v>
      </c>
      <c r="L336" s="692" t="str">
        <f t="shared" si="5"/>
        <v>5-10-04</v>
      </c>
      <c r="M336" s="692"/>
      <c r="N336" s="692"/>
      <c r="O336" s="692"/>
      <c r="P336" s="692" t="s">
        <v>791</v>
      </c>
      <c r="Q336" s="692" t="s">
        <v>4804</v>
      </c>
      <c r="R336" s="692" t="s">
        <v>5837</v>
      </c>
      <c r="S336" s="692">
        <v>22005145</v>
      </c>
      <c r="T336" s="692">
        <v>22005452</v>
      </c>
      <c r="U336" s="692" t="s">
        <v>3921</v>
      </c>
      <c r="V336" s="692" t="s">
        <v>5626</v>
      </c>
      <c r="W336" s="692"/>
      <c r="X336" s="761"/>
      <c r="Z336" s="713"/>
      <c r="AA336" s="10"/>
      <c r="AB336" s="8"/>
      <c r="AC336" s="8"/>
      <c r="AD336" s="8"/>
      <c r="AE336" s="8"/>
      <c r="AF336" s="8"/>
      <c r="AG336" s="8"/>
      <c r="AH336" s="761"/>
      <c r="AI336" s="761"/>
    </row>
    <row r="337" spans="1:35" ht="15.75">
      <c r="A337" s="692" t="s">
        <v>3066</v>
      </c>
      <c r="B337" s="692" t="s">
        <v>589</v>
      </c>
      <c r="D337" s="692" t="s">
        <v>592</v>
      </c>
      <c r="E337" s="692" t="s">
        <v>3071</v>
      </c>
      <c r="F337" s="692" t="s">
        <v>3072</v>
      </c>
      <c r="G337" s="692" t="s">
        <v>450</v>
      </c>
      <c r="H337" s="692" t="s">
        <v>4</v>
      </c>
      <c r="I337" s="692" t="s">
        <v>80</v>
      </c>
      <c r="J337" s="692" t="s">
        <v>8</v>
      </c>
      <c r="K337" s="692" t="s">
        <v>4</v>
      </c>
      <c r="L337" s="692" t="str">
        <f t="shared" si="5"/>
        <v>6-06-02</v>
      </c>
      <c r="M337" s="692"/>
      <c r="N337" s="692"/>
      <c r="O337" s="692"/>
      <c r="P337" s="692" t="s">
        <v>748</v>
      </c>
      <c r="Q337" s="692" t="s">
        <v>4804</v>
      </c>
      <c r="R337" s="692" t="s">
        <v>4870</v>
      </c>
      <c r="S337" s="692">
        <v>22006039</v>
      </c>
      <c r="T337" s="692">
        <v>27876098</v>
      </c>
      <c r="U337" s="692" t="s">
        <v>3922</v>
      </c>
      <c r="V337" s="692" t="s">
        <v>3073</v>
      </c>
      <c r="W337" s="692"/>
      <c r="X337" s="761"/>
      <c r="Z337" s="713"/>
      <c r="AA337" s="10"/>
      <c r="AB337" s="8"/>
      <c r="AC337" s="8"/>
      <c r="AD337" s="8"/>
      <c r="AE337" s="8"/>
      <c r="AF337" s="8"/>
      <c r="AG337" s="8"/>
      <c r="AH337" s="761"/>
      <c r="AI337" s="761"/>
    </row>
    <row r="338" spans="1:35" ht="15.75">
      <c r="A338" s="692" t="s">
        <v>3134</v>
      </c>
      <c r="B338" s="692" t="s">
        <v>607</v>
      </c>
      <c r="D338" s="692" t="s">
        <v>593</v>
      </c>
      <c r="E338" s="692" t="s">
        <v>3074</v>
      </c>
      <c r="F338" s="692" t="s">
        <v>3075</v>
      </c>
      <c r="G338" s="692" t="s">
        <v>450</v>
      </c>
      <c r="H338" s="692" t="s">
        <v>4</v>
      </c>
      <c r="I338" s="692" t="s">
        <v>80</v>
      </c>
      <c r="J338" s="692" t="s">
        <v>8</v>
      </c>
      <c r="K338" s="692" t="s">
        <v>4</v>
      </c>
      <c r="L338" s="692" t="str">
        <f t="shared" si="5"/>
        <v>6-06-02</v>
      </c>
      <c r="M338" s="692"/>
      <c r="N338" s="692"/>
      <c r="O338" s="692"/>
      <c r="P338" s="692" t="s">
        <v>510</v>
      </c>
      <c r="Q338" s="692" t="s">
        <v>4804</v>
      </c>
      <c r="R338" s="692" t="s">
        <v>3562</v>
      </c>
      <c r="S338" s="692">
        <v>22003070</v>
      </c>
      <c r="T338" s="692"/>
      <c r="U338" s="692" t="s">
        <v>4217</v>
      </c>
      <c r="V338" s="692" t="s">
        <v>5627</v>
      </c>
      <c r="W338" s="692"/>
      <c r="X338" s="761"/>
      <c r="Z338" s="713"/>
      <c r="AA338" s="10"/>
      <c r="AB338" s="8"/>
      <c r="AC338" s="8"/>
      <c r="AD338" s="8"/>
      <c r="AE338" s="8"/>
      <c r="AF338" s="8"/>
      <c r="AG338" s="8"/>
      <c r="AH338" s="761"/>
      <c r="AI338" s="761"/>
    </row>
    <row r="339" spans="1:35" ht="15.75">
      <c r="A339" s="692" t="s">
        <v>3113</v>
      </c>
      <c r="B339" s="692" t="s">
        <v>312</v>
      </c>
      <c r="D339" s="692" t="s">
        <v>594</v>
      </c>
      <c r="E339" s="692" t="s">
        <v>3076</v>
      </c>
      <c r="F339" s="692" t="s">
        <v>3077</v>
      </c>
      <c r="G339" s="692" t="s">
        <v>450</v>
      </c>
      <c r="H339" s="692" t="s">
        <v>8</v>
      </c>
      <c r="I339" s="692" t="s">
        <v>80</v>
      </c>
      <c r="J339" s="692" t="s">
        <v>8</v>
      </c>
      <c r="K339" s="692" t="s">
        <v>3</v>
      </c>
      <c r="L339" s="692" t="str">
        <f t="shared" si="5"/>
        <v>6-06-01</v>
      </c>
      <c r="M339" s="692"/>
      <c r="N339" s="692"/>
      <c r="O339" s="692"/>
      <c r="P339" s="692" t="s">
        <v>829</v>
      </c>
      <c r="Q339" s="692" t="s">
        <v>4804</v>
      </c>
      <c r="R339" s="692" t="s">
        <v>4671</v>
      </c>
      <c r="S339" s="692">
        <v>88429636</v>
      </c>
      <c r="T339" s="692"/>
      <c r="U339" s="692" t="s">
        <v>4661</v>
      </c>
      <c r="V339" s="692" t="s">
        <v>3078</v>
      </c>
      <c r="W339" s="692"/>
      <c r="X339" s="761"/>
      <c r="Z339" s="713"/>
      <c r="AA339" s="10"/>
      <c r="AB339" s="8"/>
      <c r="AC339" s="8"/>
      <c r="AD339" s="8"/>
      <c r="AE339" s="8"/>
      <c r="AF339" s="8"/>
      <c r="AG339" s="8"/>
      <c r="AH339" s="761"/>
      <c r="AI339" s="761"/>
    </row>
    <row r="340" spans="1:35" ht="15.75">
      <c r="A340" s="692" t="s">
        <v>3120</v>
      </c>
      <c r="B340" s="692" t="s">
        <v>603</v>
      </c>
      <c r="D340" s="714" t="s">
        <v>596</v>
      </c>
      <c r="E340" s="714" t="s">
        <v>3079</v>
      </c>
      <c r="F340" s="714" t="s">
        <v>5721</v>
      </c>
      <c r="G340" s="714" t="s">
        <v>450</v>
      </c>
      <c r="H340" s="714" t="s">
        <v>3</v>
      </c>
      <c r="I340" s="714" t="s">
        <v>80</v>
      </c>
      <c r="J340" s="714" t="s">
        <v>8</v>
      </c>
      <c r="K340" s="714" t="s">
        <v>5</v>
      </c>
      <c r="L340" s="692" t="str">
        <f t="shared" si="5"/>
        <v>6-06-03</v>
      </c>
      <c r="M340" s="714"/>
      <c r="N340" s="714"/>
      <c r="O340" s="714"/>
      <c r="P340" s="714" t="s">
        <v>3080</v>
      </c>
      <c r="Q340" s="714" t="s">
        <v>4804</v>
      </c>
      <c r="R340" s="714" t="s">
        <v>5883</v>
      </c>
      <c r="S340" s="714">
        <v>22005035</v>
      </c>
      <c r="T340" s="714">
        <v>27791745</v>
      </c>
      <c r="U340" s="714" t="s">
        <v>4218</v>
      </c>
      <c r="V340" s="714" t="s">
        <v>5628</v>
      </c>
      <c r="W340" s="714"/>
      <c r="X340" s="761"/>
      <c r="Z340" s="714"/>
      <c r="AH340" s="761" t="s">
        <v>4493</v>
      </c>
      <c r="AI340" s="761"/>
    </row>
    <row r="341" spans="1:35" ht="15.75">
      <c r="A341" s="692" t="s">
        <v>3123</v>
      </c>
      <c r="B341" s="692" t="s">
        <v>605</v>
      </c>
      <c r="D341" s="692" t="s">
        <v>597</v>
      </c>
      <c r="E341" s="692" t="s">
        <v>3081</v>
      </c>
      <c r="F341" s="692" t="s">
        <v>4082</v>
      </c>
      <c r="G341" s="692" t="s">
        <v>117</v>
      </c>
      <c r="H341" s="692" t="s">
        <v>8</v>
      </c>
      <c r="I341" s="692" t="s">
        <v>43</v>
      </c>
      <c r="J341" s="692" t="s">
        <v>4</v>
      </c>
      <c r="K341" s="692" t="s">
        <v>18</v>
      </c>
      <c r="L341" s="692" t="str">
        <f t="shared" si="5"/>
        <v>2-02-13</v>
      </c>
      <c r="M341" s="692"/>
      <c r="N341" s="692"/>
      <c r="O341" s="692"/>
      <c r="P341" s="692" t="s">
        <v>730</v>
      </c>
      <c r="Q341" s="692" t="s">
        <v>4804</v>
      </c>
      <c r="R341" s="692" t="s">
        <v>4662</v>
      </c>
      <c r="S341" s="692">
        <v>24791435</v>
      </c>
      <c r="T341" s="692"/>
      <c r="U341" s="692" t="s">
        <v>4220</v>
      </c>
      <c r="V341" s="692" t="s">
        <v>4221</v>
      </c>
      <c r="W341" s="692"/>
      <c r="X341" s="761"/>
      <c r="Z341" s="713"/>
      <c r="AA341" s="10"/>
      <c r="AB341" s="8"/>
      <c r="AC341" s="8"/>
      <c r="AD341" s="8"/>
      <c r="AE341" s="8"/>
      <c r="AF341" s="8"/>
      <c r="AG341" s="8"/>
      <c r="AH341" s="761"/>
      <c r="AI341" s="761"/>
    </row>
    <row r="342" spans="1:35" ht="15.75">
      <c r="A342" s="692" t="s">
        <v>3100</v>
      </c>
      <c r="B342" s="692" t="s">
        <v>931</v>
      </c>
      <c r="D342" s="692" t="s">
        <v>598</v>
      </c>
      <c r="E342" s="692" t="s">
        <v>3082</v>
      </c>
      <c r="F342" s="692" t="s">
        <v>3083</v>
      </c>
      <c r="G342" s="692" t="s">
        <v>387</v>
      </c>
      <c r="H342" s="692" t="s">
        <v>13</v>
      </c>
      <c r="I342" s="692" t="s">
        <v>41</v>
      </c>
      <c r="J342" s="692" t="s">
        <v>388</v>
      </c>
      <c r="K342" s="692" t="s">
        <v>3</v>
      </c>
      <c r="L342" s="692" t="str">
        <f t="shared" si="5"/>
        <v>1-19-01</v>
      </c>
      <c r="M342" s="692"/>
      <c r="N342" s="692"/>
      <c r="O342" s="692"/>
      <c r="P342" s="692" t="s">
        <v>1183</v>
      </c>
      <c r="Q342" s="692" t="s">
        <v>4804</v>
      </c>
      <c r="R342" s="692" t="s">
        <v>4222</v>
      </c>
      <c r="S342" s="692">
        <v>27703561</v>
      </c>
      <c r="T342" s="692">
        <v>27703561</v>
      </c>
      <c r="U342" s="692" t="s">
        <v>3662</v>
      </c>
      <c r="V342" s="692" t="s">
        <v>4663</v>
      </c>
      <c r="W342" s="692"/>
      <c r="X342" s="761"/>
      <c r="Z342" s="713"/>
      <c r="AA342" s="10"/>
      <c r="AB342" s="8"/>
      <c r="AC342" s="8"/>
      <c r="AD342" s="8"/>
      <c r="AE342" s="8"/>
      <c r="AF342" s="8"/>
      <c r="AG342" s="8"/>
      <c r="AH342" s="761"/>
      <c r="AI342" s="761"/>
    </row>
    <row r="343" spans="1:35" ht="15.75">
      <c r="A343" s="692" t="s">
        <v>3127</v>
      </c>
      <c r="B343" s="692" t="s">
        <v>936</v>
      </c>
      <c r="D343" s="692" t="s">
        <v>600</v>
      </c>
      <c r="E343" s="692" t="s">
        <v>3084</v>
      </c>
      <c r="F343" s="692" t="s">
        <v>3085</v>
      </c>
      <c r="G343" s="692" t="s">
        <v>117</v>
      </c>
      <c r="H343" s="692" t="s">
        <v>6</v>
      </c>
      <c r="I343" s="692" t="s">
        <v>43</v>
      </c>
      <c r="J343" s="692" t="s">
        <v>13</v>
      </c>
      <c r="K343" s="692" t="s">
        <v>12</v>
      </c>
      <c r="L343" s="692" t="str">
        <f t="shared" si="5"/>
        <v>2-10-09</v>
      </c>
      <c r="M343" s="692"/>
      <c r="N343" s="692"/>
      <c r="O343" s="692"/>
      <c r="P343" s="692" t="s">
        <v>717</v>
      </c>
      <c r="Q343" s="692" t="s">
        <v>4804</v>
      </c>
      <c r="R343" s="692" t="s">
        <v>3086</v>
      </c>
      <c r="S343" s="692">
        <v>24740717</v>
      </c>
      <c r="T343" s="692">
        <v>24740717</v>
      </c>
      <c r="U343" s="692" t="s">
        <v>3663</v>
      </c>
      <c r="V343" s="692" t="s">
        <v>3087</v>
      </c>
      <c r="W343" s="692"/>
      <c r="X343" s="761"/>
      <c r="Z343" s="713"/>
      <c r="AA343" s="10"/>
      <c r="AB343" s="8"/>
      <c r="AC343" s="8"/>
      <c r="AD343" s="8"/>
      <c r="AE343" s="8"/>
      <c r="AF343" s="8"/>
      <c r="AG343" s="8"/>
      <c r="AH343" s="761"/>
      <c r="AI343" s="761"/>
    </row>
    <row r="344" spans="1:35" ht="15.75">
      <c r="A344" s="692" t="s">
        <v>3042</v>
      </c>
      <c r="B344" s="692" t="s">
        <v>493</v>
      </c>
      <c r="D344" s="692" t="s">
        <v>1073</v>
      </c>
      <c r="E344" s="692" t="s">
        <v>3088</v>
      </c>
      <c r="F344" s="692" t="s">
        <v>3089</v>
      </c>
      <c r="G344" s="692" t="s">
        <v>117</v>
      </c>
      <c r="H344" s="692" t="s">
        <v>16</v>
      </c>
      <c r="I344" s="692" t="s">
        <v>43</v>
      </c>
      <c r="J344" s="692" t="s">
        <v>13</v>
      </c>
      <c r="K344" s="692" t="s">
        <v>13</v>
      </c>
      <c r="L344" s="692" t="str">
        <f t="shared" si="5"/>
        <v>2-10-10</v>
      </c>
      <c r="M344" s="692"/>
      <c r="N344" s="692"/>
      <c r="O344" s="692"/>
      <c r="P344" s="692" t="s">
        <v>3090</v>
      </c>
      <c r="Q344" s="692" t="s">
        <v>4804</v>
      </c>
      <c r="R344" s="692" t="s">
        <v>3565</v>
      </c>
      <c r="S344" s="692">
        <v>24788906</v>
      </c>
      <c r="T344" s="692">
        <v>24788906</v>
      </c>
      <c r="U344" s="692" t="s">
        <v>3923</v>
      </c>
      <c r="V344" s="692" t="s">
        <v>5629</v>
      </c>
      <c r="W344" s="692"/>
      <c r="X344" s="761"/>
      <c r="Z344" s="713"/>
      <c r="AA344" s="10"/>
      <c r="AB344" s="8"/>
      <c r="AC344" s="8"/>
      <c r="AD344" s="8"/>
      <c r="AE344" s="8"/>
      <c r="AF344" s="8"/>
      <c r="AG344" s="8"/>
      <c r="AH344" s="761"/>
      <c r="AI344" s="761"/>
    </row>
    <row r="345" spans="1:35" ht="15.75">
      <c r="A345" s="692" t="s">
        <v>3081</v>
      </c>
      <c r="B345" s="692" t="s">
        <v>597</v>
      </c>
      <c r="D345" s="692" t="s">
        <v>310</v>
      </c>
      <c r="E345" s="692" t="s">
        <v>3096</v>
      </c>
      <c r="F345" s="692" t="s">
        <v>3097</v>
      </c>
      <c r="G345" s="692" t="s">
        <v>109</v>
      </c>
      <c r="H345" s="692" t="s">
        <v>7</v>
      </c>
      <c r="I345" s="692" t="s">
        <v>110</v>
      </c>
      <c r="J345" s="692" t="s">
        <v>13</v>
      </c>
      <c r="K345" s="692" t="s">
        <v>3</v>
      </c>
      <c r="L345" s="692" t="str">
        <f t="shared" si="5"/>
        <v>4-10-01</v>
      </c>
      <c r="M345" s="692"/>
      <c r="N345" s="692"/>
      <c r="O345" s="692"/>
      <c r="P345" s="692" t="s">
        <v>781</v>
      </c>
      <c r="Q345" s="692" t="s">
        <v>4804</v>
      </c>
      <c r="R345" s="692" t="s">
        <v>5660</v>
      </c>
      <c r="S345" s="692">
        <v>44056178</v>
      </c>
      <c r="T345" s="692">
        <v>22064283</v>
      </c>
      <c r="U345" s="692" t="s">
        <v>4223</v>
      </c>
      <c r="V345" s="692" t="s">
        <v>3099</v>
      </c>
      <c r="W345" s="692"/>
      <c r="X345" s="761"/>
      <c r="Z345" s="713"/>
      <c r="AA345" s="10"/>
      <c r="AB345" s="8"/>
      <c r="AC345" s="8"/>
      <c r="AD345" s="8"/>
      <c r="AE345" s="8"/>
      <c r="AF345" s="8"/>
      <c r="AG345" s="8"/>
      <c r="AH345" s="761"/>
      <c r="AI345" s="761"/>
    </row>
    <row r="346" spans="1:35" ht="15.75">
      <c r="A346" s="692" t="s">
        <v>3088</v>
      </c>
      <c r="B346" s="692" t="s">
        <v>1073</v>
      </c>
      <c r="D346" s="692" t="s">
        <v>931</v>
      </c>
      <c r="E346" s="692" t="s">
        <v>3100</v>
      </c>
      <c r="F346" s="692" t="s">
        <v>3101</v>
      </c>
      <c r="G346" s="692" t="s">
        <v>798</v>
      </c>
      <c r="H346" s="692" t="s">
        <v>4</v>
      </c>
      <c r="I346" s="692" t="s">
        <v>126</v>
      </c>
      <c r="J346" s="692" t="s">
        <v>4</v>
      </c>
      <c r="K346" s="692" t="s">
        <v>9</v>
      </c>
      <c r="L346" s="692" t="str">
        <f t="shared" si="5"/>
        <v>5-02-07</v>
      </c>
      <c r="M346" s="692"/>
      <c r="N346" s="692"/>
      <c r="O346" s="692"/>
      <c r="P346" s="692" t="s">
        <v>777</v>
      </c>
      <c r="Q346" s="692" t="s">
        <v>4804</v>
      </c>
      <c r="R346" s="692" t="s">
        <v>4664</v>
      </c>
      <c r="S346" s="692">
        <v>26849171</v>
      </c>
      <c r="T346" s="692">
        <v>83106769</v>
      </c>
      <c r="U346" s="692" t="s">
        <v>3664</v>
      </c>
      <c r="V346" s="692" t="s">
        <v>3102</v>
      </c>
      <c r="W346" s="692"/>
      <c r="X346" s="761"/>
      <c r="Z346" s="713"/>
      <c r="AA346" s="10"/>
      <c r="AB346" s="8"/>
      <c r="AC346" s="8"/>
      <c r="AD346" s="8"/>
      <c r="AE346" s="8"/>
      <c r="AF346" s="8"/>
      <c r="AG346" s="8"/>
      <c r="AH346" s="761"/>
      <c r="AI346" s="761"/>
    </row>
    <row r="347" spans="1:35" ht="15.75">
      <c r="A347" s="692" t="s">
        <v>3138</v>
      </c>
      <c r="B347" s="692" t="s">
        <v>358</v>
      </c>
      <c r="D347" s="692" t="s">
        <v>347</v>
      </c>
      <c r="E347" s="692" t="s">
        <v>3103</v>
      </c>
      <c r="F347" s="692" t="s">
        <v>3104</v>
      </c>
      <c r="G347" s="692" t="s">
        <v>65</v>
      </c>
      <c r="H347" s="692" t="s">
        <v>6</v>
      </c>
      <c r="I347" s="692" t="s">
        <v>43</v>
      </c>
      <c r="J347" s="692" t="s">
        <v>17</v>
      </c>
      <c r="K347" s="692" t="s">
        <v>7</v>
      </c>
      <c r="L347" s="692" t="str">
        <f t="shared" si="5"/>
        <v>2-12-05</v>
      </c>
      <c r="M347" s="692"/>
      <c r="N347" s="692"/>
      <c r="O347" s="692"/>
      <c r="P347" s="692" t="s">
        <v>94</v>
      </c>
      <c r="Q347" s="692" t="s">
        <v>4804</v>
      </c>
      <c r="R347" s="692" t="s">
        <v>5630</v>
      </c>
      <c r="S347" s="692">
        <v>24543148</v>
      </c>
      <c r="T347" s="692">
        <v>24543148</v>
      </c>
      <c r="U347" s="692" t="s">
        <v>3924</v>
      </c>
      <c r="V347" s="692" t="s">
        <v>3925</v>
      </c>
      <c r="W347" s="692"/>
      <c r="X347" s="761"/>
      <c r="Z347" s="713"/>
      <c r="AA347" s="10"/>
      <c r="AB347" s="8"/>
      <c r="AC347" s="8"/>
      <c r="AD347" s="8"/>
      <c r="AE347" s="8"/>
      <c r="AF347" s="8"/>
      <c r="AG347" s="8"/>
      <c r="AH347" s="761"/>
      <c r="AI347" s="761"/>
    </row>
    <row r="348" spans="1:35" ht="15.75">
      <c r="A348" s="692" t="s">
        <v>4758</v>
      </c>
      <c r="B348" s="692" t="s">
        <v>4757</v>
      </c>
      <c r="D348" s="692" t="s">
        <v>4757</v>
      </c>
      <c r="E348" s="692" t="s">
        <v>4758</v>
      </c>
      <c r="F348" s="692" t="s">
        <v>4762</v>
      </c>
      <c r="G348" s="692" t="s">
        <v>65</v>
      </c>
      <c r="H348" s="692" t="s">
        <v>6</v>
      </c>
      <c r="I348" s="692" t="s">
        <v>43</v>
      </c>
      <c r="J348" s="692" t="s">
        <v>17</v>
      </c>
      <c r="K348" s="692" t="s">
        <v>5</v>
      </c>
      <c r="L348" s="692" t="str">
        <f t="shared" si="5"/>
        <v>2-12-03</v>
      </c>
      <c r="M348" s="692"/>
      <c r="N348" s="692"/>
      <c r="O348" s="692"/>
      <c r="P348" s="692" t="s">
        <v>4767</v>
      </c>
      <c r="Q348" s="692" t="s">
        <v>4804</v>
      </c>
      <c r="R348" s="692" t="s">
        <v>5732</v>
      </c>
      <c r="S348" s="692">
        <v>24760069</v>
      </c>
      <c r="T348" s="692"/>
      <c r="U348" s="692" t="s">
        <v>5631</v>
      </c>
      <c r="V348" s="692" t="s">
        <v>378</v>
      </c>
      <c r="W348" s="692"/>
      <c r="X348" s="761"/>
      <c r="Z348" s="713"/>
      <c r="AA348" s="10"/>
      <c r="AB348" s="8"/>
      <c r="AC348" s="8"/>
      <c r="AD348" s="8"/>
      <c r="AE348" s="8"/>
      <c r="AF348" s="8"/>
      <c r="AG348" s="8"/>
      <c r="AH348" s="761"/>
      <c r="AI348" s="761"/>
    </row>
    <row r="349" spans="1:35" ht="15.75">
      <c r="A349" s="692" t="s">
        <v>3096</v>
      </c>
      <c r="B349" s="692" t="s">
        <v>310</v>
      </c>
      <c r="D349" s="692" t="s">
        <v>345</v>
      </c>
      <c r="E349" s="692" t="s">
        <v>3105</v>
      </c>
      <c r="F349" s="692" t="s">
        <v>3106</v>
      </c>
      <c r="G349" s="692" t="s">
        <v>450</v>
      </c>
      <c r="H349" s="692" t="s">
        <v>5</v>
      </c>
      <c r="I349" s="692" t="s">
        <v>80</v>
      </c>
      <c r="J349" s="692" t="s">
        <v>12</v>
      </c>
      <c r="K349" s="692" t="s">
        <v>3</v>
      </c>
      <c r="L349" s="692" t="str">
        <f t="shared" si="5"/>
        <v>6-09-01</v>
      </c>
      <c r="M349" s="692"/>
      <c r="N349" s="692"/>
      <c r="O349" s="692"/>
      <c r="P349" s="692" t="s">
        <v>175</v>
      </c>
      <c r="Q349" s="692" t="s">
        <v>4804</v>
      </c>
      <c r="R349" s="692" t="s">
        <v>4665</v>
      </c>
      <c r="S349" s="692">
        <v>22005446</v>
      </c>
      <c r="T349" s="692"/>
      <c r="U349" s="692" t="s">
        <v>3926</v>
      </c>
      <c r="V349" s="692" t="s">
        <v>3107</v>
      </c>
      <c r="W349" s="692"/>
      <c r="X349" s="761"/>
      <c r="Z349" s="713"/>
      <c r="AA349" s="10"/>
      <c r="AB349" s="8"/>
      <c r="AC349" s="8"/>
      <c r="AD349" s="8"/>
      <c r="AE349" s="8"/>
      <c r="AF349" s="8"/>
      <c r="AG349" s="8"/>
      <c r="AH349" s="761"/>
      <c r="AI349" s="761"/>
    </row>
    <row r="350" spans="1:35" ht="15.75">
      <c r="A350" s="692" t="s">
        <v>3135</v>
      </c>
      <c r="B350" s="692" t="s">
        <v>608</v>
      </c>
      <c r="D350" s="692" t="s">
        <v>351</v>
      </c>
      <c r="E350" s="692" t="s">
        <v>3108</v>
      </c>
      <c r="F350" s="692" t="s">
        <v>3109</v>
      </c>
      <c r="G350" s="692" t="s">
        <v>4397</v>
      </c>
      <c r="H350" s="692" t="s">
        <v>18</v>
      </c>
      <c r="I350" s="692" t="s">
        <v>80</v>
      </c>
      <c r="J350" s="692" t="s">
        <v>5</v>
      </c>
      <c r="K350" s="692" t="s">
        <v>5</v>
      </c>
      <c r="L350" s="692" t="str">
        <f t="shared" si="5"/>
        <v>6-03-03</v>
      </c>
      <c r="M350" s="692"/>
      <c r="N350" s="692"/>
      <c r="O350" s="692"/>
      <c r="P350" s="692" t="s">
        <v>5706</v>
      </c>
      <c r="Q350" s="692" t="s">
        <v>4804</v>
      </c>
      <c r="R350" s="692" t="s">
        <v>3110</v>
      </c>
      <c r="S350" s="692">
        <v>87148116</v>
      </c>
      <c r="T350" s="692">
        <v>27305522</v>
      </c>
      <c r="U350" s="692" t="s">
        <v>4224</v>
      </c>
      <c r="V350" s="692" t="s">
        <v>3111</v>
      </c>
      <c r="W350" s="692"/>
      <c r="X350" s="761"/>
      <c r="Z350" s="713"/>
      <c r="AA350" s="10"/>
      <c r="AB350" s="8"/>
      <c r="AC350" s="8"/>
      <c r="AD350" s="8"/>
      <c r="AE350" s="8"/>
      <c r="AF350" s="8"/>
      <c r="AG350" s="8"/>
      <c r="AH350" s="761"/>
      <c r="AI350" s="761"/>
    </row>
    <row r="351" spans="1:35" ht="15.75">
      <c r="A351" s="692" t="s">
        <v>3082</v>
      </c>
      <c r="B351" s="692" t="s">
        <v>598</v>
      </c>
      <c r="D351" s="692" t="s">
        <v>312</v>
      </c>
      <c r="E351" s="692" t="s">
        <v>3113</v>
      </c>
      <c r="F351" s="692" t="s">
        <v>3114</v>
      </c>
      <c r="G351" s="692" t="s">
        <v>5729</v>
      </c>
      <c r="H351" s="692" t="s">
        <v>7</v>
      </c>
      <c r="I351" s="692" t="s">
        <v>68</v>
      </c>
      <c r="J351" s="692" t="s">
        <v>5</v>
      </c>
      <c r="K351" s="692" t="s">
        <v>9</v>
      </c>
      <c r="L351" s="692" t="str">
        <f t="shared" si="5"/>
        <v>7-03-07</v>
      </c>
      <c r="M351" s="692"/>
      <c r="N351" s="692"/>
      <c r="O351" s="692"/>
      <c r="P351" s="692" t="s">
        <v>3115</v>
      </c>
      <c r="Q351" s="692" t="s">
        <v>4804</v>
      </c>
      <c r="R351" s="692" t="s">
        <v>5773</v>
      </c>
      <c r="S351" s="692">
        <v>22002910</v>
      </c>
      <c r="T351" s="692"/>
      <c r="U351" s="692" t="s">
        <v>4871</v>
      </c>
      <c r="V351" s="692" t="s">
        <v>4470</v>
      </c>
      <c r="W351" s="692"/>
      <c r="X351" s="761"/>
      <c r="Z351" s="713"/>
      <c r="AA351" s="10"/>
      <c r="AB351" s="8"/>
      <c r="AC351" s="8"/>
      <c r="AD351" s="8"/>
      <c r="AE351" s="8"/>
      <c r="AF351" s="8"/>
      <c r="AG351" s="8"/>
      <c r="AH351" s="761"/>
      <c r="AI351" s="761"/>
    </row>
    <row r="352" spans="1:35" ht="15.75">
      <c r="A352" s="692" t="s">
        <v>3055</v>
      </c>
      <c r="B352" s="692" t="s">
        <v>513</v>
      </c>
      <c r="D352" s="692" t="s">
        <v>602</v>
      </c>
      <c r="E352" s="692" t="s">
        <v>3116</v>
      </c>
      <c r="F352" s="692" t="s">
        <v>3117</v>
      </c>
      <c r="G352" s="692" t="s">
        <v>5729</v>
      </c>
      <c r="H352" s="692" t="s">
        <v>6</v>
      </c>
      <c r="I352" s="692" t="s">
        <v>68</v>
      </c>
      <c r="J352" s="692" t="s">
        <v>5</v>
      </c>
      <c r="K352" s="692" t="s">
        <v>3</v>
      </c>
      <c r="L352" s="692" t="str">
        <f t="shared" si="5"/>
        <v>7-03-01</v>
      </c>
      <c r="M352" s="692"/>
      <c r="N352" s="692"/>
      <c r="O352" s="692"/>
      <c r="P352" s="692" t="s">
        <v>3118</v>
      </c>
      <c r="Q352" s="692" t="s">
        <v>4804</v>
      </c>
      <c r="R352" s="692" t="s">
        <v>4666</v>
      </c>
      <c r="S352" s="692">
        <v>27681191</v>
      </c>
      <c r="T352" s="692">
        <v>27681191</v>
      </c>
      <c r="U352" s="692" t="s">
        <v>4872</v>
      </c>
      <c r="V352" s="692" t="s">
        <v>3119</v>
      </c>
      <c r="W352" s="692"/>
      <c r="X352" s="761"/>
      <c r="Z352" s="713"/>
      <c r="AA352" s="10"/>
      <c r="AB352" s="8"/>
      <c r="AC352" s="8"/>
      <c r="AD352" s="8"/>
      <c r="AE352" s="8"/>
      <c r="AF352" s="8"/>
      <c r="AG352" s="8"/>
      <c r="AH352" s="761"/>
      <c r="AI352" s="761"/>
    </row>
    <row r="353" spans="1:35" ht="15.75">
      <c r="A353" s="714" t="s">
        <v>3079</v>
      </c>
      <c r="B353" s="714" t="s">
        <v>596</v>
      </c>
      <c r="D353" s="692" t="s">
        <v>603</v>
      </c>
      <c r="E353" s="692" t="s">
        <v>3120</v>
      </c>
      <c r="F353" s="692" t="s">
        <v>5632</v>
      </c>
      <c r="G353" s="692" t="s">
        <v>4398</v>
      </c>
      <c r="H353" s="692" t="s">
        <v>7</v>
      </c>
      <c r="I353" s="692" t="s">
        <v>68</v>
      </c>
      <c r="J353" s="692" t="s">
        <v>3</v>
      </c>
      <c r="K353" s="692" t="s">
        <v>4</v>
      </c>
      <c r="L353" s="692" t="str">
        <f t="shared" si="5"/>
        <v>7-01-02</v>
      </c>
      <c r="M353" s="692"/>
      <c r="N353" s="692"/>
      <c r="O353" s="692"/>
      <c r="P353" s="692" t="s">
        <v>5708</v>
      </c>
      <c r="Q353" s="692" t="s">
        <v>4804</v>
      </c>
      <c r="R353" s="692" t="s">
        <v>5808</v>
      </c>
      <c r="S353" s="692">
        <v>22064771</v>
      </c>
      <c r="T353" s="692"/>
      <c r="U353" s="692" t="s">
        <v>4225</v>
      </c>
      <c r="V353" s="692" t="s">
        <v>3121</v>
      </c>
      <c r="W353" s="692"/>
      <c r="X353" s="761"/>
      <c r="Z353" s="713"/>
      <c r="AA353" s="10"/>
      <c r="AB353" s="8"/>
      <c r="AC353" s="8"/>
      <c r="AD353" s="8"/>
      <c r="AE353" s="8"/>
      <c r="AF353" s="8"/>
      <c r="AG353" s="8"/>
      <c r="AH353" s="761"/>
      <c r="AI353" s="761"/>
    </row>
    <row r="354" spans="1:35" ht="15.75">
      <c r="A354" s="692" t="s">
        <v>3044</v>
      </c>
      <c r="B354" s="692" t="s">
        <v>494</v>
      </c>
      <c r="D354" s="692" t="s">
        <v>604</v>
      </c>
      <c r="E354" s="692" t="s">
        <v>3122</v>
      </c>
      <c r="F354" s="692" t="s">
        <v>4083</v>
      </c>
      <c r="G354" s="692" t="s">
        <v>79</v>
      </c>
      <c r="H354" s="692" t="s">
        <v>118</v>
      </c>
      <c r="I354" s="692" t="s">
        <v>80</v>
      </c>
      <c r="J354" s="692" t="s">
        <v>9</v>
      </c>
      <c r="K354" s="692" t="s">
        <v>6</v>
      </c>
      <c r="L354" s="692" t="str">
        <f t="shared" si="5"/>
        <v>6-07-04</v>
      </c>
      <c r="M354" s="692"/>
      <c r="N354" s="692"/>
      <c r="O354" s="692"/>
      <c r="P354" s="692" t="s">
        <v>4226</v>
      </c>
      <c r="Q354" s="692" t="s">
        <v>4804</v>
      </c>
      <c r="R354" s="692" t="s">
        <v>4227</v>
      </c>
      <c r="S354" s="692"/>
      <c r="T354" s="692"/>
      <c r="U354" s="692" t="s">
        <v>4228</v>
      </c>
      <c r="V354" s="692" t="s">
        <v>4873</v>
      </c>
      <c r="W354" s="692"/>
      <c r="X354" s="761"/>
      <c r="Z354" s="713"/>
      <c r="AA354" s="10"/>
      <c r="AB354" s="8"/>
      <c r="AC354" s="8"/>
      <c r="AD354" s="8"/>
      <c r="AE354" s="8"/>
      <c r="AF354" s="8"/>
      <c r="AG354" s="8"/>
      <c r="AH354" s="761"/>
      <c r="AI354" s="761"/>
    </row>
    <row r="355" spans="1:35" ht="15.75">
      <c r="A355" s="692" t="s">
        <v>3129</v>
      </c>
      <c r="B355" s="692" t="s">
        <v>914</v>
      </c>
      <c r="D355" s="692" t="s">
        <v>605</v>
      </c>
      <c r="E355" s="692" t="s">
        <v>3123</v>
      </c>
      <c r="F355" s="692" t="s">
        <v>3124</v>
      </c>
      <c r="G355" s="692" t="s">
        <v>767</v>
      </c>
      <c r="H355" s="692" t="s">
        <v>8</v>
      </c>
      <c r="I355" s="692" t="s">
        <v>56</v>
      </c>
      <c r="J355" s="692" t="s">
        <v>7</v>
      </c>
      <c r="K355" s="692" t="s">
        <v>17</v>
      </c>
      <c r="L355" s="692" t="str">
        <f t="shared" si="5"/>
        <v>3-05-12</v>
      </c>
      <c r="M355" s="692"/>
      <c r="N355" s="692"/>
      <c r="O355" s="692"/>
      <c r="P355" s="692" t="s">
        <v>3125</v>
      </c>
      <c r="Q355" s="692" t="s">
        <v>4804</v>
      </c>
      <c r="R355" s="692" t="s">
        <v>3564</v>
      </c>
      <c r="S355" s="692">
        <v>22065806</v>
      </c>
      <c r="T355" s="692">
        <v>89721251</v>
      </c>
      <c r="U355" s="692" t="s">
        <v>3927</v>
      </c>
      <c r="V355" s="692" t="s">
        <v>3126</v>
      </c>
      <c r="W355" s="692"/>
      <c r="X355" s="761"/>
      <c r="Z355" s="713"/>
      <c r="AA355" s="10"/>
      <c r="AB355" s="8"/>
      <c r="AC355" s="8"/>
      <c r="AD355" s="8"/>
      <c r="AE355" s="8"/>
      <c r="AF355" s="8"/>
      <c r="AG355" s="8"/>
      <c r="AH355" s="761"/>
      <c r="AI355" s="761"/>
    </row>
    <row r="356" spans="1:35" ht="15.75">
      <c r="A356" s="692" t="s">
        <v>3116</v>
      </c>
      <c r="B356" s="692" t="s">
        <v>602</v>
      </c>
      <c r="D356" s="692" t="s">
        <v>936</v>
      </c>
      <c r="E356" s="692" t="s">
        <v>3127</v>
      </c>
      <c r="F356" s="692" t="s">
        <v>4874</v>
      </c>
      <c r="G356" s="692" t="s">
        <v>812</v>
      </c>
      <c r="H356" s="692" t="s">
        <v>4</v>
      </c>
      <c r="I356" s="692" t="s">
        <v>80</v>
      </c>
      <c r="J356" s="692" t="s">
        <v>3</v>
      </c>
      <c r="K356" s="692" t="s">
        <v>16</v>
      </c>
      <c r="L356" s="692" t="str">
        <f t="shared" si="5"/>
        <v>6-01-11</v>
      </c>
      <c r="M356" s="692"/>
      <c r="N356" s="692"/>
      <c r="O356" s="692"/>
      <c r="P356" s="692" t="s">
        <v>497</v>
      </c>
      <c r="Q356" s="692" t="s">
        <v>4804</v>
      </c>
      <c r="R356" s="692" t="s">
        <v>4190</v>
      </c>
      <c r="S356" s="692">
        <v>26400989</v>
      </c>
      <c r="T356" s="692">
        <v>26400989</v>
      </c>
      <c r="U356" s="692" t="s">
        <v>4229</v>
      </c>
      <c r="V356" s="692" t="s">
        <v>3128</v>
      </c>
      <c r="W356" s="692"/>
      <c r="X356" s="761"/>
      <c r="Z356" s="713"/>
      <c r="AA356" s="10"/>
      <c r="AB356" s="8"/>
      <c r="AC356" s="8"/>
      <c r="AD356" s="8"/>
      <c r="AE356" s="8"/>
      <c r="AF356" s="8"/>
      <c r="AG356" s="8"/>
      <c r="AH356" s="761" t="s">
        <v>4493</v>
      </c>
      <c r="AI356" s="761"/>
    </row>
    <row r="357" spans="1:35" ht="15.75">
      <c r="A357" s="692" t="s">
        <v>3103</v>
      </c>
      <c r="B357" s="692" t="s">
        <v>347</v>
      </c>
      <c r="D357" s="692" t="s">
        <v>914</v>
      </c>
      <c r="E357" s="692" t="s">
        <v>3129</v>
      </c>
      <c r="F357" s="692" t="s">
        <v>3130</v>
      </c>
      <c r="G357" s="692" t="s">
        <v>109</v>
      </c>
      <c r="H357" s="692" t="s">
        <v>4</v>
      </c>
      <c r="I357" s="692" t="s">
        <v>110</v>
      </c>
      <c r="J357" s="692" t="s">
        <v>13</v>
      </c>
      <c r="K357" s="692" t="s">
        <v>5</v>
      </c>
      <c r="L357" s="692" t="str">
        <f t="shared" si="5"/>
        <v>4-10-03</v>
      </c>
      <c r="M357" s="692"/>
      <c r="N357" s="692"/>
      <c r="O357" s="692"/>
      <c r="P357" s="692" t="s">
        <v>783</v>
      </c>
      <c r="Q357" s="692" t="s">
        <v>4804</v>
      </c>
      <c r="R357" s="692" t="s">
        <v>4230</v>
      </c>
      <c r="S357" s="692">
        <v>27644515</v>
      </c>
      <c r="T357" s="692">
        <v>27644515</v>
      </c>
      <c r="U357" s="692" t="s">
        <v>3764</v>
      </c>
      <c r="V357" s="692" t="s">
        <v>3131</v>
      </c>
      <c r="W357" s="692"/>
      <c r="X357" s="761"/>
      <c r="Z357" s="713"/>
      <c r="AA357" s="10"/>
      <c r="AB357" s="8"/>
      <c r="AC357" s="8"/>
      <c r="AD357" s="8"/>
      <c r="AE357" s="8"/>
      <c r="AF357" s="8"/>
      <c r="AG357" s="8"/>
      <c r="AH357" s="761"/>
      <c r="AI357" s="761"/>
    </row>
    <row r="358" spans="1:35" ht="15.75">
      <c r="A358" s="692" t="s">
        <v>3105</v>
      </c>
      <c r="B358" s="692" t="s">
        <v>345</v>
      </c>
      <c r="D358" s="692" t="s">
        <v>606</v>
      </c>
      <c r="E358" s="692" t="s">
        <v>3132</v>
      </c>
      <c r="F358" s="692" t="s">
        <v>4084</v>
      </c>
      <c r="G358" s="692" t="s">
        <v>109</v>
      </c>
      <c r="H358" s="692" t="s">
        <v>6</v>
      </c>
      <c r="I358" s="692" t="s">
        <v>110</v>
      </c>
      <c r="J358" s="692" t="s">
        <v>13</v>
      </c>
      <c r="K358" s="692" t="s">
        <v>5</v>
      </c>
      <c r="L358" s="692" t="str">
        <f t="shared" si="5"/>
        <v>4-10-03</v>
      </c>
      <c r="M358" s="692"/>
      <c r="N358" s="692"/>
      <c r="O358" s="692"/>
      <c r="P358" s="692" t="s">
        <v>3133</v>
      </c>
      <c r="Q358" s="692" t="s">
        <v>4804</v>
      </c>
      <c r="R358" s="692" t="s">
        <v>4471</v>
      </c>
      <c r="S358" s="692">
        <v>44051982</v>
      </c>
      <c r="T358" s="692"/>
      <c r="U358" s="692" t="s">
        <v>4472</v>
      </c>
      <c r="V358" s="692" t="s">
        <v>4875</v>
      </c>
      <c r="W358" s="692"/>
      <c r="X358" s="761"/>
      <c r="Z358" s="713"/>
      <c r="AA358" s="10"/>
      <c r="AB358" s="8"/>
      <c r="AC358" s="8"/>
      <c r="AD358" s="8"/>
      <c r="AE358" s="8"/>
      <c r="AF358" s="8"/>
      <c r="AG358" s="8"/>
      <c r="AH358" s="761"/>
      <c r="AI358" s="761"/>
    </row>
    <row r="359" spans="1:35" ht="15.75">
      <c r="A359" s="692" t="s">
        <v>3139</v>
      </c>
      <c r="B359" s="692" t="s">
        <v>930</v>
      </c>
      <c r="D359" s="692" t="s">
        <v>607</v>
      </c>
      <c r="E359" s="692" t="s">
        <v>3134</v>
      </c>
      <c r="F359" s="692" t="s">
        <v>5633</v>
      </c>
      <c r="G359" s="692" t="s">
        <v>5729</v>
      </c>
      <c r="H359" s="692" t="s">
        <v>11</v>
      </c>
      <c r="I359" s="692" t="s">
        <v>68</v>
      </c>
      <c r="J359" s="692" t="s">
        <v>6</v>
      </c>
      <c r="K359" s="692" t="s">
        <v>4</v>
      </c>
      <c r="L359" s="692" t="str">
        <f t="shared" si="5"/>
        <v>7-04-02</v>
      </c>
      <c r="M359" s="692"/>
      <c r="N359" s="692"/>
      <c r="O359" s="692"/>
      <c r="P359" s="692" t="s">
        <v>851</v>
      </c>
      <c r="Q359" s="692" t="s">
        <v>4804</v>
      </c>
      <c r="R359" s="692" t="s">
        <v>5785</v>
      </c>
      <c r="S359" s="692">
        <v>27541100</v>
      </c>
      <c r="T359" s="692"/>
      <c r="U359" s="692" t="s">
        <v>4473</v>
      </c>
      <c r="V359" s="692" t="s">
        <v>4474</v>
      </c>
      <c r="W359" s="692"/>
      <c r="X359" s="761"/>
      <c r="Z359" s="713"/>
      <c r="AA359" s="10"/>
      <c r="AB359" s="8"/>
      <c r="AC359" s="8"/>
      <c r="AD359" s="8"/>
      <c r="AE359" s="8"/>
      <c r="AF359" s="8"/>
      <c r="AG359" s="8"/>
      <c r="AH359" s="761"/>
      <c r="AI359" s="761"/>
    </row>
    <row r="360" spans="1:35" ht="15.75">
      <c r="A360" s="692" t="s">
        <v>3142</v>
      </c>
      <c r="B360" s="692" t="s">
        <v>259</v>
      </c>
      <c r="D360" s="692" t="s">
        <v>608</v>
      </c>
      <c r="E360" s="692" t="s">
        <v>3135</v>
      </c>
      <c r="F360" s="692" t="s">
        <v>3136</v>
      </c>
      <c r="G360" s="692" t="s">
        <v>117</v>
      </c>
      <c r="H360" s="692" t="s">
        <v>12</v>
      </c>
      <c r="I360" s="692" t="s">
        <v>43</v>
      </c>
      <c r="J360" s="692" t="s">
        <v>118</v>
      </c>
      <c r="K360" s="692" t="s">
        <v>3</v>
      </c>
      <c r="L360" s="692" t="str">
        <f t="shared" si="5"/>
        <v>2-14-01</v>
      </c>
      <c r="M360" s="692"/>
      <c r="N360" s="692"/>
      <c r="O360" s="692"/>
      <c r="P360" s="692" t="s">
        <v>116</v>
      </c>
      <c r="Q360" s="692" t="s">
        <v>4804</v>
      </c>
      <c r="R360" s="692" t="s">
        <v>5768</v>
      </c>
      <c r="S360" s="692">
        <v>41051139</v>
      </c>
      <c r="T360" s="692"/>
      <c r="U360" s="692" t="s">
        <v>3928</v>
      </c>
      <c r="V360" s="692" t="s">
        <v>4876</v>
      </c>
      <c r="W360" s="692"/>
      <c r="X360" s="761"/>
      <c r="Z360" s="713"/>
      <c r="AA360" s="10"/>
      <c r="AB360" s="8"/>
      <c r="AC360" s="8"/>
      <c r="AD360" s="8"/>
      <c r="AE360" s="8"/>
      <c r="AF360" s="8"/>
      <c r="AG360" s="8"/>
      <c r="AH360" s="761"/>
      <c r="AI360" s="761"/>
    </row>
    <row r="361" spans="1:35" ht="15.75">
      <c r="A361" s="692" t="s">
        <v>3174</v>
      </c>
      <c r="B361" s="692" t="s">
        <v>260</v>
      </c>
      <c r="D361" s="692" t="s">
        <v>127</v>
      </c>
      <c r="E361" s="692" t="s">
        <v>3137</v>
      </c>
      <c r="F361" s="692" t="s">
        <v>3508</v>
      </c>
      <c r="G361" s="692" t="s">
        <v>79</v>
      </c>
      <c r="H361" s="692" t="s">
        <v>118</v>
      </c>
      <c r="I361" s="692" t="s">
        <v>80</v>
      </c>
      <c r="J361" s="692" t="s">
        <v>9</v>
      </c>
      <c r="K361" s="692" t="s">
        <v>6</v>
      </c>
      <c r="L361" s="692" t="str">
        <f t="shared" si="5"/>
        <v>6-07-04</v>
      </c>
      <c r="M361" s="692"/>
      <c r="N361" s="692"/>
      <c r="O361" s="692"/>
      <c r="P361" s="692" t="s">
        <v>833</v>
      </c>
      <c r="Q361" s="692" t="s">
        <v>4804</v>
      </c>
      <c r="R361" s="692" t="s">
        <v>4667</v>
      </c>
      <c r="S361" s="692">
        <v>88325528</v>
      </c>
      <c r="T361" s="692"/>
      <c r="U361" s="692" t="s">
        <v>3929</v>
      </c>
      <c r="V361" s="692" t="s">
        <v>4231</v>
      </c>
      <c r="W361" s="692"/>
      <c r="X361" s="761"/>
      <c r="Z361" s="713"/>
      <c r="AA361" s="10"/>
      <c r="AB361" s="8"/>
      <c r="AC361" s="8"/>
      <c r="AD361" s="8"/>
      <c r="AE361" s="8"/>
      <c r="AF361" s="8"/>
      <c r="AG361" s="8"/>
      <c r="AH361" s="761"/>
      <c r="AI361" s="761"/>
    </row>
    <row r="362" spans="1:35" ht="15.75">
      <c r="A362" s="692" t="s">
        <v>3154</v>
      </c>
      <c r="B362" s="692" t="s">
        <v>258</v>
      </c>
      <c r="D362" s="692" t="s">
        <v>358</v>
      </c>
      <c r="E362" s="692" t="s">
        <v>3138</v>
      </c>
      <c r="F362" s="692" t="s">
        <v>4085</v>
      </c>
      <c r="G362" s="692" t="s">
        <v>65</v>
      </c>
      <c r="H362" s="692" t="s">
        <v>5</v>
      </c>
      <c r="I362" s="692" t="s">
        <v>43</v>
      </c>
      <c r="J362" s="692" t="s">
        <v>4</v>
      </c>
      <c r="K362" s="692" t="s">
        <v>17</v>
      </c>
      <c r="L362" s="692" t="str">
        <f t="shared" si="5"/>
        <v>2-02-12</v>
      </c>
      <c r="M362" s="692"/>
      <c r="N362" s="692"/>
      <c r="O362" s="692"/>
      <c r="P362" s="692" t="s">
        <v>132</v>
      </c>
      <c r="Q362" s="692" t="s">
        <v>4804</v>
      </c>
      <c r="R362" s="692" t="s">
        <v>5757</v>
      </c>
      <c r="S362" s="692">
        <v>22065855</v>
      </c>
      <c r="T362" s="692">
        <v>22005169</v>
      </c>
      <c r="U362" s="692" t="s">
        <v>4668</v>
      </c>
      <c r="V362" s="692" t="s">
        <v>4669</v>
      </c>
      <c r="W362" s="692"/>
      <c r="X362" s="761"/>
      <c r="Z362" s="713"/>
      <c r="AA362" s="10"/>
      <c r="AB362" s="8"/>
      <c r="AC362" s="8"/>
      <c r="AD362" s="8"/>
      <c r="AE362" s="8"/>
      <c r="AF362" s="8"/>
      <c r="AG362" s="8"/>
      <c r="AH362" s="761"/>
      <c r="AI362" s="761"/>
    </row>
    <row r="363" spans="1:35" ht="15.75">
      <c r="A363" s="692" t="s">
        <v>3227</v>
      </c>
      <c r="B363" s="692" t="s">
        <v>636</v>
      </c>
      <c r="D363" s="692" t="s">
        <v>930</v>
      </c>
      <c r="E363" s="692" t="s">
        <v>3139</v>
      </c>
      <c r="F363" s="692" t="s">
        <v>3140</v>
      </c>
      <c r="G363" s="692" t="s">
        <v>5729</v>
      </c>
      <c r="H363" s="692" t="s">
        <v>4</v>
      </c>
      <c r="I363" s="692" t="s">
        <v>68</v>
      </c>
      <c r="J363" s="692" t="s">
        <v>3</v>
      </c>
      <c r="K363" s="692" t="s">
        <v>6</v>
      </c>
      <c r="L363" s="692" t="str">
        <f t="shared" si="5"/>
        <v>7-01-04</v>
      </c>
      <c r="M363" s="692"/>
      <c r="N363" s="692"/>
      <c r="O363" s="692"/>
      <c r="P363" s="692" t="s">
        <v>716</v>
      </c>
      <c r="Q363" s="692" t="s">
        <v>4804</v>
      </c>
      <c r="R363" s="692" t="s">
        <v>5795</v>
      </c>
      <c r="S363" s="692">
        <v>22064592</v>
      </c>
      <c r="T363" s="692"/>
      <c r="U363" s="692" t="s">
        <v>3665</v>
      </c>
      <c r="V363" s="692" t="s">
        <v>5634</v>
      </c>
      <c r="W363" s="692"/>
      <c r="X363" s="761"/>
      <c r="Z363" s="713"/>
      <c r="AA363" s="10"/>
      <c r="AB363" s="8"/>
      <c r="AC363" s="8"/>
      <c r="AD363" s="8"/>
      <c r="AE363" s="8"/>
      <c r="AF363" s="8"/>
      <c r="AG363" s="8"/>
      <c r="AH363" s="761"/>
      <c r="AI363" s="761"/>
    </row>
    <row r="364" spans="1:35" ht="15.75">
      <c r="A364" s="692" t="s">
        <v>3180</v>
      </c>
      <c r="B364" s="692" t="s">
        <v>614</v>
      </c>
      <c r="D364" s="692" t="s">
        <v>259</v>
      </c>
      <c r="E364" s="692" t="s">
        <v>3142</v>
      </c>
      <c r="F364" s="692" t="s">
        <v>4086</v>
      </c>
      <c r="G364" s="692" t="s">
        <v>298</v>
      </c>
      <c r="H364" s="692" t="s">
        <v>7</v>
      </c>
      <c r="I364" s="692" t="s">
        <v>126</v>
      </c>
      <c r="J364" s="692" t="s">
        <v>13</v>
      </c>
      <c r="K364" s="692" t="s">
        <v>4</v>
      </c>
      <c r="L364" s="692" t="str">
        <f t="shared" si="5"/>
        <v>5-10-02</v>
      </c>
      <c r="M364" s="692"/>
      <c r="N364" s="692"/>
      <c r="O364" s="692"/>
      <c r="P364" s="692" t="s">
        <v>292</v>
      </c>
      <c r="Q364" s="692" t="s">
        <v>4804</v>
      </c>
      <c r="R364" s="692" t="s">
        <v>4543</v>
      </c>
      <c r="S364" s="692">
        <v>84448220</v>
      </c>
      <c r="T364" s="692">
        <v>26777150</v>
      </c>
      <c r="U364" s="692" t="s">
        <v>4232</v>
      </c>
      <c r="V364" s="692" t="s">
        <v>4233</v>
      </c>
      <c r="W364" s="692"/>
      <c r="X364" s="761"/>
      <c r="Z364" s="713"/>
      <c r="AA364" s="10"/>
      <c r="AB364" s="8"/>
      <c r="AC364" s="8"/>
      <c r="AD364" s="8"/>
      <c r="AE364" s="8"/>
      <c r="AF364" s="8"/>
      <c r="AG364" s="8"/>
      <c r="AH364" s="761"/>
      <c r="AI364" s="761"/>
    </row>
    <row r="365" spans="1:35" ht="15.75">
      <c r="A365" s="692" t="s">
        <v>3215</v>
      </c>
      <c r="B365" s="692" t="s">
        <v>630</v>
      </c>
      <c r="D365" s="692" t="s">
        <v>247</v>
      </c>
      <c r="E365" s="692" t="s">
        <v>3151</v>
      </c>
      <c r="F365" s="692" t="s">
        <v>3152</v>
      </c>
      <c r="G365" s="692" t="s">
        <v>216</v>
      </c>
      <c r="H365" s="692" t="s">
        <v>5</v>
      </c>
      <c r="I365" s="692" t="s">
        <v>41</v>
      </c>
      <c r="J365" s="692" t="s">
        <v>752</v>
      </c>
      <c r="K365" s="692" t="s">
        <v>6</v>
      </c>
      <c r="L365" s="692" t="str">
        <f t="shared" si="5"/>
        <v>1-20-04</v>
      </c>
      <c r="M365" s="692"/>
      <c r="N365" s="692"/>
      <c r="O365" s="692"/>
      <c r="P365" s="692" t="s">
        <v>3153</v>
      </c>
      <c r="Q365" s="692" t="s">
        <v>4804</v>
      </c>
      <c r="R365" s="692" t="s">
        <v>4234</v>
      </c>
      <c r="S365" s="692">
        <v>25465521</v>
      </c>
      <c r="T365" s="692">
        <v>25464545</v>
      </c>
      <c r="U365" s="692" t="s">
        <v>4235</v>
      </c>
      <c r="V365" s="692" t="s">
        <v>4475</v>
      </c>
      <c r="W365" s="692"/>
      <c r="X365" s="761"/>
      <c r="Z365" s="713"/>
      <c r="AA365" s="10"/>
      <c r="AB365" s="8"/>
      <c r="AC365" s="8"/>
      <c r="AD365" s="8"/>
      <c r="AE365" s="8"/>
      <c r="AF365" s="8"/>
      <c r="AG365" s="8"/>
      <c r="AH365" s="761"/>
      <c r="AI365" s="761"/>
    </row>
    <row r="366" spans="1:35" ht="15.75">
      <c r="A366" s="692" t="s">
        <v>3229</v>
      </c>
      <c r="B366" s="692" t="s">
        <v>1147</v>
      </c>
      <c r="D366" s="692" t="s">
        <v>258</v>
      </c>
      <c r="E366" s="692" t="s">
        <v>3154</v>
      </c>
      <c r="F366" s="692" t="s">
        <v>3155</v>
      </c>
      <c r="G366" s="692" t="s">
        <v>216</v>
      </c>
      <c r="H366" s="692" t="s">
        <v>4</v>
      </c>
      <c r="I366" s="692" t="s">
        <v>56</v>
      </c>
      <c r="J366" s="692" t="s">
        <v>11</v>
      </c>
      <c r="K366" s="692" t="s">
        <v>4</v>
      </c>
      <c r="L366" s="692" t="str">
        <f t="shared" si="5"/>
        <v>3-08-02</v>
      </c>
      <c r="M366" s="692"/>
      <c r="N366" s="692"/>
      <c r="O366" s="692"/>
      <c r="P366" s="692" t="s">
        <v>3156</v>
      </c>
      <c r="Q366" s="692" t="s">
        <v>4804</v>
      </c>
      <c r="R366" s="692" t="s">
        <v>5788</v>
      </c>
      <c r="S366" s="692">
        <v>25711460</v>
      </c>
      <c r="T366" s="692">
        <v>25711460</v>
      </c>
      <c r="U366" s="692" t="s">
        <v>3666</v>
      </c>
      <c r="V366" s="692" t="s">
        <v>3157</v>
      </c>
      <c r="W366" s="692"/>
      <c r="X366" s="761"/>
      <c r="Z366" s="713"/>
      <c r="AA366" s="10"/>
      <c r="AB366" s="8"/>
      <c r="AC366" s="8"/>
      <c r="AD366" s="8"/>
      <c r="AE366" s="8"/>
      <c r="AF366" s="8"/>
      <c r="AG366" s="8"/>
      <c r="AH366" s="761"/>
      <c r="AI366" s="761"/>
    </row>
    <row r="367" spans="1:35" ht="15.75">
      <c r="A367" s="692" t="s">
        <v>3183</v>
      </c>
      <c r="B367" s="692" t="s">
        <v>615</v>
      </c>
      <c r="D367" s="692" t="s">
        <v>1770</v>
      </c>
      <c r="E367" s="692" t="s">
        <v>3158</v>
      </c>
      <c r="F367" s="692" t="s">
        <v>3159</v>
      </c>
      <c r="G367" s="692" t="s">
        <v>128</v>
      </c>
      <c r="H367" s="692" t="s">
        <v>4</v>
      </c>
      <c r="I367" s="692" t="s">
        <v>56</v>
      </c>
      <c r="J367" s="692" t="s">
        <v>3</v>
      </c>
      <c r="K367" s="692" t="s">
        <v>6</v>
      </c>
      <c r="L367" s="692" t="str">
        <f t="shared" si="5"/>
        <v>3-01-04</v>
      </c>
      <c r="M367" s="692"/>
      <c r="N367" s="692"/>
      <c r="O367" s="692"/>
      <c r="P367" s="692" t="s">
        <v>3160</v>
      </c>
      <c r="Q367" s="692" t="s">
        <v>4804</v>
      </c>
      <c r="R367" s="692" t="s">
        <v>3161</v>
      </c>
      <c r="S367" s="692">
        <v>25371758</v>
      </c>
      <c r="T367" s="692">
        <v>25372576</v>
      </c>
      <c r="U367" s="692" t="s">
        <v>4236</v>
      </c>
      <c r="V367" s="692" t="s">
        <v>5635</v>
      </c>
      <c r="W367" s="692"/>
      <c r="X367" s="761"/>
      <c r="Z367" s="713"/>
      <c r="AA367" s="10"/>
      <c r="AB367" s="8"/>
      <c r="AC367" s="8"/>
      <c r="AD367" s="8"/>
      <c r="AE367" s="8"/>
      <c r="AF367" s="8"/>
      <c r="AG367" s="8"/>
      <c r="AH367" s="761"/>
      <c r="AI367" s="761"/>
    </row>
    <row r="368" spans="1:35" ht="15.75">
      <c r="A368" s="692" t="s">
        <v>3206</v>
      </c>
      <c r="B368" s="692" t="s">
        <v>628</v>
      </c>
      <c r="D368" s="692" t="s">
        <v>1067</v>
      </c>
      <c r="E368" s="692" t="s">
        <v>3162</v>
      </c>
      <c r="F368" s="692" t="s">
        <v>3163</v>
      </c>
      <c r="G368" s="692" t="s">
        <v>128</v>
      </c>
      <c r="H368" s="692" t="s">
        <v>5</v>
      </c>
      <c r="I368" s="692" t="s">
        <v>56</v>
      </c>
      <c r="J368" s="692" t="s">
        <v>11</v>
      </c>
      <c r="K368" s="692" t="s">
        <v>3</v>
      </c>
      <c r="L368" s="692" t="str">
        <f t="shared" si="5"/>
        <v>3-08-01</v>
      </c>
      <c r="M368" s="692"/>
      <c r="N368" s="692"/>
      <c r="O368" s="692"/>
      <c r="P368" s="692" t="s">
        <v>527</v>
      </c>
      <c r="Q368" s="692" t="s">
        <v>4804</v>
      </c>
      <c r="R368" s="692" t="s">
        <v>5742</v>
      </c>
      <c r="S368" s="692">
        <v>25734889</v>
      </c>
      <c r="T368" s="692">
        <v>25734889</v>
      </c>
      <c r="U368" s="692" t="s">
        <v>3930</v>
      </c>
      <c r="V368" s="692" t="s">
        <v>3164</v>
      </c>
      <c r="W368" s="692"/>
      <c r="X368" s="761"/>
      <c r="Z368" s="713"/>
      <c r="AA368" s="10"/>
      <c r="AB368" s="8"/>
      <c r="AC368" s="8"/>
      <c r="AD368" s="8"/>
      <c r="AE368" s="8"/>
      <c r="AF368" s="8"/>
      <c r="AG368" s="8"/>
      <c r="AH368" s="761"/>
      <c r="AI368" s="761"/>
    </row>
    <row r="369" spans="1:35" ht="15.75">
      <c r="A369" s="692" t="s">
        <v>3165</v>
      </c>
      <c r="B369" s="692" t="s">
        <v>273</v>
      </c>
      <c r="D369" s="692" t="s">
        <v>273</v>
      </c>
      <c r="E369" s="692" t="s">
        <v>3165</v>
      </c>
      <c r="F369" s="692" t="s">
        <v>3166</v>
      </c>
      <c r="G369" s="692" t="s">
        <v>117</v>
      </c>
      <c r="H369" s="692" t="s">
        <v>18</v>
      </c>
      <c r="I369" s="692" t="s">
        <v>43</v>
      </c>
      <c r="J369" s="692" t="s">
        <v>13</v>
      </c>
      <c r="K369" s="692" t="s">
        <v>18</v>
      </c>
      <c r="L369" s="692" t="str">
        <f t="shared" si="5"/>
        <v>2-10-13</v>
      </c>
      <c r="M369" s="692"/>
      <c r="N369" s="692"/>
      <c r="O369" s="692"/>
      <c r="P369" s="692" t="s">
        <v>3167</v>
      </c>
      <c r="Q369" s="692" t="s">
        <v>4804</v>
      </c>
      <c r="R369" s="692" t="s">
        <v>5792</v>
      </c>
      <c r="S369" s="692">
        <v>22005248</v>
      </c>
      <c r="T369" s="692"/>
      <c r="U369" s="692" t="s">
        <v>3667</v>
      </c>
      <c r="V369" s="692" t="s">
        <v>203</v>
      </c>
      <c r="W369" s="692"/>
      <c r="X369" s="761"/>
      <c r="Z369" s="713"/>
      <c r="AA369" s="10"/>
      <c r="AB369" s="8"/>
      <c r="AC369" s="8"/>
      <c r="AD369" s="8"/>
      <c r="AE369" s="8"/>
      <c r="AF369" s="8"/>
      <c r="AG369" s="8"/>
      <c r="AH369" s="761"/>
      <c r="AI369" s="761"/>
    </row>
    <row r="370" spans="1:35" ht="15.75">
      <c r="A370" s="692" t="s">
        <v>3168</v>
      </c>
      <c r="B370" s="692" t="s">
        <v>263</v>
      </c>
      <c r="D370" s="692" t="s">
        <v>263</v>
      </c>
      <c r="E370" s="692" t="s">
        <v>3168</v>
      </c>
      <c r="F370" s="692" t="s">
        <v>4087</v>
      </c>
      <c r="G370" s="692" t="s">
        <v>65</v>
      </c>
      <c r="H370" s="692" t="s">
        <v>12</v>
      </c>
      <c r="I370" s="692" t="s">
        <v>43</v>
      </c>
      <c r="J370" s="692" t="s">
        <v>4</v>
      </c>
      <c r="K370" s="692" t="s">
        <v>18</v>
      </c>
      <c r="L370" s="692" t="str">
        <f t="shared" si="5"/>
        <v>2-02-13</v>
      </c>
      <c r="M370" s="692"/>
      <c r="N370" s="692"/>
      <c r="O370" s="692"/>
      <c r="P370" s="692" t="s">
        <v>4237</v>
      </c>
      <c r="Q370" s="692" t="s">
        <v>4804</v>
      </c>
      <c r="R370" s="692" t="s">
        <v>4476</v>
      </c>
      <c r="S370" s="692">
        <v>24680598</v>
      </c>
      <c r="T370" s="692"/>
      <c r="U370" s="692" t="s">
        <v>4670</v>
      </c>
      <c r="V370" s="692" t="s">
        <v>4238</v>
      </c>
      <c r="W370" s="692"/>
      <c r="X370" s="761"/>
      <c r="Z370" s="713"/>
      <c r="AA370" s="10"/>
      <c r="AB370" s="8"/>
      <c r="AC370" s="8"/>
      <c r="AD370" s="8"/>
      <c r="AE370" s="8"/>
      <c r="AF370" s="8"/>
      <c r="AG370" s="8"/>
      <c r="AH370" s="761"/>
      <c r="AI370" s="761"/>
    </row>
    <row r="371" spans="1:35" ht="15.75">
      <c r="A371" s="692" t="s">
        <v>3158</v>
      </c>
      <c r="B371" s="692" t="s">
        <v>1770</v>
      </c>
      <c r="D371" s="692" t="s">
        <v>262</v>
      </c>
      <c r="E371" s="692" t="s">
        <v>3169</v>
      </c>
      <c r="F371" s="692" t="s">
        <v>3170</v>
      </c>
      <c r="G371" s="692" t="s">
        <v>117</v>
      </c>
      <c r="H371" s="692" t="s">
        <v>3</v>
      </c>
      <c r="I371" s="692" t="s">
        <v>43</v>
      </c>
      <c r="J371" s="692" t="s">
        <v>304</v>
      </c>
      <c r="K371" s="692" t="s">
        <v>3</v>
      </c>
      <c r="L371" s="692" t="str">
        <f t="shared" si="5"/>
        <v>2-16-01</v>
      </c>
      <c r="M371" s="692"/>
      <c r="N371" s="692"/>
      <c r="O371" s="692"/>
      <c r="P371" s="692" t="s">
        <v>699</v>
      </c>
      <c r="Q371" s="692" t="s">
        <v>4804</v>
      </c>
      <c r="R371" s="692" t="s">
        <v>5805</v>
      </c>
      <c r="S371" s="692">
        <v>24655444</v>
      </c>
      <c r="T371" s="692">
        <v>24655444</v>
      </c>
      <c r="U371" s="692" t="s">
        <v>5636</v>
      </c>
      <c r="V371" s="692" t="s">
        <v>3171</v>
      </c>
      <c r="W371" s="692"/>
      <c r="X371" s="761"/>
      <c r="Z371" s="713"/>
      <c r="AA371" s="10"/>
      <c r="AB371" s="8"/>
      <c r="AC371" s="8"/>
      <c r="AD371" s="8"/>
      <c r="AE371" s="8"/>
      <c r="AF371" s="8"/>
      <c r="AG371" s="8"/>
      <c r="AH371" s="761"/>
      <c r="AI371" s="761"/>
    </row>
    <row r="372" spans="1:35" ht="15.75">
      <c r="A372" s="692" t="s">
        <v>3260</v>
      </c>
      <c r="B372" s="692" t="s">
        <v>650</v>
      </c>
      <c r="D372" s="692" t="s">
        <v>274</v>
      </c>
      <c r="E372" s="692" t="s">
        <v>3172</v>
      </c>
      <c r="F372" s="692" t="s">
        <v>3173</v>
      </c>
      <c r="G372" s="692" t="s">
        <v>450</v>
      </c>
      <c r="H372" s="692" t="s">
        <v>7</v>
      </c>
      <c r="I372" s="692" t="s">
        <v>80</v>
      </c>
      <c r="J372" s="692" t="s">
        <v>16</v>
      </c>
      <c r="K372" s="692" t="s">
        <v>4</v>
      </c>
      <c r="L372" s="692" t="str">
        <f t="shared" si="5"/>
        <v>6-11-02</v>
      </c>
      <c r="M372" s="692"/>
      <c r="N372" s="692"/>
      <c r="O372" s="692"/>
      <c r="P372" s="692" t="s">
        <v>663</v>
      </c>
      <c r="Q372" s="692" t="s">
        <v>4804</v>
      </c>
      <c r="R372" s="692" t="s">
        <v>5572</v>
      </c>
      <c r="S372" s="692">
        <v>26371029</v>
      </c>
      <c r="T372" s="692"/>
      <c r="U372" s="692" t="s">
        <v>4239</v>
      </c>
      <c r="V372" s="692" t="s">
        <v>5637</v>
      </c>
      <c r="W372" s="692"/>
      <c r="X372" s="761"/>
      <c r="Z372" s="713"/>
      <c r="AA372" s="10"/>
      <c r="AB372" s="8"/>
      <c r="AC372" s="8"/>
      <c r="AD372" s="8"/>
      <c r="AE372" s="8"/>
      <c r="AF372" s="8"/>
      <c r="AG372" s="8"/>
      <c r="AH372" s="761"/>
      <c r="AI372" s="761"/>
    </row>
    <row r="373" spans="1:35" ht="15.75">
      <c r="A373" s="692" t="s">
        <v>3230</v>
      </c>
      <c r="B373" s="692" t="s">
        <v>915</v>
      </c>
      <c r="D373" s="692" t="s">
        <v>260</v>
      </c>
      <c r="E373" s="692" t="s">
        <v>3174</v>
      </c>
      <c r="F373" s="692" t="s">
        <v>3175</v>
      </c>
      <c r="G373" s="692" t="s">
        <v>558</v>
      </c>
      <c r="H373" s="692" t="s">
        <v>3</v>
      </c>
      <c r="I373" s="692" t="s">
        <v>126</v>
      </c>
      <c r="J373" s="692" t="s">
        <v>8</v>
      </c>
      <c r="K373" s="692" t="s">
        <v>4</v>
      </c>
      <c r="L373" s="692" t="str">
        <f t="shared" si="5"/>
        <v>5-06-02</v>
      </c>
      <c r="M373" s="692"/>
      <c r="N373" s="692"/>
      <c r="O373" s="692"/>
      <c r="P373" s="692" t="s">
        <v>817</v>
      </c>
      <c r="Q373" s="692" t="s">
        <v>4804</v>
      </c>
      <c r="R373" s="692" t="s">
        <v>4240</v>
      </c>
      <c r="S373" s="692">
        <v>22005163</v>
      </c>
      <c r="T373" s="692"/>
      <c r="U373" s="692" t="s">
        <v>4877</v>
      </c>
      <c r="V373" s="692" t="s">
        <v>5764</v>
      </c>
      <c r="W373" s="692"/>
      <c r="X373" s="761"/>
      <c r="Z373" s="713"/>
      <c r="AA373" s="10"/>
      <c r="AB373" s="8"/>
      <c r="AC373" s="8"/>
      <c r="AD373" s="8"/>
      <c r="AE373" s="8"/>
      <c r="AF373" s="8"/>
      <c r="AG373" s="8"/>
      <c r="AH373" s="761"/>
      <c r="AI373" s="761"/>
    </row>
    <row r="374" spans="1:35" ht="15.75">
      <c r="A374" s="692" t="s">
        <v>3194</v>
      </c>
      <c r="B374" s="692" t="s">
        <v>621</v>
      </c>
      <c r="D374" s="692" t="s">
        <v>612</v>
      </c>
      <c r="E374" s="692" t="s">
        <v>3176</v>
      </c>
      <c r="F374" s="692" t="s">
        <v>3177</v>
      </c>
      <c r="G374" s="692" t="s">
        <v>4397</v>
      </c>
      <c r="H374" s="692" t="s">
        <v>5</v>
      </c>
      <c r="I374" s="692" t="s">
        <v>80</v>
      </c>
      <c r="J374" s="692" t="s">
        <v>5</v>
      </c>
      <c r="K374" s="692" t="s">
        <v>5</v>
      </c>
      <c r="L374" s="692" t="str">
        <f t="shared" si="5"/>
        <v>6-03-03</v>
      </c>
      <c r="M374" s="692"/>
      <c r="N374" s="692"/>
      <c r="O374" s="692"/>
      <c r="P374" s="692" t="s">
        <v>3178</v>
      </c>
      <c r="Q374" s="692" t="s">
        <v>4804</v>
      </c>
      <c r="R374" s="692" t="s">
        <v>5804</v>
      </c>
      <c r="S374" s="692">
        <v>27300744</v>
      </c>
      <c r="T374" s="692">
        <v>27714475</v>
      </c>
      <c r="U374" s="692" t="s">
        <v>3668</v>
      </c>
      <c r="V374" s="692" t="s">
        <v>3179</v>
      </c>
      <c r="W374" s="692"/>
      <c r="X374" s="761"/>
      <c r="Z374" s="713"/>
      <c r="AA374" s="10"/>
      <c r="AB374" s="8"/>
      <c r="AC374" s="8"/>
      <c r="AD374" s="8"/>
      <c r="AE374" s="8"/>
      <c r="AF374" s="8"/>
      <c r="AG374" s="8"/>
      <c r="AH374" s="761"/>
      <c r="AI374" s="761"/>
    </row>
    <row r="375" spans="1:35" ht="15.75">
      <c r="A375" s="692" t="s">
        <v>3222</v>
      </c>
      <c r="B375" s="692" t="s">
        <v>634</v>
      </c>
      <c r="D375" s="692" t="s">
        <v>614</v>
      </c>
      <c r="E375" s="692" t="s">
        <v>3180</v>
      </c>
      <c r="F375" s="692" t="s">
        <v>3181</v>
      </c>
      <c r="G375" s="692" t="s">
        <v>109</v>
      </c>
      <c r="H375" s="692" t="s">
        <v>4</v>
      </c>
      <c r="I375" s="692" t="s">
        <v>110</v>
      </c>
      <c r="J375" s="692" t="s">
        <v>13</v>
      </c>
      <c r="K375" s="692" t="s">
        <v>5</v>
      </c>
      <c r="L375" s="692" t="str">
        <f t="shared" si="5"/>
        <v>4-10-03</v>
      </c>
      <c r="M375" s="692"/>
      <c r="N375" s="692"/>
      <c r="O375" s="692"/>
      <c r="P375" s="692" t="s">
        <v>3182</v>
      </c>
      <c r="Q375" s="692" t="s">
        <v>4804</v>
      </c>
      <c r="R375" s="692" t="s">
        <v>4878</v>
      </c>
      <c r="S375" s="692">
        <v>61100110</v>
      </c>
      <c r="T375" s="692">
        <v>72880921</v>
      </c>
      <c r="U375" s="692" t="s">
        <v>3931</v>
      </c>
      <c r="V375" s="692" t="s">
        <v>4879</v>
      </c>
      <c r="W375" s="692"/>
      <c r="X375" s="761"/>
      <c r="Z375" s="713"/>
      <c r="AA375" s="10"/>
      <c r="AB375" s="8"/>
      <c r="AC375" s="8"/>
      <c r="AD375" s="8"/>
      <c r="AE375" s="8"/>
      <c r="AF375" s="8"/>
      <c r="AG375" s="8"/>
      <c r="AH375" s="761"/>
      <c r="AI375" s="761"/>
    </row>
    <row r="376" spans="1:35" ht="15.75">
      <c r="A376" s="692" t="s">
        <v>3172</v>
      </c>
      <c r="B376" s="692" t="s">
        <v>274</v>
      </c>
      <c r="D376" s="692" t="s">
        <v>615</v>
      </c>
      <c r="E376" s="692" t="s">
        <v>3183</v>
      </c>
      <c r="F376" s="692" t="s">
        <v>2390</v>
      </c>
      <c r="G376" s="692" t="s">
        <v>798</v>
      </c>
      <c r="H376" s="692" t="s">
        <v>9</v>
      </c>
      <c r="I376" s="692" t="s">
        <v>126</v>
      </c>
      <c r="J376" s="692" t="s">
        <v>12</v>
      </c>
      <c r="K376" s="692" t="s">
        <v>5</v>
      </c>
      <c r="L376" s="692" t="str">
        <f t="shared" si="5"/>
        <v>5-09-03</v>
      </c>
      <c r="M376" s="692"/>
      <c r="N376" s="692"/>
      <c r="O376" s="692"/>
      <c r="P376" s="692" t="s">
        <v>175</v>
      </c>
      <c r="Q376" s="692" t="s">
        <v>4804</v>
      </c>
      <c r="R376" s="692" t="s">
        <v>5814</v>
      </c>
      <c r="S376" s="692">
        <v>26562342</v>
      </c>
      <c r="T376" s="692">
        <v>26562342</v>
      </c>
      <c r="U376" s="692" t="s">
        <v>4243</v>
      </c>
      <c r="V376" s="692" t="s">
        <v>3184</v>
      </c>
      <c r="W376" s="692"/>
      <c r="X376" s="761"/>
      <c r="Z376" s="713"/>
      <c r="AA376" s="10"/>
      <c r="AB376" s="8"/>
      <c r="AC376" s="8"/>
      <c r="AD376" s="8"/>
      <c r="AE376" s="8"/>
      <c r="AF376" s="8"/>
      <c r="AG376" s="8"/>
      <c r="AH376" s="761"/>
      <c r="AI376" s="761"/>
    </row>
    <row r="377" spans="1:35" ht="15.75">
      <c r="A377" s="692" t="s">
        <v>3212</v>
      </c>
      <c r="B377" s="692" t="s">
        <v>1161</v>
      </c>
      <c r="D377" s="692" t="s">
        <v>616</v>
      </c>
      <c r="E377" s="692" t="s">
        <v>3185</v>
      </c>
      <c r="F377" s="692" t="s">
        <v>3186</v>
      </c>
      <c r="G377" s="692" t="s">
        <v>65</v>
      </c>
      <c r="H377" s="692" t="s">
        <v>9</v>
      </c>
      <c r="I377" s="692" t="s">
        <v>43</v>
      </c>
      <c r="J377" s="692" t="s">
        <v>16</v>
      </c>
      <c r="K377" s="692" t="s">
        <v>4</v>
      </c>
      <c r="L377" s="692" t="str">
        <f t="shared" si="5"/>
        <v>2-11-02</v>
      </c>
      <c r="M377" s="692"/>
      <c r="N377" s="692"/>
      <c r="O377" s="692"/>
      <c r="P377" s="692" t="s">
        <v>4244</v>
      </c>
      <c r="Q377" s="692" t="s">
        <v>4804</v>
      </c>
      <c r="R377" s="692" t="s">
        <v>4245</v>
      </c>
      <c r="S377" s="692">
        <v>24634353</v>
      </c>
      <c r="T377" s="692">
        <v>24632193</v>
      </c>
      <c r="U377" s="692" t="s">
        <v>4246</v>
      </c>
      <c r="V377" s="692" t="s">
        <v>3187</v>
      </c>
      <c r="W377" s="692"/>
      <c r="X377" s="761"/>
      <c r="Z377" s="713"/>
      <c r="AA377" s="10"/>
      <c r="AB377" s="8"/>
      <c r="AC377" s="8"/>
      <c r="AD377" s="8"/>
      <c r="AE377" s="8"/>
      <c r="AF377" s="8"/>
      <c r="AG377" s="8"/>
      <c r="AH377" s="761"/>
      <c r="AI377" s="761"/>
    </row>
    <row r="378" spans="1:35" ht="15.75">
      <c r="A378" s="692" t="s">
        <v>3185</v>
      </c>
      <c r="B378" s="692" t="s">
        <v>616</v>
      </c>
      <c r="D378" s="692" t="s">
        <v>617</v>
      </c>
      <c r="E378" s="692" t="s">
        <v>3188</v>
      </c>
      <c r="F378" s="692" t="s">
        <v>3189</v>
      </c>
      <c r="G378" s="692" t="s">
        <v>65</v>
      </c>
      <c r="H378" s="692" t="s">
        <v>5</v>
      </c>
      <c r="I378" s="692" t="s">
        <v>43</v>
      </c>
      <c r="J378" s="692" t="s">
        <v>4</v>
      </c>
      <c r="K378" s="692" t="s">
        <v>4</v>
      </c>
      <c r="L378" s="692" t="str">
        <f t="shared" si="5"/>
        <v>2-02-02</v>
      </c>
      <c r="M378" s="692"/>
      <c r="N378" s="692"/>
      <c r="O378" s="692"/>
      <c r="P378" s="692" t="s">
        <v>1080</v>
      </c>
      <c r="Q378" s="692" t="s">
        <v>4804</v>
      </c>
      <c r="R378" s="692" t="s">
        <v>3932</v>
      </c>
      <c r="S378" s="692">
        <v>24471192</v>
      </c>
      <c r="T378" s="692">
        <v>24471192</v>
      </c>
      <c r="U378" s="692" t="s">
        <v>4247</v>
      </c>
      <c r="V378" s="692" t="s">
        <v>3190</v>
      </c>
      <c r="W378" s="692"/>
      <c r="X378" s="761"/>
      <c r="Z378" s="713"/>
      <c r="AA378" s="10"/>
      <c r="AB378" s="8"/>
      <c r="AC378" s="8"/>
      <c r="AD378" s="8"/>
      <c r="AE378" s="8"/>
      <c r="AF378" s="8"/>
      <c r="AG378" s="8"/>
      <c r="AH378" s="761"/>
      <c r="AI378" s="761"/>
    </row>
    <row r="379" spans="1:35" ht="15.75">
      <c r="A379" s="692" t="s">
        <v>3162</v>
      </c>
      <c r="B379" s="692" t="s">
        <v>1067</v>
      </c>
      <c r="D379" s="692" t="s">
        <v>619</v>
      </c>
      <c r="E379" s="692" t="s">
        <v>3191</v>
      </c>
      <c r="F379" s="692" t="s">
        <v>3192</v>
      </c>
      <c r="G379" s="692" t="s">
        <v>65</v>
      </c>
      <c r="H379" s="692" t="s">
        <v>3</v>
      </c>
      <c r="I379" s="692" t="s">
        <v>43</v>
      </c>
      <c r="J379" s="692" t="s">
        <v>4</v>
      </c>
      <c r="K379" s="692" t="s">
        <v>9</v>
      </c>
      <c r="L379" s="692" t="str">
        <f t="shared" si="5"/>
        <v>2-02-07</v>
      </c>
      <c r="M379" s="692"/>
      <c r="N379" s="692"/>
      <c r="O379" s="692"/>
      <c r="P379" s="692" t="s">
        <v>446</v>
      </c>
      <c r="Q379" s="692" t="s">
        <v>4804</v>
      </c>
      <c r="R379" s="692" t="s">
        <v>5638</v>
      </c>
      <c r="S379" s="692">
        <v>24453417</v>
      </c>
      <c r="T379" s="692">
        <v>24453417</v>
      </c>
      <c r="U379" s="692" t="s">
        <v>3933</v>
      </c>
      <c r="V379" s="692" t="s">
        <v>3193</v>
      </c>
      <c r="W379" s="692"/>
      <c r="X379" s="761"/>
      <c r="Z379" s="713"/>
      <c r="AA379" s="10"/>
      <c r="AB379" s="8"/>
      <c r="AC379" s="8"/>
      <c r="AD379" s="8"/>
      <c r="AE379" s="8"/>
      <c r="AF379" s="8"/>
      <c r="AG379" s="8"/>
      <c r="AH379" s="761"/>
      <c r="AI379" s="761"/>
    </row>
    <row r="380" spans="1:35" ht="15.75">
      <c r="A380" s="692" t="s">
        <v>3169</v>
      </c>
      <c r="B380" s="692" t="s">
        <v>262</v>
      </c>
      <c r="D380" s="692" t="s">
        <v>621</v>
      </c>
      <c r="E380" s="692" t="s">
        <v>3194</v>
      </c>
      <c r="F380" s="692" t="s">
        <v>3195</v>
      </c>
      <c r="G380" s="692" t="s">
        <v>172</v>
      </c>
      <c r="H380" s="692" t="s">
        <v>5</v>
      </c>
      <c r="I380" s="692" t="s">
        <v>41</v>
      </c>
      <c r="J380" s="692" t="s">
        <v>6</v>
      </c>
      <c r="K380" s="692" t="s">
        <v>12</v>
      </c>
      <c r="L380" s="692" t="str">
        <f t="shared" si="5"/>
        <v>1-04-09</v>
      </c>
      <c r="M380" s="692"/>
      <c r="N380" s="692"/>
      <c r="O380" s="692"/>
      <c r="P380" s="692" t="s">
        <v>309</v>
      </c>
      <c r="Q380" s="692" t="s">
        <v>4804</v>
      </c>
      <c r="R380" s="692" t="s">
        <v>4881</v>
      </c>
      <c r="S380" s="692">
        <v>86689765</v>
      </c>
      <c r="T380" s="692"/>
      <c r="U380" s="692" t="s">
        <v>4672</v>
      </c>
      <c r="V380" s="692" t="s">
        <v>3196</v>
      </c>
      <c r="W380" s="692"/>
      <c r="X380" s="761"/>
      <c r="Z380" s="713"/>
      <c r="AA380" s="10"/>
      <c r="AB380" s="8"/>
      <c r="AC380" s="8"/>
      <c r="AD380" s="8"/>
      <c r="AE380" s="8"/>
      <c r="AF380" s="8"/>
      <c r="AG380" s="8"/>
      <c r="AH380" s="761"/>
      <c r="AI380" s="761"/>
    </row>
    <row r="381" spans="1:35" ht="15.75">
      <c r="A381" s="692" t="s">
        <v>3188</v>
      </c>
      <c r="B381" s="692" t="s">
        <v>617</v>
      </c>
      <c r="D381" s="692" t="s">
        <v>622</v>
      </c>
      <c r="E381" s="692" t="s">
        <v>3197</v>
      </c>
      <c r="F381" s="692" t="s">
        <v>3198</v>
      </c>
      <c r="G381" s="692" t="s">
        <v>4396</v>
      </c>
      <c r="H381" s="692" t="s">
        <v>4</v>
      </c>
      <c r="I381" s="692" t="s">
        <v>41</v>
      </c>
      <c r="J381" s="692" t="s">
        <v>11</v>
      </c>
      <c r="K381" s="692" t="s">
        <v>8</v>
      </c>
      <c r="L381" s="692" t="str">
        <f t="shared" si="5"/>
        <v>1-08-06</v>
      </c>
      <c r="M381" s="692"/>
      <c r="N381" s="692"/>
      <c r="O381" s="692"/>
      <c r="P381" s="692" t="s">
        <v>308</v>
      </c>
      <c r="Q381" s="692" t="s">
        <v>4804</v>
      </c>
      <c r="R381" s="692" t="s">
        <v>4619</v>
      </c>
      <c r="S381" s="692">
        <v>22294278</v>
      </c>
      <c r="T381" s="692"/>
      <c r="U381" s="692" t="s">
        <v>4248</v>
      </c>
      <c r="V381" s="692" t="s">
        <v>3199</v>
      </c>
      <c r="W381" s="692"/>
      <c r="X381" s="761"/>
      <c r="Z381" s="713"/>
      <c r="AA381" s="10"/>
      <c r="AB381" s="8"/>
      <c r="AC381" s="8"/>
      <c r="AD381" s="8"/>
      <c r="AE381" s="8"/>
      <c r="AF381" s="8"/>
      <c r="AG381" s="8"/>
      <c r="AH381" s="761"/>
      <c r="AI381" s="761"/>
    </row>
    <row r="382" spans="1:35" ht="15.75">
      <c r="A382" s="692" t="s">
        <v>3191</v>
      </c>
      <c r="B382" s="692" t="s">
        <v>619</v>
      </c>
      <c r="D382" s="692" t="s">
        <v>624</v>
      </c>
      <c r="E382" s="692" t="s">
        <v>3200</v>
      </c>
      <c r="F382" s="692" t="s">
        <v>3201</v>
      </c>
      <c r="G382" s="692" t="s">
        <v>66</v>
      </c>
      <c r="H382" s="692" t="s">
        <v>7</v>
      </c>
      <c r="I382" s="692" t="s">
        <v>43</v>
      </c>
      <c r="J382" s="692" t="s">
        <v>3</v>
      </c>
      <c r="K382" s="692" t="s">
        <v>4</v>
      </c>
      <c r="L382" s="692" t="str">
        <f t="shared" si="5"/>
        <v>2-01-02</v>
      </c>
      <c r="M382" s="692"/>
      <c r="N382" s="692"/>
      <c r="O382" s="692"/>
      <c r="P382" s="692" t="s">
        <v>610</v>
      </c>
      <c r="Q382" s="692" t="s">
        <v>4804</v>
      </c>
      <c r="R382" s="692" t="s">
        <v>5799</v>
      </c>
      <c r="S382" s="692">
        <v>24332726</v>
      </c>
      <c r="T382" s="692">
        <v>24332726</v>
      </c>
      <c r="U382" s="692" t="s">
        <v>4249</v>
      </c>
      <c r="V382" s="692" t="s">
        <v>3202</v>
      </c>
      <c r="W382" s="692"/>
      <c r="X382" s="761"/>
      <c r="Z382" s="713"/>
      <c r="AA382" s="10"/>
      <c r="AB382" s="8"/>
      <c r="AC382" s="8"/>
      <c r="AD382" s="8"/>
      <c r="AE382" s="8"/>
      <c r="AF382" s="8"/>
      <c r="AG382" s="8"/>
      <c r="AH382" s="761"/>
      <c r="AI382" s="761"/>
    </row>
    <row r="383" spans="1:35" ht="15.75">
      <c r="A383" s="692" t="s">
        <v>3200</v>
      </c>
      <c r="B383" s="692" t="s">
        <v>624</v>
      </c>
      <c r="D383" s="692" t="s">
        <v>625</v>
      </c>
      <c r="E383" s="692" t="s">
        <v>3203</v>
      </c>
      <c r="F383" s="692" t="s">
        <v>3204</v>
      </c>
      <c r="G383" s="692" t="s">
        <v>66</v>
      </c>
      <c r="H383" s="692" t="s">
        <v>8</v>
      </c>
      <c r="I383" s="692" t="s">
        <v>43</v>
      </c>
      <c r="J383" s="692" t="s">
        <v>5</v>
      </c>
      <c r="K383" s="692" t="s">
        <v>3</v>
      </c>
      <c r="L383" s="692" t="str">
        <f t="shared" si="5"/>
        <v>2-03-01</v>
      </c>
      <c r="M383" s="692"/>
      <c r="N383" s="692"/>
      <c r="O383" s="692"/>
      <c r="P383" s="692" t="s">
        <v>237</v>
      </c>
      <c r="Q383" s="692" t="s">
        <v>4804</v>
      </c>
      <c r="R383" s="692" t="s">
        <v>5817</v>
      </c>
      <c r="S383" s="692">
        <v>24941772</v>
      </c>
      <c r="T383" s="692">
        <v>24941772</v>
      </c>
      <c r="U383" s="692" t="s">
        <v>3935</v>
      </c>
      <c r="V383" s="692" t="s">
        <v>3205</v>
      </c>
      <c r="W383" s="692"/>
      <c r="X383" s="761"/>
      <c r="Z383" s="713"/>
      <c r="AA383" s="10"/>
      <c r="AB383" s="8"/>
      <c r="AC383" s="8"/>
      <c r="AD383" s="8"/>
      <c r="AE383" s="8"/>
      <c r="AF383" s="8"/>
      <c r="AG383" s="8"/>
      <c r="AH383" s="761" t="s">
        <v>4493</v>
      </c>
      <c r="AI383" s="761"/>
    </row>
    <row r="384" spans="1:35" ht="15.75">
      <c r="A384" s="692" t="s">
        <v>3151</v>
      </c>
      <c r="B384" s="692" t="s">
        <v>247</v>
      </c>
      <c r="D384" s="692" t="s">
        <v>628</v>
      </c>
      <c r="E384" s="692" t="s">
        <v>3206</v>
      </c>
      <c r="F384" s="692" t="s">
        <v>4088</v>
      </c>
      <c r="G384" s="692" t="s">
        <v>109</v>
      </c>
      <c r="H384" s="692" t="s">
        <v>5</v>
      </c>
      <c r="I384" s="692" t="s">
        <v>110</v>
      </c>
      <c r="J384" s="692" t="s">
        <v>13</v>
      </c>
      <c r="K384" s="692" t="s">
        <v>7</v>
      </c>
      <c r="L384" s="692" t="str">
        <f t="shared" si="5"/>
        <v>4-10-05</v>
      </c>
      <c r="M384" s="692"/>
      <c r="N384" s="692"/>
      <c r="O384" s="692"/>
      <c r="P384" s="692" t="s">
        <v>82</v>
      </c>
      <c r="Q384" s="692" t="s">
        <v>4804</v>
      </c>
      <c r="R384" s="692" t="s">
        <v>4882</v>
      </c>
      <c r="S384" s="692">
        <v>44047044</v>
      </c>
      <c r="T384" s="692"/>
      <c r="U384" s="692" t="s">
        <v>4250</v>
      </c>
      <c r="V384" s="692" t="s">
        <v>145</v>
      </c>
      <c r="W384" s="692"/>
      <c r="X384" s="761"/>
      <c r="Z384" s="713"/>
      <c r="AA384" s="10"/>
      <c r="AB384" s="8"/>
      <c r="AC384" s="8"/>
      <c r="AD384" s="8"/>
      <c r="AE384" s="8"/>
      <c r="AF384" s="8"/>
      <c r="AG384" s="8"/>
      <c r="AH384" s="761"/>
      <c r="AI384" s="761"/>
    </row>
    <row r="385" spans="1:35" ht="15.75">
      <c r="A385" s="692" t="s">
        <v>3218</v>
      </c>
      <c r="B385" s="692" t="s">
        <v>632</v>
      </c>
      <c r="D385" s="692" t="s">
        <v>929</v>
      </c>
      <c r="E385" s="692" t="s">
        <v>3207</v>
      </c>
      <c r="F385" s="692" t="s">
        <v>3208</v>
      </c>
      <c r="G385" s="692" t="s">
        <v>47</v>
      </c>
      <c r="H385" s="692" t="s">
        <v>4</v>
      </c>
      <c r="I385" s="692" t="s">
        <v>41</v>
      </c>
      <c r="J385" s="692" t="s">
        <v>5</v>
      </c>
      <c r="K385" s="692" t="s">
        <v>4</v>
      </c>
      <c r="L385" s="692" t="str">
        <f t="shared" si="5"/>
        <v>1-03-02</v>
      </c>
      <c r="M385" s="692"/>
      <c r="N385" s="692"/>
      <c r="O385" s="692"/>
      <c r="P385" s="692" t="s">
        <v>158</v>
      </c>
      <c r="Q385" s="692" t="s">
        <v>4804</v>
      </c>
      <c r="R385" s="692" t="s">
        <v>3209</v>
      </c>
      <c r="S385" s="692">
        <v>22705334</v>
      </c>
      <c r="T385" s="692">
        <v>22700974</v>
      </c>
      <c r="U385" s="692" t="s">
        <v>3210</v>
      </c>
      <c r="V385" s="692" t="s">
        <v>3211</v>
      </c>
      <c r="W385" s="692"/>
      <c r="X385" s="761"/>
      <c r="Z385" s="713"/>
      <c r="AA385" s="10"/>
      <c r="AB385" s="8"/>
      <c r="AC385" s="8"/>
      <c r="AD385" s="8"/>
      <c r="AE385" s="8"/>
      <c r="AF385" s="8"/>
      <c r="AG385" s="8"/>
      <c r="AH385" s="761"/>
      <c r="AI385" s="761"/>
    </row>
    <row r="386" spans="1:35" ht="15.75">
      <c r="A386" s="692" t="s">
        <v>3176</v>
      </c>
      <c r="B386" s="692" t="s">
        <v>612</v>
      </c>
      <c r="D386" s="692" t="s">
        <v>1161</v>
      </c>
      <c r="E386" s="692" t="s">
        <v>3212</v>
      </c>
      <c r="F386" s="692" t="s">
        <v>3213</v>
      </c>
      <c r="G386" s="692" t="s">
        <v>387</v>
      </c>
      <c r="H386" s="692" t="s">
        <v>8</v>
      </c>
      <c r="I386" s="692" t="s">
        <v>41</v>
      </c>
      <c r="J386" s="692" t="s">
        <v>388</v>
      </c>
      <c r="K386" s="692" t="s">
        <v>11</v>
      </c>
      <c r="L386" s="692" t="str">
        <f t="shared" si="5"/>
        <v>1-19-08</v>
      </c>
      <c r="M386" s="692"/>
      <c r="N386" s="692"/>
      <c r="O386" s="692"/>
      <c r="P386" s="692" t="s">
        <v>217</v>
      </c>
      <c r="Q386" s="692" t="s">
        <v>4804</v>
      </c>
      <c r="R386" s="692" t="s">
        <v>4673</v>
      </c>
      <c r="S386" s="692">
        <v>27312080</v>
      </c>
      <c r="T386" s="692">
        <v>27311616</v>
      </c>
      <c r="U386" s="692" t="s">
        <v>3669</v>
      </c>
      <c r="V386" s="692" t="s">
        <v>3214</v>
      </c>
      <c r="W386" s="692"/>
      <c r="X386" s="761"/>
      <c r="Z386" s="713"/>
      <c r="AA386" s="10"/>
      <c r="AB386" s="8"/>
      <c r="AC386" s="8"/>
      <c r="AD386" s="8"/>
      <c r="AE386" s="8"/>
      <c r="AF386" s="8"/>
      <c r="AG386" s="8"/>
      <c r="AH386" s="761" t="s">
        <v>4493</v>
      </c>
      <c r="AI386" s="761"/>
    </row>
    <row r="387" spans="1:35" ht="15.75">
      <c r="A387" s="692" t="s">
        <v>3203</v>
      </c>
      <c r="B387" s="692" t="s">
        <v>625</v>
      </c>
      <c r="D387" s="692" t="s">
        <v>630</v>
      </c>
      <c r="E387" s="692" t="s">
        <v>3215</v>
      </c>
      <c r="F387" s="692" t="s">
        <v>3216</v>
      </c>
      <c r="G387" s="692" t="s">
        <v>109</v>
      </c>
      <c r="H387" s="692" t="s">
        <v>5</v>
      </c>
      <c r="I387" s="692" t="s">
        <v>110</v>
      </c>
      <c r="J387" s="692" t="s">
        <v>13</v>
      </c>
      <c r="K387" s="692" t="s">
        <v>7</v>
      </c>
      <c r="L387" s="692" t="str">
        <f t="shared" ref="L387:L450" si="6">CONCATENATE(I387,"-",J387,"-",K387)</f>
        <v>4-10-05</v>
      </c>
      <c r="M387" s="692"/>
      <c r="N387" s="692"/>
      <c r="O387" s="692"/>
      <c r="P387" s="692" t="s">
        <v>1191</v>
      </c>
      <c r="Q387" s="692" t="s">
        <v>4804</v>
      </c>
      <c r="R387" s="692" t="s">
        <v>5752</v>
      </c>
      <c r="S387" s="692">
        <v>44056254</v>
      </c>
      <c r="T387" s="692"/>
      <c r="U387" s="692" t="s">
        <v>3936</v>
      </c>
      <c r="V387" s="692" t="s">
        <v>4251</v>
      </c>
      <c r="W387" s="692"/>
      <c r="X387" s="761"/>
      <c r="Z387" s="713"/>
      <c r="AA387" s="10"/>
      <c r="AB387" s="8"/>
      <c r="AC387" s="8"/>
      <c r="AD387" s="8"/>
      <c r="AE387" s="8"/>
      <c r="AF387" s="8"/>
      <c r="AG387" s="8"/>
      <c r="AH387" s="761"/>
      <c r="AI387" s="761"/>
    </row>
    <row r="388" spans="1:35" ht="15.75">
      <c r="A388" s="692" t="s">
        <v>3207</v>
      </c>
      <c r="B388" s="692" t="s">
        <v>929</v>
      </c>
      <c r="D388" s="692" t="s">
        <v>632</v>
      </c>
      <c r="E388" s="692" t="s">
        <v>3218</v>
      </c>
      <c r="F388" s="692" t="s">
        <v>3219</v>
      </c>
      <c r="G388" s="692" t="s">
        <v>750</v>
      </c>
      <c r="H388" s="692" t="s">
        <v>8</v>
      </c>
      <c r="I388" s="692" t="s">
        <v>68</v>
      </c>
      <c r="J388" s="692" t="s">
        <v>4</v>
      </c>
      <c r="K388" s="692" t="s">
        <v>7</v>
      </c>
      <c r="L388" s="692" t="str">
        <f t="shared" si="6"/>
        <v>7-02-05</v>
      </c>
      <c r="M388" s="692"/>
      <c r="N388" s="692"/>
      <c r="O388" s="692"/>
      <c r="P388" s="692" t="s">
        <v>651</v>
      </c>
      <c r="Q388" s="692" t="s">
        <v>4804</v>
      </c>
      <c r="R388" s="692" t="s">
        <v>4674</v>
      </c>
      <c r="S388" s="692">
        <v>27673850</v>
      </c>
      <c r="T388" s="692">
        <v>27673850</v>
      </c>
      <c r="U388" s="692" t="s">
        <v>3220</v>
      </c>
      <c r="V388" s="692" t="s">
        <v>3221</v>
      </c>
      <c r="W388" s="692"/>
      <c r="X388" s="761"/>
      <c r="Z388" s="713"/>
      <c r="AA388" s="10"/>
      <c r="AB388" s="8"/>
      <c r="AC388" s="8"/>
      <c r="AD388" s="8"/>
      <c r="AE388" s="8"/>
      <c r="AF388" s="8"/>
      <c r="AG388" s="8"/>
      <c r="AH388" s="761"/>
      <c r="AI388" s="761"/>
    </row>
    <row r="389" spans="1:35" ht="15.75">
      <c r="A389" s="692" t="s">
        <v>3197</v>
      </c>
      <c r="B389" s="692" t="s">
        <v>622</v>
      </c>
      <c r="D389" s="692" t="s">
        <v>634</v>
      </c>
      <c r="E389" s="692" t="s">
        <v>3222</v>
      </c>
      <c r="F389" s="692" t="s">
        <v>3448</v>
      </c>
      <c r="G389" s="692" t="s">
        <v>767</v>
      </c>
      <c r="H389" s="692" t="s">
        <v>9</v>
      </c>
      <c r="I389" s="692" t="s">
        <v>56</v>
      </c>
      <c r="J389" s="692" t="s">
        <v>7</v>
      </c>
      <c r="K389" s="692" t="s">
        <v>17</v>
      </c>
      <c r="L389" s="692" t="str">
        <f t="shared" si="6"/>
        <v>3-05-12</v>
      </c>
      <c r="M389" s="692"/>
      <c r="N389" s="692"/>
      <c r="O389" s="692"/>
      <c r="P389" s="692" t="s">
        <v>869</v>
      </c>
      <c r="Q389" s="692" t="s">
        <v>4804</v>
      </c>
      <c r="R389" s="692" t="s">
        <v>3937</v>
      </c>
      <c r="S389" s="692">
        <v>22064757</v>
      </c>
      <c r="T389" s="692"/>
      <c r="U389" s="692" t="s">
        <v>4883</v>
      </c>
      <c r="V389" s="692" t="s">
        <v>3224</v>
      </c>
      <c r="W389" s="692"/>
      <c r="X389" s="761"/>
      <c r="Z389" s="713"/>
      <c r="AA389" s="10"/>
      <c r="AB389" s="8"/>
      <c r="AC389" s="8"/>
      <c r="AD389" s="8"/>
      <c r="AE389" s="8"/>
      <c r="AF389" s="8"/>
      <c r="AG389" s="8"/>
      <c r="AH389" s="761"/>
      <c r="AI389" s="761"/>
    </row>
    <row r="390" spans="1:35" ht="15.75">
      <c r="A390" s="692" t="s">
        <v>3225</v>
      </c>
      <c r="B390" s="692" t="s">
        <v>499</v>
      </c>
      <c r="D390" s="692" t="s">
        <v>499</v>
      </c>
      <c r="E390" s="692" t="s">
        <v>3225</v>
      </c>
      <c r="F390" s="692" t="s">
        <v>4089</v>
      </c>
      <c r="G390" s="692" t="s">
        <v>172</v>
      </c>
      <c r="H390" s="692" t="s">
        <v>4</v>
      </c>
      <c r="I390" s="692" t="s">
        <v>41</v>
      </c>
      <c r="J390" s="692" t="s">
        <v>6</v>
      </c>
      <c r="K390" s="692" t="s">
        <v>4</v>
      </c>
      <c r="L390" s="692" t="str">
        <f t="shared" si="6"/>
        <v>1-04-02</v>
      </c>
      <c r="M390" s="692"/>
      <c r="N390" s="692"/>
      <c r="O390" s="692"/>
      <c r="P390" s="692" t="s">
        <v>1070</v>
      </c>
      <c r="Q390" s="692" t="s">
        <v>4804</v>
      </c>
      <c r="R390" s="692" t="s">
        <v>4884</v>
      </c>
      <c r="S390" s="692">
        <v>24167075</v>
      </c>
      <c r="T390" s="692">
        <v>24167075</v>
      </c>
      <c r="U390" s="692" t="s">
        <v>4675</v>
      </c>
      <c r="V390" s="692" t="s">
        <v>4253</v>
      </c>
      <c r="W390" s="692"/>
      <c r="X390" s="761"/>
      <c r="Z390" s="713"/>
      <c r="AA390" s="10"/>
      <c r="AB390" s="8"/>
      <c r="AC390" s="8"/>
      <c r="AD390" s="8"/>
      <c r="AE390" s="8"/>
      <c r="AF390" s="8"/>
      <c r="AG390" s="8"/>
      <c r="AH390" s="761"/>
      <c r="AI390" s="761"/>
    </row>
    <row r="391" spans="1:35" ht="15.75">
      <c r="A391" s="692" t="s">
        <v>3226</v>
      </c>
      <c r="B391" s="692" t="s">
        <v>635</v>
      </c>
      <c r="D391" s="692" t="s">
        <v>635</v>
      </c>
      <c r="E391" s="692" t="s">
        <v>3226</v>
      </c>
      <c r="F391" s="692" t="s">
        <v>4090</v>
      </c>
      <c r="G391" s="692" t="s">
        <v>172</v>
      </c>
      <c r="H391" s="692" t="s">
        <v>8</v>
      </c>
      <c r="I391" s="692" t="s">
        <v>41</v>
      </c>
      <c r="J391" s="692" t="s">
        <v>304</v>
      </c>
      <c r="K391" s="692" t="s">
        <v>5</v>
      </c>
      <c r="L391" s="692" t="str">
        <f t="shared" si="6"/>
        <v>1-16-03</v>
      </c>
      <c r="M391" s="692"/>
      <c r="N391" s="692"/>
      <c r="O391" s="692"/>
      <c r="P391" s="692" t="s">
        <v>130</v>
      </c>
      <c r="Q391" s="692" t="s">
        <v>4804</v>
      </c>
      <c r="R391" s="692" t="s">
        <v>5779</v>
      </c>
      <c r="S391" s="692">
        <v>24283281</v>
      </c>
      <c r="T391" s="692">
        <v>24283281</v>
      </c>
      <c r="U391" s="692" t="s">
        <v>4676</v>
      </c>
      <c r="V391" s="692" t="s">
        <v>4254</v>
      </c>
      <c r="W391" s="692"/>
      <c r="X391" s="761"/>
      <c r="Z391" s="713"/>
      <c r="AA391" s="10"/>
      <c r="AB391" s="8"/>
      <c r="AC391" s="8"/>
      <c r="AD391" s="8"/>
      <c r="AE391" s="8"/>
      <c r="AF391" s="8"/>
      <c r="AG391" s="8"/>
      <c r="AH391" s="761"/>
      <c r="AI391" s="761"/>
    </row>
    <row r="392" spans="1:35" ht="15.75">
      <c r="A392" s="692" t="s">
        <v>3234</v>
      </c>
      <c r="B392" s="692" t="s">
        <v>303</v>
      </c>
      <c r="D392" s="692" t="s">
        <v>636</v>
      </c>
      <c r="E392" s="692" t="s">
        <v>3227</v>
      </c>
      <c r="F392" s="692" t="s">
        <v>3228</v>
      </c>
      <c r="G392" s="692" t="s">
        <v>128</v>
      </c>
      <c r="H392" s="692" t="s">
        <v>6</v>
      </c>
      <c r="I392" s="692" t="s">
        <v>56</v>
      </c>
      <c r="J392" s="692" t="s">
        <v>9</v>
      </c>
      <c r="K392" s="692" t="s">
        <v>7</v>
      </c>
      <c r="L392" s="692" t="str">
        <f t="shared" si="6"/>
        <v>3-07-05</v>
      </c>
      <c r="M392" s="692"/>
      <c r="N392" s="692"/>
      <c r="O392" s="692"/>
      <c r="P392" s="692" t="s">
        <v>402</v>
      </c>
      <c r="Q392" s="692" t="s">
        <v>4804</v>
      </c>
      <c r="R392" s="692" t="s">
        <v>3557</v>
      </c>
      <c r="S392" s="692">
        <v>25367402</v>
      </c>
      <c r="T392" s="692">
        <v>25367402</v>
      </c>
      <c r="U392" s="692" t="s">
        <v>3938</v>
      </c>
      <c r="V392" s="692" t="s">
        <v>3670</v>
      </c>
      <c r="W392" s="692"/>
      <c r="X392" s="761"/>
      <c r="Z392" s="713"/>
      <c r="AA392" s="10"/>
      <c r="AB392" s="8"/>
      <c r="AC392" s="8"/>
      <c r="AD392" s="8"/>
      <c r="AE392" s="8"/>
      <c r="AF392" s="8"/>
      <c r="AG392" s="8"/>
      <c r="AH392" s="761"/>
      <c r="AI392" s="761"/>
    </row>
    <row r="393" spans="1:35" ht="15.75">
      <c r="A393" s="692" t="s">
        <v>3259</v>
      </c>
      <c r="B393" s="692" t="s">
        <v>1150</v>
      </c>
      <c r="D393" s="692" t="s">
        <v>1147</v>
      </c>
      <c r="E393" s="692" t="s">
        <v>3229</v>
      </c>
      <c r="F393" s="692" t="s">
        <v>5639</v>
      </c>
      <c r="G393" s="692" t="s">
        <v>5729</v>
      </c>
      <c r="H393" s="692" t="s">
        <v>6</v>
      </c>
      <c r="I393" s="692" t="s">
        <v>68</v>
      </c>
      <c r="J393" s="692" t="s">
        <v>5</v>
      </c>
      <c r="K393" s="692" t="s">
        <v>4</v>
      </c>
      <c r="L393" s="692" t="str">
        <f t="shared" si="6"/>
        <v>7-03-02</v>
      </c>
      <c r="M393" s="692"/>
      <c r="N393" s="692"/>
      <c r="O393" s="692"/>
      <c r="P393" s="692" t="s">
        <v>117</v>
      </c>
      <c r="Q393" s="692" t="s">
        <v>4804</v>
      </c>
      <c r="R393" s="692" t="s">
        <v>3548</v>
      </c>
      <c r="S393" s="692">
        <v>22006471</v>
      </c>
      <c r="T393" s="692"/>
      <c r="U393" s="692" t="s">
        <v>5640</v>
      </c>
      <c r="V393" s="692" t="s">
        <v>4477</v>
      </c>
      <c r="W393" s="692"/>
      <c r="X393" s="761"/>
      <c r="Z393" s="713"/>
      <c r="AA393" s="10"/>
      <c r="AB393" s="8"/>
      <c r="AC393" s="8"/>
      <c r="AD393" s="8"/>
      <c r="AE393" s="8"/>
      <c r="AF393" s="8"/>
      <c r="AG393" s="8"/>
      <c r="AH393" s="761"/>
      <c r="AI393" s="761"/>
    </row>
    <row r="394" spans="1:35" ht="15.75">
      <c r="A394" s="692" t="s">
        <v>3254</v>
      </c>
      <c r="B394" s="692" t="s">
        <v>645</v>
      </c>
      <c r="D394" s="692" t="s">
        <v>915</v>
      </c>
      <c r="E394" s="692" t="s">
        <v>3230</v>
      </c>
      <c r="F394" s="692" t="s">
        <v>3743</v>
      </c>
      <c r="G394" s="692" t="s">
        <v>66</v>
      </c>
      <c r="H394" s="692" t="s">
        <v>12</v>
      </c>
      <c r="I394" s="692" t="s">
        <v>43</v>
      </c>
      <c r="J394" s="692" t="s">
        <v>6</v>
      </c>
      <c r="K394" s="692" t="s">
        <v>6</v>
      </c>
      <c r="L394" s="692" t="str">
        <f t="shared" si="6"/>
        <v>2-04-04</v>
      </c>
      <c r="M394" s="692"/>
      <c r="N394" s="692"/>
      <c r="O394" s="692"/>
      <c r="P394" s="692" t="s">
        <v>654</v>
      </c>
      <c r="Q394" s="692" t="s">
        <v>4804</v>
      </c>
      <c r="R394" s="692" t="s">
        <v>5641</v>
      </c>
      <c r="S394" s="692">
        <v>26352584</v>
      </c>
      <c r="T394" s="692">
        <v>26352584</v>
      </c>
      <c r="U394" s="692" t="s">
        <v>4885</v>
      </c>
      <c r="V394" s="692" t="s">
        <v>113</v>
      </c>
      <c r="W394" s="692"/>
      <c r="X394" s="761"/>
      <c r="Z394" s="713"/>
      <c r="AA394" s="10"/>
      <c r="AB394" s="8"/>
      <c r="AC394" s="8"/>
      <c r="AD394" s="8"/>
      <c r="AE394" s="8"/>
      <c r="AF394" s="8"/>
      <c r="AG394" s="8"/>
      <c r="AH394" s="761"/>
      <c r="AI394" s="761"/>
    </row>
    <row r="395" spans="1:35" ht="15.75">
      <c r="A395" s="692" t="s">
        <v>3245</v>
      </c>
      <c r="B395" s="692" t="s">
        <v>286</v>
      </c>
      <c r="D395" s="692" t="s">
        <v>1090</v>
      </c>
      <c r="E395" s="692" t="s">
        <v>3231</v>
      </c>
      <c r="F395" s="692" t="s">
        <v>3232</v>
      </c>
      <c r="G395" s="692" t="s">
        <v>66</v>
      </c>
      <c r="H395" s="692" t="s">
        <v>13</v>
      </c>
      <c r="I395" s="692" t="s">
        <v>43</v>
      </c>
      <c r="J395" s="692" t="s">
        <v>5</v>
      </c>
      <c r="K395" s="692" t="s">
        <v>9</v>
      </c>
      <c r="L395" s="692" t="str">
        <f t="shared" si="6"/>
        <v>2-03-07</v>
      </c>
      <c r="M395" s="692"/>
      <c r="N395" s="692"/>
      <c r="O395" s="692"/>
      <c r="P395" s="692" t="s">
        <v>638</v>
      </c>
      <c r="Q395" s="692" t="s">
        <v>4804</v>
      </c>
      <c r="R395" s="692" t="s">
        <v>3934</v>
      </c>
      <c r="S395" s="692">
        <v>24441506</v>
      </c>
      <c r="T395" s="692"/>
      <c r="U395" s="692" t="s">
        <v>4255</v>
      </c>
      <c r="V395" s="692" t="s">
        <v>3233</v>
      </c>
      <c r="W395" s="692"/>
      <c r="X395" s="761"/>
      <c r="Z395" s="713"/>
      <c r="AA395" s="10"/>
      <c r="AB395" s="8"/>
      <c r="AC395" s="8"/>
      <c r="AD395" s="8"/>
      <c r="AE395" s="8"/>
      <c r="AF395" s="8"/>
      <c r="AG395" s="8"/>
      <c r="AH395" s="761"/>
      <c r="AI395" s="761"/>
    </row>
    <row r="396" spans="1:35" ht="15.75">
      <c r="A396" s="692" t="s">
        <v>3237</v>
      </c>
      <c r="B396" s="692" t="s">
        <v>639</v>
      </c>
      <c r="D396" s="692" t="s">
        <v>303</v>
      </c>
      <c r="E396" s="692" t="s">
        <v>3234</v>
      </c>
      <c r="F396" s="692" t="s">
        <v>3235</v>
      </c>
      <c r="G396" s="692" t="s">
        <v>4398</v>
      </c>
      <c r="H396" s="692" t="s">
        <v>4</v>
      </c>
      <c r="I396" s="692" t="s">
        <v>68</v>
      </c>
      <c r="J396" s="692" t="s">
        <v>6</v>
      </c>
      <c r="K396" s="692" t="s">
        <v>6</v>
      </c>
      <c r="L396" s="692" t="str">
        <f t="shared" si="6"/>
        <v>7-04-04</v>
      </c>
      <c r="M396" s="692"/>
      <c r="N396" s="692"/>
      <c r="O396" s="692"/>
      <c r="P396" s="692" t="s">
        <v>850</v>
      </c>
      <c r="Q396" s="692" t="s">
        <v>4804</v>
      </c>
      <c r="R396" s="692" t="s">
        <v>4677</v>
      </c>
      <c r="S396" s="692">
        <v>88838417</v>
      </c>
      <c r="T396" s="692"/>
      <c r="U396" s="692" t="s">
        <v>4478</v>
      </c>
      <c r="V396" s="692" t="s">
        <v>3236</v>
      </c>
      <c r="W396" s="692"/>
      <c r="X396" s="761"/>
      <c r="Z396" s="713"/>
      <c r="AA396" s="10"/>
      <c r="AB396" s="8"/>
      <c r="AC396" s="8"/>
      <c r="AD396" s="8"/>
      <c r="AE396" s="8"/>
      <c r="AF396" s="8"/>
      <c r="AG396" s="8"/>
      <c r="AH396" s="761"/>
      <c r="AI396" s="761"/>
    </row>
    <row r="397" spans="1:35" ht="15.75">
      <c r="A397" s="692" t="s">
        <v>3262</v>
      </c>
      <c r="B397" s="692" t="s">
        <v>1149</v>
      </c>
      <c r="D397" s="692" t="s">
        <v>639</v>
      </c>
      <c r="E397" s="692" t="s">
        <v>3237</v>
      </c>
      <c r="F397" s="692" t="s">
        <v>4763</v>
      </c>
      <c r="G397" s="692" t="s">
        <v>5729</v>
      </c>
      <c r="H397" s="692" t="s">
        <v>11</v>
      </c>
      <c r="I397" s="692" t="s">
        <v>68</v>
      </c>
      <c r="J397" s="692" t="s">
        <v>6</v>
      </c>
      <c r="K397" s="692" t="s">
        <v>4</v>
      </c>
      <c r="L397" s="692" t="str">
        <f t="shared" si="6"/>
        <v>7-04-02</v>
      </c>
      <c r="M397" s="692"/>
      <c r="N397" s="692"/>
      <c r="O397" s="692"/>
      <c r="P397" s="692" t="s">
        <v>741</v>
      </c>
      <c r="Q397" s="692" t="s">
        <v>4804</v>
      </c>
      <c r="R397" s="692" t="s">
        <v>3563</v>
      </c>
      <c r="S397" s="692">
        <v>27510519</v>
      </c>
      <c r="T397" s="692">
        <v>27511055</v>
      </c>
      <c r="U397" s="692" t="s">
        <v>4886</v>
      </c>
      <c r="V397" s="692" t="s">
        <v>378</v>
      </c>
      <c r="W397" s="692"/>
      <c r="X397" s="761"/>
      <c r="Z397" s="713"/>
      <c r="AA397" s="10"/>
      <c r="AB397" s="8"/>
      <c r="AC397" s="8"/>
      <c r="AD397" s="8"/>
      <c r="AE397" s="8"/>
      <c r="AF397" s="8"/>
      <c r="AG397" s="8"/>
      <c r="AH397" s="761"/>
      <c r="AI397" s="761"/>
    </row>
    <row r="398" spans="1:35" ht="15.75">
      <c r="A398" s="692" t="s">
        <v>3246</v>
      </c>
      <c r="B398" s="692" t="s">
        <v>643</v>
      </c>
      <c r="D398" s="692" t="s">
        <v>631</v>
      </c>
      <c r="E398" s="692" t="s">
        <v>3238</v>
      </c>
      <c r="F398" s="692" t="s">
        <v>4091</v>
      </c>
      <c r="G398" s="692" t="s">
        <v>4395</v>
      </c>
      <c r="H398" s="692" t="s">
        <v>6</v>
      </c>
      <c r="I398" s="692" t="s">
        <v>41</v>
      </c>
      <c r="J398" s="692" t="s">
        <v>12</v>
      </c>
      <c r="K398" s="692" t="s">
        <v>3</v>
      </c>
      <c r="L398" s="692" t="str">
        <f t="shared" si="6"/>
        <v>1-09-01</v>
      </c>
      <c r="M398" s="692"/>
      <c r="N398" s="692"/>
      <c r="O398" s="692"/>
      <c r="P398" s="692" t="s">
        <v>1902</v>
      </c>
      <c r="Q398" s="692" t="s">
        <v>4804</v>
      </c>
      <c r="R398" s="692" t="s">
        <v>5853</v>
      </c>
      <c r="S398" s="692">
        <v>22826018</v>
      </c>
      <c r="T398" s="692">
        <v>22826018</v>
      </c>
      <c r="U398" s="692" t="s">
        <v>4678</v>
      </c>
      <c r="V398" s="692" t="s">
        <v>4256</v>
      </c>
      <c r="W398" s="692"/>
      <c r="X398" s="761"/>
      <c r="Z398" s="713"/>
      <c r="AA398" s="10"/>
      <c r="AB398" s="8"/>
      <c r="AC398" s="8"/>
      <c r="AD398" s="8"/>
      <c r="AE398" s="8"/>
      <c r="AF398" s="8"/>
      <c r="AG398" s="8"/>
      <c r="AH398" s="761"/>
      <c r="AI398" s="761"/>
    </row>
    <row r="399" spans="1:35" ht="15.75">
      <c r="A399" s="692" t="s">
        <v>3257</v>
      </c>
      <c r="B399" s="692" t="s">
        <v>649</v>
      </c>
      <c r="D399" s="692" t="s">
        <v>93</v>
      </c>
      <c r="E399" s="692" t="s">
        <v>3239</v>
      </c>
      <c r="F399" s="692" t="s">
        <v>3240</v>
      </c>
      <c r="G399" s="692" t="s">
        <v>128</v>
      </c>
      <c r="H399" s="692" t="s">
        <v>3</v>
      </c>
      <c r="I399" s="692" t="s">
        <v>56</v>
      </c>
      <c r="J399" s="692" t="s">
        <v>3</v>
      </c>
      <c r="K399" s="692" t="s">
        <v>4</v>
      </c>
      <c r="L399" s="692" t="str">
        <f t="shared" si="6"/>
        <v>3-01-02</v>
      </c>
      <c r="M399" s="692"/>
      <c r="N399" s="692"/>
      <c r="O399" s="692"/>
      <c r="P399" s="692" t="s">
        <v>755</v>
      </c>
      <c r="Q399" s="692" t="s">
        <v>4804</v>
      </c>
      <c r="R399" s="692" t="s">
        <v>3567</v>
      </c>
      <c r="S399" s="692">
        <v>25533771</v>
      </c>
      <c r="T399" s="692">
        <v>25515058</v>
      </c>
      <c r="U399" s="692" t="s">
        <v>4257</v>
      </c>
      <c r="V399" s="692" t="s">
        <v>5642</v>
      </c>
      <c r="W399" s="692"/>
      <c r="X399" s="761"/>
      <c r="Z399" s="713"/>
      <c r="AA399" s="10"/>
      <c r="AB399" s="8"/>
      <c r="AC399" s="8"/>
      <c r="AD399" s="8"/>
      <c r="AE399" s="8"/>
      <c r="AF399" s="8"/>
      <c r="AG399" s="8"/>
      <c r="AH399" s="761"/>
      <c r="AI399" s="761"/>
    </row>
    <row r="400" spans="1:35" ht="15.75">
      <c r="A400" s="692" t="s">
        <v>3255</v>
      </c>
      <c r="B400" s="692" t="s">
        <v>646</v>
      </c>
      <c r="D400" s="692" t="s">
        <v>1145</v>
      </c>
      <c r="E400" s="692" t="s">
        <v>3241</v>
      </c>
      <c r="F400" s="692" t="s">
        <v>3242</v>
      </c>
      <c r="G400" s="692" t="s">
        <v>4396</v>
      </c>
      <c r="H400" s="692" t="s">
        <v>3</v>
      </c>
      <c r="I400" s="692" t="s">
        <v>41</v>
      </c>
      <c r="J400" s="692" t="s">
        <v>11</v>
      </c>
      <c r="K400" s="692" t="s">
        <v>3</v>
      </c>
      <c r="L400" s="692" t="str">
        <f t="shared" si="6"/>
        <v>1-08-01</v>
      </c>
      <c r="M400" s="692"/>
      <c r="N400" s="692"/>
      <c r="O400" s="692"/>
      <c r="P400" s="692" t="s">
        <v>3243</v>
      </c>
      <c r="Q400" s="692" t="s">
        <v>4804</v>
      </c>
      <c r="R400" s="692" t="s">
        <v>1172</v>
      </c>
      <c r="S400" s="692">
        <v>22533401</v>
      </c>
      <c r="T400" s="692">
        <v>22806412</v>
      </c>
      <c r="U400" s="692" t="s">
        <v>4887</v>
      </c>
      <c r="V400" s="692" t="s">
        <v>1173</v>
      </c>
      <c r="W400" s="692"/>
      <c r="X400" s="761"/>
      <c r="Z400" s="713"/>
      <c r="AA400" s="10"/>
      <c r="AB400" s="8"/>
      <c r="AC400" s="8"/>
      <c r="AD400" s="8"/>
      <c r="AE400" s="8"/>
      <c r="AF400" s="8"/>
      <c r="AG400" s="8"/>
      <c r="AH400" s="761"/>
      <c r="AI400" s="761"/>
    </row>
    <row r="401" spans="1:35" ht="15.75">
      <c r="A401" s="692" t="s">
        <v>3238</v>
      </c>
      <c r="B401" s="692" t="s">
        <v>631</v>
      </c>
      <c r="D401" s="692" t="s">
        <v>641</v>
      </c>
      <c r="E401" s="692" t="s">
        <v>3244</v>
      </c>
      <c r="F401" s="692" t="s">
        <v>4092</v>
      </c>
      <c r="G401" s="692" t="s">
        <v>47</v>
      </c>
      <c r="H401" s="692" t="s">
        <v>7</v>
      </c>
      <c r="I401" s="692" t="s">
        <v>41</v>
      </c>
      <c r="J401" s="692" t="s">
        <v>17</v>
      </c>
      <c r="K401" s="692" t="s">
        <v>4</v>
      </c>
      <c r="L401" s="692" t="str">
        <f t="shared" si="6"/>
        <v>1-12-02</v>
      </c>
      <c r="M401" s="692"/>
      <c r="N401" s="692"/>
      <c r="O401" s="692"/>
      <c r="P401" s="692" t="s">
        <v>256</v>
      </c>
      <c r="Q401" s="692" t="s">
        <v>4804</v>
      </c>
      <c r="R401" s="692" t="s">
        <v>5643</v>
      </c>
      <c r="S401" s="692">
        <v>24102494</v>
      </c>
      <c r="T401" s="692">
        <v>24107520</v>
      </c>
      <c r="U401" s="692" t="s">
        <v>4479</v>
      </c>
      <c r="V401" s="692" t="s">
        <v>4480</v>
      </c>
      <c r="W401" s="692"/>
      <c r="X401" s="761"/>
      <c r="Z401" s="713"/>
      <c r="AA401" s="10"/>
      <c r="AB401" s="8"/>
      <c r="AC401" s="8"/>
      <c r="AD401" s="8"/>
      <c r="AE401" s="8"/>
      <c r="AF401" s="8"/>
      <c r="AG401" s="8"/>
      <c r="AH401" s="761"/>
      <c r="AI401" s="761"/>
    </row>
    <row r="402" spans="1:35" ht="15.75">
      <c r="A402" s="692" t="s">
        <v>3241</v>
      </c>
      <c r="B402" s="692" t="s">
        <v>1145</v>
      </c>
      <c r="D402" s="692" t="s">
        <v>286</v>
      </c>
      <c r="E402" s="692" t="s">
        <v>3245</v>
      </c>
      <c r="F402" s="692" t="s">
        <v>4399</v>
      </c>
      <c r="G402" s="692" t="s">
        <v>47</v>
      </c>
      <c r="H402" s="692" t="s">
        <v>7</v>
      </c>
      <c r="I402" s="692" t="s">
        <v>41</v>
      </c>
      <c r="J402" s="692" t="s">
        <v>17</v>
      </c>
      <c r="K402" s="692" t="s">
        <v>5</v>
      </c>
      <c r="L402" s="692" t="str">
        <f t="shared" si="6"/>
        <v>1-12-03</v>
      </c>
      <c r="M402" s="692"/>
      <c r="N402" s="692"/>
      <c r="O402" s="692"/>
      <c r="P402" s="692" t="s">
        <v>246</v>
      </c>
      <c r="Q402" s="692" t="s">
        <v>4804</v>
      </c>
      <c r="R402" s="692" t="s">
        <v>5735</v>
      </c>
      <c r="S402" s="692">
        <v>24100409</v>
      </c>
      <c r="T402" s="692">
        <v>24100541</v>
      </c>
      <c r="U402" s="692" t="s">
        <v>5644</v>
      </c>
      <c r="V402" s="692" t="s">
        <v>5736</v>
      </c>
      <c r="W402" s="692"/>
      <c r="X402" s="761"/>
      <c r="Z402" s="713"/>
      <c r="AA402" s="10"/>
      <c r="AB402" s="8"/>
      <c r="AC402" s="8"/>
      <c r="AD402" s="8"/>
      <c r="AE402" s="8"/>
      <c r="AF402" s="8"/>
      <c r="AG402" s="8"/>
      <c r="AH402" s="761"/>
      <c r="AI402" s="761"/>
    </row>
    <row r="403" spans="1:35" ht="15.75">
      <c r="A403" s="692" t="s">
        <v>3271</v>
      </c>
      <c r="B403" s="692" t="s">
        <v>647</v>
      </c>
      <c r="D403" s="692" t="s">
        <v>643</v>
      </c>
      <c r="E403" s="692" t="s">
        <v>3246</v>
      </c>
      <c r="F403" s="692" t="s">
        <v>4093</v>
      </c>
      <c r="G403" s="692" t="s">
        <v>47</v>
      </c>
      <c r="H403" s="692" t="s">
        <v>3</v>
      </c>
      <c r="I403" s="692" t="s">
        <v>41</v>
      </c>
      <c r="J403" s="692" t="s">
        <v>5</v>
      </c>
      <c r="K403" s="692" t="s">
        <v>7</v>
      </c>
      <c r="L403" s="692" t="str">
        <f t="shared" si="6"/>
        <v>1-03-05</v>
      </c>
      <c r="M403" s="692"/>
      <c r="N403" s="692"/>
      <c r="O403" s="692"/>
      <c r="P403" s="692" t="s">
        <v>132</v>
      </c>
      <c r="Q403" s="692" t="s">
        <v>4804</v>
      </c>
      <c r="R403" s="692" t="s">
        <v>5849</v>
      </c>
      <c r="S403" s="692">
        <v>22765225</v>
      </c>
      <c r="T403" s="692">
        <v>22765225</v>
      </c>
      <c r="U403" s="692" t="s">
        <v>3939</v>
      </c>
      <c r="V403" s="692" t="s">
        <v>5850</v>
      </c>
      <c r="W403" s="692"/>
      <c r="X403" s="761"/>
      <c r="Z403" s="713"/>
      <c r="AA403" s="10"/>
      <c r="AB403" s="8"/>
      <c r="AC403" s="8"/>
      <c r="AD403" s="8"/>
      <c r="AE403" s="8"/>
      <c r="AF403" s="8"/>
      <c r="AG403" s="8"/>
      <c r="AH403" s="761"/>
      <c r="AI403" s="761"/>
    </row>
    <row r="404" spans="1:35" ht="15.75">
      <c r="A404" s="692" t="s">
        <v>3231</v>
      </c>
      <c r="B404" s="692" t="s">
        <v>1090</v>
      </c>
      <c r="D404" s="692" t="s">
        <v>179</v>
      </c>
      <c r="E404" s="692" t="s">
        <v>3247</v>
      </c>
      <c r="F404" s="692" t="s">
        <v>3248</v>
      </c>
      <c r="G404" s="692" t="s">
        <v>81</v>
      </c>
      <c r="H404" s="692" t="s">
        <v>7</v>
      </c>
      <c r="I404" s="692" t="s">
        <v>80</v>
      </c>
      <c r="J404" s="692" t="s">
        <v>3</v>
      </c>
      <c r="K404" s="692" t="s">
        <v>3</v>
      </c>
      <c r="L404" s="692" t="str">
        <f t="shared" si="6"/>
        <v>6-01-01</v>
      </c>
      <c r="M404" s="692"/>
      <c r="N404" s="692"/>
      <c r="O404" s="692"/>
      <c r="P404" s="692" t="s">
        <v>3249</v>
      </c>
      <c r="Q404" s="692" t="s">
        <v>3543</v>
      </c>
      <c r="R404" s="692" t="s">
        <v>4481</v>
      </c>
      <c r="S404" s="692">
        <v>26614422</v>
      </c>
      <c r="T404" s="692">
        <v>26614422</v>
      </c>
      <c r="U404" s="692" t="s">
        <v>5645</v>
      </c>
      <c r="V404" s="692" t="s">
        <v>3250</v>
      </c>
      <c r="W404" s="692"/>
      <c r="X404" s="761"/>
      <c r="Z404" s="713"/>
      <c r="AA404" s="10"/>
      <c r="AB404" s="8"/>
      <c r="AC404" s="8"/>
      <c r="AD404" s="8"/>
      <c r="AE404" s="8"/>
      <c r="AF404" s="8"/>
      <c r="AG404" s="8"/>
      <c r="AH404" s="761"/>
      <c r="AI404" s="761"/>
    </row>
    <row r="405" spans="1:35" ht="15.75">
      <c r="A405" s="692" t="s">
        <v>3244</v>
      </c>
      <c r="B405" s="692" t="s">
        <v>641</v>
      </c>
      <c r="D405" s="692" t="s">
        <v>941</v>
      </c>
      <c r="E405" s="692" t="s">
        <v>3251</v>
      </c>
      <c r="F405" s="692" t="s">
        <v>3252</v>
      </c>
      <c r="G405" s="692" t="s">
        <v>4397</v>
      </c>
      <c r="H405" s="692" t="s">
        <v>3</v>
      </c>
      <c r="I405" s="692" t="s">
        <v>80</v>
      </c>
      <c r="J405" s="692" t="s">
        <v>5</v>
      </c>
      <c r="K405" s="692" t="s">
        <v>3</v>
      </c>
      <c r="L405" s="692" t="str">
        <f t="shared" si="6"/>
        <v>6-03-01</v>
      </c>
      <c r="M405" s="692"/>
      <c r="N405" s="692"/>
      <c r="O405" s="692"/>
      <c r="P405" s="692" t="s">
        <v>5710</v>
      </c>
      <c r="Q405" s="692" t="s">
        <v>4804</v>
      </c>
      <c r="R405" s="692" t="s">
        <v>4679</v>
      </c>
      <c r="S405" s="692">
        <v>27302360</v>
      </c>
      <c r="T405" s="692">
        <v>27302360</v>
      </c>
      <c r="U405" s="692" t="s">
        <v>3671</v>
      </c>
      <c r="V405" s="692" t="s">
        <v>3253</v>
      </c>
      <c r="W405" s="692"/>
      <c r="X405" s="761"/>
      <c r="Z405" s="713"/>
      <c r="AA405" s="10"/>
      <c r="AB405" s="8"/>
      <c r="AC405" s="8"/>
      <c r="AD405" s="8"/>
      <c r="AE405" s="8"/>
      <c r="AF405" s="8"/>
      <c r="AG405" s="8"/>
      <c r="AH405" s="761"/>
      <c r="AI405" s="761"/>
    </row>
    <row r="406" spans="1:35" ht="15.75">
      <c r="A406" s="692" t="s">
        <v>3239</v>
      </c>
      <c r="B406" s="692" t="s">
        <v>93</v>
      </c>
      <c r="D406" s="692" t="s">
        <v>645</v>
      </c>
      <c r="E406" s="692" t="s">
        <v>3254</v>
      </c>
      <c r="F406" s="692" t="s">
        <v>4094</v>
      </c>
      <c r="G406" s="692" t="s">
        <v>172</v>
      </c>
      <c r="H406" s="692" t="s">
        <v>7</v>
      </c>
      <c r="I406" s="692" t="s">
        <v>41</v>
      </c>
      <c r="J406" s="692" t="s">
        <v>9</v>
      </c>
      <c r="K406" s="692" t="s">
        <v>8</v>
      </c>
      <c r="L406" s="692" t="str">
        <f t="shared" si="6"/>
        <v>1-07-06</v>
      </c>
      <c r="M406" s="692"/>
      <c r="N406" s="692"/>
      <c r="O406" s="692"/>
      <c r="P406" s="692" t="s">
        <v>344</v>
      </c>
      <c r="Q406" s="692" t="s">
        <v>4804</v>
      </c>
      <c r="R406" s="692" t="s">
        <v>4482</v>
      </c>
      <c r="S406" s="692">
        <v>24165706</v>
      </c>
      <c r="T406" s="692">
        <v>24165706</v>
      </c>
      <c r="U406" s="692" t="s">
        <v>5646</v>
      </c>
      <c r="V406" s="692" t="s">
        <v>4483</v>
      </c>
      <c r="W406" s="692"/>
      <c r="X406" s="761"/>
      <c r="Z406" s="713"/>
      <c r="AA406" s="10"/>
      <c r="AB406" s="8"/>
      <c r="AC406" s="8"/>
      <c r="AD406" s="8"/>
      <c r="AE406" s="8"/>
      <c r="AF406" s="8"/>
      <c r="AG406" s="8"/>
      <c r="AH406" s="761"/>
      <c r="AI406" s="761"/>
    </row>
    <row r="407" spans="1:35" ht="15.75">
      <c r="A407" s="692" t="s">
        <v>3247</v>
      </c>
      <c r="B407" s="692" t="s">
        <v>179</v>
      </c>
      <c r="D407" s="692" t="s">
        <v>646</v>
      </c>
      <c r="E407" s="692" t="s">
        <v>3255</v>
      </c>
      <c r="F407" s="692" t="s">
        <v>2194</v>
      </c>
      <c r="G407" s="692" t="s">
        <v>750</v>
      </c>
      <c r="H407" s="692" t="s">
        <v>3</v>
      </c>
      <c r="I407" s="692" t="s">
        <v>68</v>
      </c>
      <c r="J407" s="692" t="s">
        <v>4</v>
      </c>
      <c r="K407" s="692" t="s">
        <v>9</v>
      </c>
      <c r="L407" s="692" t="str">
        <f t="shared" si="6"/>
        <v>7-02-07</v>
      </c>
      <c r="M407" s="692"/>
      <c r="N407" s="692"/>
      <c r="O407" s="692"/>
      <c r="P407" s="692" t="s">
        <v>89</v>
      </c>
      <c r="Q407" s="692" t="s">
        <v>4804</v>
      </c>
      <c r="R407" s="692" t="s">
        <v>3256</v>
      </c>
      <c r="S407" s="692">
        <v>27113482</v>
      </c>
      <c r="T407" s="692"/>
      <c r="U407" s="692" t="s">
        <v>3940</v>
      </c>
      <c r="V407" s="692" t="s">
        <v>5647</v>
      </c>
      <c r="W407" s="692"/>
      <c r="X407" s="761"/>
      <c r="Z407" s="713"/>
      <c r="AA407" s="10"/>
      <c r="AB407" s="8"/>
      <c r="AC407" s="8"/>
      <c r="AD407" s="8"/>
      <c r="AE407" s="8"/>
      <c r="AF407" s="8"/>
      <c r="AG407" s="8"/>
      <c r="AH407" s="761"/>
      <c r="AI407" s="761"/>
    </row>
    <row r="408" spans="1:35" ht="15.75">
      <c r="A408" s="692" t="s">
        <v>3251</v>
      </c>
      <c r="B408" s="692" t="s">
        <v>941</v>
      </c>
      <c r="D408" s="692" t="s">
        <v>649</v>
      </c>
      <c r="E408" s="692" t="s">
        <v>3257</v>
      </c>
      <c r="F408" s="692" t="s">
        <v>3258</v>
      </c>
      <c r="G408" s="692" t="s">
        <v>79</v>
      </c>
      <c r="H408" s="692" t="s">
        <v>16</v>
      </c>
      <c r="I408" s="692" t="s">
        <v>80</v>
      </c>
      <c r="J408" s="692" t="s">
        <v>13</v>
      </c>
      <c r="K408" s="692" t="s">
        <v>6</v>
      </c>
      <c r="L408" s="692" t="str">
        <f t="shared" si="6"/>
        <v>6-10-04</v>
      </c>
      <c r="M408" s="692"/>
      <c r="N408" s="692"/>
      <c r="O408" s="692"/>
      <c r="P408" s="692" t="s">
        <v>837</v>
      </c>
      <c r="Q408" s="692" t="s">
        <v>4804</v>
      </c>
      <c r="R408" s="692" t="s">
        <v>4259</v>
      </c>
      <c r="S408" s="692">
        <v>27801598</v>
      </c>
      <c r="T408" s="692">
        <v>27801598</v>
      </c>
      <c r="U408" s="692" t="s">
        <v>3672</v>
      </c>
      <c r="V408" s="692" t="s">
        <v>3673</v>
      </c>
      <c r="W408" s="692"/>
      <c r="X408" s="761" t="s">
        <v>819</v>
      </c>
      <c r="Z408" s="713"/>
      <c r="AA408" s="10"/>
      <c r="AB408" s="8"/>
      <c r="AC408" s="8"/>
      <c r="AD408" s="8"/>
      <c r="AE408" s="8"/>
      <c r="AF408" s="8"/>
      <c r="AG408" s="8"/>
      <c r="AH408" s="761"/>
      <c r="AI408" s="761"/>
    </row>
    <row r="409" spans="1:35" ht="15.75">
      <c r="A409" s="692" t="s">
        <v>3053</v>
      </c>
      <c r="B409" s="692" t="s">
        <v>514</v>
      </c>
      <c r="D409" s="692" t="s">
        <v>1150</v>
      </c>
      <c r="E409" s="692" t="s">
        <v>3259</v>
      </c>
      <c r="F409" s="692" t="s">
        <v>5723</v>
      </c>
      <c r="G409" s="692" t="s">
        <v>79</v>
      </c>
      <c r="H409" s="692" t="s">
        <v>18</v>
      </c>
      <c r="I409" s="692" t="s">
        <v>80</v>
      </c>
      <c r="J409" s="692" t="s">
        <v>11</v>
      </c>
      <c r="K409" s="692" t="s">
        <v>6</v>
      </c>
      <c r="L409" s="692" t="str">
        <f t="shared" si="6"/>
        <v>6-08-04</v>
      </c>
      <c r="M409" s="692"/>
      <c r="N409" s="692"/>
      <c r="O409" s="692"/>
      <c r="P409" s="692" t="s">
        <v>865</v>
      </c>
      <c r="Q409" s="692" t="s">
        <v>4804</v>
      </c>
      <c r="R409" s="692" t="s">
        <v>4680</v>
      </c>
      <c r="S409" s="692">
        <v>22005308</v>
      </c>
      <c r="T409" s="692">
        <v>87950633</v>
      </c>
      <c r="U409" s="692" t="s">
        <v>4681</v>
      </c>
      <c r="V409" s="692" t="s">
        <v>4260</v>
      </c>
      <c r="W409" s="692"/>
      <c r="X409" s="761"/>
      <c r="Z409" s="713"/>
      <c r="AA409" s="10"/>
      <c r="AB409" s="8"/>
      <c r="AC409" s="8"/>
      <c r="AD409" s="8"/>
      <c r="AE409" s="8"/>
      <c r="AF409" s="8"/>
      <c r="AG409" s="8"/>
      <c r="AH409" s="761"/>
      <c r="AI409" s="761"/>
    </row>
    <row r="410" spans="1:35" ht="15.75">
      <c r="A410" s="692" t="s">
        <v>3265</v>
      </c>
      <c r="B410" s="692" t="s">
        <v>655</v>
      </c>
      <c r="D410" s="692" t="s">
        <v>650</v>
      </c>
      <c r="E410" s="692" t="s">
        <v>3260</v>
      </c>
      <c r="F410" s="692" t="s">
        <v>5648</v>
      </c>
      <c r="G410" s="692" t="s">
        <v>79</v>
      </c>
      <c r="H410" s="692" t="s">
        <v>11</v>
      </c>
      <c r="I410" s="692" t="s">
        <v>80</v>
      </c>
      <c r="J410" s="692" t="s">
        <v>5</v>
      </c>
      <c r="K410" s="692" t="s">
        <v>9</v>
      </c>
      <c r="L410" s="692" t="str">
        <f t="shared" si="6"/>
        <v>6-03-07</v>
      </c>
      <c r="M410" s="692"/>
      <c r="N410" s="692"/>
      <c r="O410" s="692"/>
      <c r="P410" s="692" t="s">
        <v>741</v>
      </c>
      <c r="Q410" s="692" t="s">
        <v>4804</v>
      </c>
      <c r="R410" s="692" t="s">
        <v>5762</v>
      </c>
      <c r="S410" s="692">
        <v>22001067</v>
      </c>
      <c r="T410" s="692">
        <v>27735242</v>
      </c>
      <c r="U410" s="692" t="s">
        <v>3674</v>
      </c>
      <c r="V410" s="692" t="s">
        <v>4261</v>
      </c>
      <c r="W410" s="692"/>
      <c r="X410" s="761"/>
      <c r="Z410" s="713"/>
      <c r="AA410" s="10"/>
      <c r="AB410" s="8"/>
      <c r="AC410" s="8"/>
      <c r="AD410" s="8"/>
      <c r="AE410" s="8"/>
      <c r="AF410" s="8"/>
      <c r="AG410" s="8"/>
      <c r="AH410" s="761"/>
      <c r="AI410" s="761"/>
    </row>
    <row r="411" spans="1:35" ht="15.75">
      <c r="A411" s="692" t="s">
        <v>3274</v>
      </c>
      <c r="B411" s="692" t="s">
        <v>1144</v>
      </c>
      <c r="D411" s="692" t="s">
        <v>1149</v>
      </c>
      <c r="E411" s="692" t="s">
        <v>3262</v>
      </c>
      <c r="F411" s="692" t="s">
        <v>3263</v>
      </c>
      <c r="G411" s="692" t="s">
        <v>4395</v>
      </c>
      <c r="H411" s="692" t="s">
        <v>5</v>
      </c>
      <c r="I411" s="692" t="s">
        <v>41</v>
      </c>
      <c r="J411" s="692" t="s">
        <v>4</v>
      </c>
      <c r="K411" s="692" t="s">
        <v>5</v>
      </c>
      <c r="L411" s="692" t="str">
        <f t="shared" si="6"/>
        <v>1-02-03</v>
      </c>
      <c r="M411" s="692"/>
      <c r="N411" s="692"/>
      <c r="O411" s="692"/>
      <c r="P411" s="692" t="s">
        <v>3264</v>
      </c>
      <c r="Q411" s="692" t="s">
        <v>4804</v>
      </c>
      <c r="R411" s="692" t="s">
        <v>4262</v>
      </c>
      <c r="S411" s="692">
        <v>22282013</v>
      </c>
      <c r="T411" s="692">
        <v>22897762</v>
      </c>
      <c r="U411" s="692" t="s">
        <v>3941</v>
      </c>
      <c r="V411" s="692" t="s">
        <v>113</v>
      </c>
      <c r="W411" s="692"/>
      <c r="X411" s="761"/>
      <c r="Z411" s="713"/>
      <c r="AA411" s="10"/>
      <c r="AB411" s="8"/>
      <c r="AC411" s="8"/>
      <c r="AD411" s="8"/>
      <c r="AE411" s="8"/>
      <c r="AF411" s="8"/>
      <c r="AG411" s="8"/>
      <c r="AH411" s="761"/>
      <c r="AI411" s="761"/>
    </row>
    <row r="412" spans="1:35" ht="15.75">
      <c r="A412" s="692" t="s">
        <v>3278</v>
      </c>
      <c r="B412" s="692" t="s">
        <v>106</v>
      </c>
      <c r="D412" s="692" t="s">
        <v>655</v>
      </c>
      <c r="E412" s="692" t="s">
        <v>3265</v>
      </c>
      <c r="F412" s="692" t="s">
        <v>3266</v>
      </c>
      <c r="G412" s="692" t="s">
        <v>5730</v>
      </c>
      <c r="H412" s="692" t="s">
        <v>5</v>
      </c>
      <c r="I412" s="692" t="s">
        <v>43</v>
      </c>
      <c r="J412" s="692" t="s">
        <v>18</v>
      </c>
      <c r="K412" s="692" t="s">
        <v>5</v>
      </c>
      <c r="L412" s="692" t="str">
        <f t="shared" si="6"/>
        <v>2-13-03</v>
      </c>
      <c r="M412" s="692"/>
      <c r="N412" s="692"/>
      <c r="O412" s="692"/>
      <c r="P412" s="692" t="s">
        <v>1819</v>
      </c>
      <c r="Q412" s="692" t="s">
        <v>4804</v>
      </c>
      <c r="R412" s="692" t="s">
        <v>5852</v>
      </c>
      <c r="S412" s="692">
        <v>44050940</v>
      </c>
      <c r="T412" s="692"/>
      <c r="U412" s="692" t="s">
        <v>4682</v>
      </c>
      <c r="V412" s="692" t="s">
        <v>5649</v>
      </c>
      <c r="W412" s="692"/>
      <c r="X412" s="761"/>
      <c r="Z412" s="713"/>
      <c r="AA412" s="10"/>
      <c r="AB412" s="8"/>
      <c r="AC412" s="8"/>
      <c r="AD412" s="8"/>
      <c r="AE412" s="8"/>
      <c r="AF412" s="8"/>
      <c r="AG412" s="8"/>
      <c r="AH412" s="761"/>
      <c r="AI412" s="761"/>
    </row>
    <row r="413" spans="1:35" ht="15.75">
      <c r="A413" s="692" t="s">
        <v>3280</v>
      </c>
      <c r="B413" s="692" t="s">
        <v>660</v>
      </c>
      <c r="D413" s="692" t="s">
        <v>647</v>
      </c>
      <c r="E413" s="692" t="s">
        <v>3271</v>
      </c>
      <c r="F413" s="692" t="s">
        <v>3272</v>
      </c>
      <c r="G413" s="692" t="s">
        <v>4398</v>
      </c>
      <c r="H413" s="692" t="s">
        <v>4</v>
      </c>
      <c r="I413" s="692" t="s">
        <v>68</v>
      </c>
      <c r="J413" s="692" t="s">
        <v>6</v>
      </c>
      <c r="K413" s="692" t="s">
        <v>6</v>
      </c>
      <c r="L413" s="692" t="str">
        <f t="shared" si="6"/>
        <v>7-04-04</v>
      </c>
      <c r="M413" s="692"/>
      <c r="N413" s="692"/>
      <c r="O413" s="692"/>
      <c r="P413" s="692" t="s">
        <v>845</v>
      </c>
      <c r="Q413" s="692" t="s">
        <v>4804</v>
      </c>
      <c r="R413" s="692" t="s">
        <v>4132</v>
      </c>
      <c r="S413" s="692">
        <v>87452637</v>
      </c>
      <c r="T413" s="692"/>
      <c r="U413" s="692" t="s">
        <v>3942</v>
      </c>
      <c r="V413" s="692" t="s">
        <v>3273</v>
      </c>
      <c r="W413" s="692"/>
      <c r="X413" s="761"/>
      <c r="Z413" s="713"/>
      <c r="AA413" s="10"/>
      <c r="AB413" s="8"/>
      <c r="AC413" s="8"/>
      <c r="AD413" s="8"/>
      <c r="AE413" s="8"/>
      <c r="AF413" s="8"/>
      <c r="AG413" s="8"/>
      <c r="AH413" s="761"/>
      <c r="AI413" s="761"/>
    </row>
    <row r="414" spans="1:35" ht="15.75">
      <c r="A414" s="692" t="s">
        <v>3282</v>
      </c>
      <c r="B414" s="692" t="s">
        <v>661</v>
      </c>
      <c r="D414" s="692" t="s">
        <v>1144</v>
      </c>
      <c r="E414" s="692" t="s">
        <v>3274</v>
      </c>
      <c r="F414" s="692" t="s">
        <v>3275</v>
      </c>
      <c r="G414" s="692" t="s">
        <v>767</v>
      </c>
      <c r="H414" s="692" t="s">
        <v>6</v>
      </c>
      <c r="I414" s="692" t="s">
        <v>56</v>
      </c>
      <c r="J414" s="692" t="s">
        <v>7</v>
      </c>
      <c r="K414" s="692" t="s">
        <v>6</v>
      </c>
      <c r="L414" s="692" t="str">
        <f t="shared" si="6"/>
        <v>3-05-04</v>
      </c>
      <c r="M414" s="692"/>
      <c r="N414" s="692"/>
      <c r="O414" s="692"/>
      <c r="P414" s="692" t="s">
        <v>3276</v>
      </c>
      <c r="Q414" s="692" t="s">
        <v>4804</v>
      </c>
      <c r="R414" s="692" t="s">
        <v>5537</v>
      </c>
      <c r="S414" s="692">
        <v>22005199</v>
      </c>
      <c r="T414" s="692"/>
      <c r="U414" s="692" t="s">
        <v>3675</v>
      </c>
      <c r="V414" s="692" t="s">
        <v>3277</v>
      </c>
      <c r="W414" s="692"/>
      <c r="X414" s="761"/>
      <c r="Z414" s="713"/>
      <c r="AA414" s="10"/>
      <c r="AB414" s="8"/>
      <c r="AC414" s="8"/>
      <c r="AD414" s="8"/>
      <c r="AE414" s="8"/>
      <c r="AF414" s="8"/>
      <c r="AG414" s="8"/>
      <c r="AH414" s="761"/>
      <c r="AI414" s="761"/>
    </row>
    <row r="415" spans="1:35" ht="15.75">
      <c r="A415" s="692" t="s">
        <v>3284</v>
      </c>
      <c r="B415" s="692" t="s">
        <v>168</v>
      </c>
      <c r="D415" s="692" t="s">
        <v>106</v>
      </c>
      <c r="E415" s="692" t="s">
        <v>3278</v>
      </c>
      <c r="F415" s="692" t="s">
        <v>3511</v>
      </c>
      <c r="G415" s="692" t="s">
        <v>128</v>
      </c>
      <c r="H415" s="692" t="s">
        <v>9</v>
      </c>
      <c r="I415" s="692" t="s">
        <v>56</v>
      </c>
      <c r="J415" s="692" t="s">
        <v>3</v>
      </c>
      <c r="K415" s="692" t="s">
        <v>9</v>
      </c>
      <c r="L415" s="692" t="str">
        <f t="shared" si="6"/>
        <v>3-01-07</v>
      </c>
      <c r="M415" s="692"/>
      <c r="N415" s="692"/>
      <c r="O415" s="692"/>
      <c r="P415" s="692" t="s">
        <v>3279</v>
      </c>
      <c r="Q415" s="692" t="s">
        <v>4804</v>
      </c>
      <c r="R415" s="692" t="s">
        <v>4888</v>
      </c>
      <c r="S415" s="692">
        <v>25482532</v>
      </c>
      <c r="T415" s="692">
        <v>25482532</v>
      </c>
      <c r="U415" s="692" t="s">
        <v>3943</v>
      </c>
      <c r="V415" s="692" t="s">
        <v>5650</v>
      </c>
      <c r="W415" s="692"/>
      <c r="X415" s="761"/>
      <c r="Z415" s="713"/>
      <c r="AA415" s="10"/>
      <c r="AB415" s="8"/>
      <c r="AC415" s="8"/>
      <c r="AD415" s="8"/>
      <c r="AE415" s="8"/>
      <c r="AF415" s="8"/>
      <c r="AG415" s="8"/>
      <c r="AH415" s="761"/>
      <c r="AI415" s="761"/>
    </row>
    <row r="416" spans="1:35" ht="15.75">
      <c r="A416" s="692" t="s">
        <v>3301</v>
      </c>
      <c r="B416" s="692" t="s">
        <v>918</v>
      </c>
      <c r="D416" s="692" t="s">
        <v>660</v>
      </c>
      <c r="E416" s="692" t="s">
        <v>3280</v>
      </c>
      <c r="F416" s="692" t="s">
        <v>3791</v>
      </c>
      <c r="G416" s="692" t="s">
        <v>81</v>
      </c>
      <c r="H416" s="692" t="s">
        <v>8</v>
      </c>
      <c r="I416" s="692" t="s">
        <v>80</v>
      </c>
      <c r="J416" s="692" t="s">
        <v>3</v>
      </c>
      <c r="K416" s="692" t="s">
        <v>9</v>
      </c>
      <c r="L416" s="692" t="str">
        <f t="shared" si="6"/>
        <v>6-01-07</v>
      </c>
      <c r="M416" s="692"/>
      <c r="N416" s="692"/>
      <c r="O416" s="692"/>
      <c r="P416" s="692" t="s">
        <v>824</v>
      </c>
      <c r="Q416" s="692" t="s">
        <v>4804</v>
      </c>
      <c r="R416" s="692" t="s">
        <v>4889</v>
      </c>
      <c r="S416" s="692">
        <v>26471033</v>
      </c>
      <c r="T416" s="692">
        <v>26471033</v>
      </c>
      <c r="U416" s="692" t="s">
        <v>5776</v>
      </c>
      <c r="V416" s="692" t="s">
        <v>3281</v>
      </c>
      <c r="W416" s="692"/>
      <c r="X416" s="761"/>
      <c r="Z416" s="713"/>
      <c r="AA416" s="10"/>
      <c r="AB416" s="8"/>
      <c r="AC416" s="8"/>
      <c r="AD416" s="8"/>
      <c r="AE416" s="8"/>
      <c r="AF416" s="8"/>
      <c r="AG416" s="8"/>
      <c r="AH416" s="761"/>
      <c r="AI416" s="761"/>
    </row>
    <row r="417" spans="1:35" ht="15.75">
      <c r="A417" s="692" t="s">
        <v>3292</v>
      </c>
      <c r="B417" s="692" t="s">
        <v>917</v>
      </c>
      <c r="D417" s="692" t="s">
        <v>661</v>
      </c>
      <c r="E417" s="692" t="s">
        <v>3282</v>
      </c>
      <c r="F417" s="692" t="s">
        <v>4400</v>
      </c>
      <c r="G417" s="692" t="s">
        <v>5730</v>
      </c>
      <c r="H417" s="692" t="s">
        <v>8</v>
      </c>
      <c r="I417" s="692" t="s">
        <v>43</v>
      </c>
      <c r="J417" s="692" t="s">
        <v>107</v>
      </c>
      <c r="K417" s="692" t="s">
        <v>6</v>
      </c>
      <c r="L417" s="692" t="str">
        <f t="shared" si="6"/>
        <v>2-15-04</v>
      </c>
      <c r="M417" s="692"/>
      <c r="N417" s="692"/>
      <c r="O417" s="692"/>
      <c r="P417" s="692" t="s">
        <v>747</v>
      </c>
      <c r="Q417" s="692" t="s">
        <v>4804</v>
      </c>
      <c r="R417" s="692" t="s">
        <v>3283</v>
      </c>
      <c r="S417" s="692">
        <v>24610908</v>
      </c>
      <c r="T417" s="692"/>
      <c r="U417" s="692" t="s">
        <v>5651</v>
      </c>
      <c r="V417" s="692" t="s">
        <v>340</v>
      </c>
      <c r="W417" s="692"/>
      <c r="X417" s="761"/>
      <c r="Z417" s="713"/>
      <c r="AA417" s="10"/>
      <c r="AB417" s="8"/>
      <c r="AC417" s="8"/>
      <c r="AD417" s="8"/>
      <c r="AE417" s="8"/>
      <c r="AF417" s="8"/>
      <c r="AG417" s="8"/>
      <c r="AH417" s="761"/>
      <c r="AI417" s="761"/>
    </row>
    <row r="418" spans="1:35" ht="15.75">
      <c r="A418" s="692" t="s">
        <v>3289</v>
      </c>
      <c r="B418" s="692" t="s">
        <v>662</v>
      </c>
      <c r="D418" s="692" t="s">
        <v>168</v>
      </c>
      <c r="E418" s="692" t="s">
        <v>3284</v>
      </c>
      <c r="F418" s="692" t="s">
        <v>3285</v>
      </c>
      <c r="G418" s="692" t="s">
        <v>798</v>
      </c>
      <c r="H418" s="692" t="s">
        <v>11</v>
      </c>
      <c r="I418" s="692" t="s">
        <v>126</v>
      </c>
      <c r="J418" s="692" t="s">
        <v>12</v>
      </c>
      <c r="K418" s="692" t="s">
        <v>8</v>
      </c>
      <c r="L418" s="692" t="str">
        <f t="shared" si="6"/>
        <v>5-09-06</v>
      </c>
      <c r="M418" s="692"/>
      <c r="N418" s="692"/>
      <c r="O418" s="692"/>
      <c r="P418" s="692" t="s">
        <v>864</v>
      </c>
      <c r="Q418" s="692" t="s">
        <v>4804</v>
      </c>
      <c r="R418" s="692" t="s">
        <v>4684</v>
      </c>
      <c r="S418" s="692">
        <v>26558002</v>
      </c>
      <c r="T418" s="692">
        <v>26558002</v>
      </c>
      <c r="U418" s="692" t="s">
        <v>5652</v>
      </c>
      <c r="V418" s="692" t="s">
        <v>5786</v>
      </c>
      <c r="W418" s="692"/>
      <c r="X418" s="761"/>
      <c r="Z418" s="713"/>
      <c r="AA418" s="10"/>
      <c r="AB418" s="8"/>
      <c r="AC418" s="8"/>
      <c r="AD418" s="8"/>
      <c r="AE418" s="8"/>
      <c r="AF418" s="8"/>
      <c r="AG418" s="8"/>
      <c r="AH418" s="761"/>
      <c r="AI418" s="761"/>
    </row>
    <row r="419" spans="1:35" ht="15.75">
      <c r="A419" s="692" t="s">
        <v>3286</v>
      </c>
      <c r="B419" s="692" t="s">
        <v>1085</v>
      </c>
      <c r="D419" s="692" t="s">
        <v>1085</v>
      </c>
      <c r="E419" s="692" t="s">
        <v>3286</v>
      </c>
      <c r="F419" s="692" t="s">
        <v>3287</v>
      </c>
      <c r="G419" s="692" t="s">
        <v>4398</v>
      </c>
      <c r="H419" s="692" t="s">
        <v>8</v>
      </c>
      <c r="I419" s="692" t="s">
        <v>68</v>
      </c>
      <c r="J419" s="692" t="s">
        <v>7</v>
      </c>
      <c r="K419" s="692" t="s">
        <v>5</v>
      </c>
      <c r="L419" s="692" t="str">
        <f t="shared" si="6"/>
        <v>7-05-03</v>
      </c>
      <c r="M419" s="692"/>
      <c r="N419" s="692"/>
      <c r="O419" s="692"/>
      <c r="P419" s="692" t="s">
        <v>718</v>
      </c>
      <c r="Q419" s="692" t="s">
        <v>4804</v>
      </c>
      <c r="R419" s="692" t="s">
        <v>3944</v>
      </c>
      <c r="S419" s="692">
        <v>83949689</v>
      </c>
      <c r="T419" s="692"/>
      <c r="U419" s="692" t="s">
        <v>4685</v>
      </c>
      <c r="V419" s="692" t="s">
        <v>3288</v>
      </c>
      <c r="W419" s="692"/>
      <c r="X419" s="761"/>
      <c r="Z419" s="713"/>
      <c r="AA419" s="10"/>
      <c r="AB419" s="8"/>
      <c r="AC419" s="8"/>
      <c r="AD419" s="8"/>
      <c r="AE419" s="8"/>
      <c r="AF419" s="8"/>
      <c r="AG419" s="8"/>
      <c r="AH419" s="761"/>
      <c r="AI419" s="761"/>
    </row>
    <row r="420" spans="1:35" ht="15.75">
      <c r="A420" s="692" t="s">
        <v>3296</v>
      </c>
      <c r="B420" s="692" t="s">
        <v>213</v>
      </c>
      <c r="D420" s="692" t="s">
        <v>662</v>
      </c>
      <c r="E420" s="692" t="s">
        <v>3289</v>
      </c>
      <c r="F420" s="692" t="s">
        <v>3290</v>
      </c>
      <c r="G420" s="692" t="s">
        <v>4398</v>
      </c>
      <c r="H420" s="692" t="s">
        <v>8</v>
      </c>
      <c r="I420" s="692" t="s">
        <v>68</v>
      </c>
      <c r="J420" s="692" t="s">
        <v>7</v>
      </c>
      <c r="K420" s="692" t="s">
        <v>3</v>
      </c>
      <c r="L420" s="692" t="str">
        <f t="shared" si="6"/>
        <v>7-05-01</v>
      </c>
      <c r="M420" s="692"/>
      <c r="N420" s="692"/>
      <c r="O420" s="692"/>
      <c r="P420" s="692" t="s">
        <v>866</v>
      </c>
      <c r="Q420" s="692" t="s">
        <v>4804</v>
      </c>
      <c r="R420" s="692" t="s">
        <v>4263</v>
      </c>
      <c r="S420" s="692">
        <v>22005315</v>
      </c>
      <c r="T420" s="692"/>
      <c r="U420" s="692" t="s">
        <v>4264</v>
      </c>
      <c r="V420" s="692" t="s">
        <v>3291</v>
      </c>
      <c r="W420" s="692"/>
      <c r="X420" s="761"/>
      <c r="Z420" s="713"/>
      <c r="AA420" s="10"/>
      <c r="AB420" s="8"/>
      <c r="AC420" s="8"/>
      <c r="AD420" s="8"/>
      <c r="AE420" s="8"/>
      <c r="AF420" s="8"/>
      <c r="AG420" s="8"/>
      <c r="AH420" s="761"/>
      <c r="AI420" s="761"/>
    </row>
    <row r="421" spans="1:35" ht="15.75">
      <c r="A421" s="692" t="s">
        <v>3306</v>
      </c>
      <c r="B421" s="692" t="s">
        <v>1163</v>
      </c>
      <c r="D421" s="692" t="s">
        <v>917</v>
      </c>
      <c r="E421" s="692" t="s">
        <v>3292</v>
      </c>
      <c r="F421" s="692" t="s">
        <v>3293</v>
      </c>
      <c r="G421" s="692" t="s">
        <v>4398</v>
      </c>
      <c r="H421" s="692" t="s">
        <v>5</v>
      </c>
      <c r="I421" s="692" t="s">
        <v>68</v>
      </c>
      <c r="J421" s="692" t="s">
        <v>6</v>
      </c>
      <c r="K421" s="692" t="s">
        <v>6</v>
      </c>
      <c r="L421" s="692" t="str">
        <f t="shared" si="6"/>
        <v>7-04-04</v>
      </c>
      <c r="M421" s="692"/>
      <c r="N421" s="692"/>
      <c r="O421" s="692"/>
      <c r="P421" s="692" t="s">
        <v>849</v>
      </c>
      <c r="Q421" s="692" t="s">
        <v>4804</v>
      </c>
      <c r="R421" s="692" t="s">
        <v>3294</v>
      </c>
      <c r="S421" s="692">
        <v>84904590</v>
      </c>
      <c r="T421" s="692">
        <v>27511175</v>
      </c>
      <c r="U421" s="692" t="s">
        <v>4890</v>
      </c>
      <c r="V421" s="692" t="s">
        <v>3295</v>
      </c>
      <c r="W421" s="692"/>
      <c r="X421" s="761"/>
      <c r="Z421" s="713"/>
      <c r="AA421" s="10"/>
      <c r="AB421" s="8"/>
      <c r="AC421" s="8"/>
      <c r="AD421" s="8"/>
      <c r="AE421" s="8"/>
      <c r="AF421" s="8"/>
      <c r="AG421" s="8"/>
      <c r="AH421" s="761"/>
      <c r="AI421" s="761"/>
    </row>
    <row r="422" spans="1:35" ht="15.75">
      <c r="A422" s="692" t="s">
        <v>3304</v>
      </c>
      <c r="B422" s="692" t="s">
        <v>1166</v>
      </c>
      <c r="D422" s="692" t="s">
        <v>213</v>
      </c>
      <c r="E422" s="692" t="s">
        <v>3296</v>
      </c>
      <c r="F422" s="692" t="s">
        <v>3297</v>
      </c>
      <c r="G422" s="692" t="s">
        <v>117</v>
      </c>
      <c r="H422" s="692" t="s">
        <v>8</v>
      </c>
      <c r="I422" s="692" t="s">
        <v>43</v>
      </c>
      <c r="J422" s="692" t="s">
        <v>13</v>
      </c>
      <c r="K422" s="692" t="s">
        <v>9</v>
      </c>
      <c r="L422" s="692" t="str">
        <f t="shared" si="6"/>
        <v>2-10-07</v>
      </c>
      <c r="M422" s="692"/>
      <c r="N422" s="692"/>
      <c r="O422" s="692"/>
      <c r="P422" s="692" t="s">
        <v>727</v>
      </c>
      <c r="Q422" s="692" t="s">
        <v>4804</v>
      </c>
      <c r="R422" s="692" t="s">
        <v>5653</v>
      </c>
      <c r="S422" s="692">
        <v>24692660</v>
      </c>
      <c r="T422" s="692">
        <v>24692660</v>
      </c>
      <c r="U422" s="692" t="s">
        <v>3676</v>
      </c>
      <c r="V422" s="692" t="s">
        <v>203</v>
      </c>
      <c r="W422" s="692"/>
      <c r="X422" s="761"/>
      <c r="Z422" s="713"/>
      <c r="AA422" s="10"/>
      <c r="AB422" s="8"/>
      <c r="AC422" s="8"/>
      <c r="AD422" s="8"/>
      <c r="AE422" s="8"/>
      <c r="AF422" s="8"/>
      <c r="AG422" s="8"/>
      <c r="AH422" s="761"/>
      <c r="AI422" s="761"/>
    </row>
    <row r="423" spans="1:35" ht="15.75">
      <c r="A423" s="692" t="s">
        <v>3298</v>
      </c>
      <c r="B423" s="692" t="s">
        <v>1087</v>
      </c>
      <c r="D423" s="692" t="s">
        <v>1087</v>
      </c>
      <c r="E423" s="692" t="s">
        <v>3298</v>
      </c>
      <c r="F423" s="692" t="s">
        <v>3299</v>
      </c>
      <c r="G423" s="692" t="s">
        <v>450</v>
      </c>
      <c r="H423" s="692" t="s">
        <v>8</v>
      </c>
      <c r="I423" s="692" t="s">
        <v>80</v>
      </c>
      <c r="J423" s="692" t="s">
        <v>8</v>
      </c>
      <c r="K423" s="692" t="s">
        <v>3</v>
      </c>
      <c r="L423" s="692" t="str">
        <f t="shared" si="6"/>
        <v>6-06-01</v>
      </c>
      <c r="M423" s="692"/>
      <c r="N423" s="692"/>
      <c r="O423" s="692"/>
      <c r="P423" s="692" t="s">
        <v>1200</v>
      </c>
      <c r="Q423" s="692" t="s">
        <v>4804</v>
      </c>
      <c r="R423" s="692" t="s">
        <v>5787</v>
      </c>
      <c r="S423" s="692">
        <v>27773384</v>
      </c>
      <c r="T423" s="692"/>
      <c r="U423" s="692" t="s">
        <v>4484</v>
      </c>
      <c r="V423" s="692" t="s">
        <v>3300</v>
      </c>
      <c r="W423" s="692"/>
      <c r="X423" s="761"/>
      <c r="Z423" s="713"/>
      <c r="AA423" s="10"/>
      <c r="AB423" s="8"/>
      <c r="AC423" s="8"/>
      <c r="AD423" s="8"/>
      <c r="AE423" s="8"/>
      <c r="AF423" s="8"/>
      <c r="AG423" s="8"/>
      <c r="AH423" s="761" t="s">
        <v>4493</v>
      </c>
      <c r="AI423" s="761"/>
    </row>
    <row r="424" spans="1:35" ht="15.75">
      <c r="A424" s="692" t="s">
        <v>3323</v>
      </c>
      <c r="B424" s="692" t="s">
        <v>922</v>
      </c>
      <c r="D424" s="692" t="s">
        <v>918</v>
      </c>
      <c r="E424" s="692" t="s">
        <v>3301</v>
      </c>
      <c r="F424" s="692" t="s">
        <v>3302</v>
      </c>
      <c r="G424" s="692" t="s">
        <v>298</v>
      </c>
      <c r="H424" s="692" t="s">
        <v>6</v>
      </c>
      <c r="I424" s="692" t="s">
        <v>126</v>
      </c>
      <c r="J424" s="692" t="s">
        <v>3</v>
      </c>
      <c r="K424" s="692" t="s">
        <v>3</v>
      </c>
      <c r="L424" s="692" t="str">
        <f t="shared" si="6"/>
        <v>5-01-01</v>
      </c>
      <c r="M424" s="692"/>
      <c r="N424" s="692"/>
      <c r="O424" s="692"/>
      <c r="P424" s="692" t="s">
        <v>722</v>
      </c>
      <c r="Q424" s="692" t="s">
        <v>4804</v>
      </c>
      <c r="R424" s="692" t="s">
        <v>5865</v>
      </c>
      <c r="S424" s="692">
        <v>26918214</v>
      </c>
      <c r="T424" s="692">
        <v>26918214</v>
      </c>
      <c r="U424" s="692" t="s">
        <v>3303</v>
      </c>
      <c r="V424" s="692" t="s">
        <v>5654</v>
      </c>
      <c r="W424" s="692"/>
      <c r="X424" s="761"/>
      <c r="Z424" s="713"/>
      <c r="AA424" s="10"/>
      <c r="AB424" s="8"/>
      <c r="AC424" s="8"/>
      <c r="AD424" s="8"/>
      <c r="AE424" s="8"/>
      <c r="AF424" s="8"/>
      <c r="AG424" s="8"/>
      <c r="AH424" s="761"/>
      <c r="AI424" s="761"/>
    </row>
    <row r="425" spans="1:35" ht="15.75">
      <c r="A425" s="692" t="s">
        <v>3793</v>
      </c>
      <c r="B425" s="692" t="s">
        <v>3792</v>
      </c>
      <c r="D425" s="692" t="s">
        <v>1166</v>
      </c>
      <c r="E425" s="692" t="s">
        <v>3304</v>
      </c>
      <c r="F425" s="692" t="s">
        <v>3305</v>
      </c>
      <c r="G425" s="692" t="s">
        <v>4396</v>
      </c>
      <c r="H425" s="692" t="s">
        <v>4</v>
      </c>
      <c r="I425" s="692" t="s">
        <v>41</v>
      </c>
      <c r="J425" s="692" t="s">
        <v>11</v>
      </c>
      <c r="K425" s="692" t="s">
        <v>6</v>
      </c>
      <c r="L425" s="692" t="str">
        <f t="shared" si="6"/>
        <v>1-08-04</v>
      </c>
      <c r="M425" s="692"/>
      <c r="N425" s="692"/>
      <c r="O425" s="692"/>
      <c r="P425" s="692" t="s">
        <v>175</v>
      </c>
      <c r="Q425" s="692" t="s">
        <v>4804</v>
      </c>
      <c r="R425" s="692" t="s">
        <v>4485</v>
      </c>
      <c r="S425" s="692">
        <v>22455581</v>
      </c>
      <c r="T425" s="692">
        <v>40306210</v>
      </c>
      <c r="U425" s="692" t="s">
        <v>3945</v>
      </c>
      <c r="V425" s="692" t="s">
        <v>3199</v>
      </c>
      <c r="W425" s="692"/>
      <c r="X425" s="761"/>
      <c r="Z425" s="713"/>
      <c r="AA425" s="10"/>
      <c r="AB425" s="8"/>
      <c r="AC425" s="8"/>
      <c r="AD425" s="8"/>
      <c r="AE425" s="8"/>
      <c r="AF425" s="8"/>
      <c r="AG425" s="8"/>
      <c r="AH425" s="761"/>
      <c r="AI425" s="761"/>
    </row>
    <row r="426" spans="1:35" ht="15.75">
      <c r="A426" s="692" t="s">
        <v>3325</v>
      </c>
      <c r="B426" s="692" t="s">
        <v>667</v>
      </c>
      <c r="D426" s="692" t="s">
        <v>1163</v>
      </c>
      <c r="E426" s="692" t="s">
        <v>3306</v>
      </c>
      <c r="F426" s="692" t="s">
        <v>3307</v>
      </c>
      <c r="G426" s="692" t="s">
        <v>117</v>
      </c>
      <c r="H426" s="692" t="s">
        <v>9</v>
      </c>
      <c r="I426" s="692" t="s">
        <v>43</v>
      </c>
      <c r="J426" s="692" t="s">
        <v>13</v>
      </c>
      <c r="K426" s="692" t="s">
        <v>16</v>
      </c>
      <c r="L426" s="692" t="str">
        <f t="shared" si="6"/>
        <v>2-10-11</v>
      </c>
      <c r="M426" s="692"/>
      <c r="N426" s="692"/>
      <c r="O426" s="692"/>
      <c r="P426" s="692" t="s">
        <v>3308</v>
      </c>
      <c r="Q426" s="692" t="s">
        <v>4804</v>
      </c>
      <c r="R426" s="692" t="s">
        <v>2880</v>
      </c>
      <c r="S426" s="692">
        <v>73007613</v>
      </c>
      <c r="T426" s="692"/>
      <c r="U426" s="692" t="s">
        <v>3946</v>
      </c>
      <c r="V426" s="692" t="s">
        <v>3309</v>
      </c>
      <c r="W426" s="692"/>
      <c r="X426" s="761"/>
      <c r="Z426" s="713"/>
      <c r="AA426" s="10"/>
      <c r="AB426" s="8"/>
      <c r="AC426" s="8"/>
      <c r="AD426" s="8"/>
      <c r="AE426" s="8"/>
      <c r="AF426" s="8"/>
      <c r="AG426" s="8"/>
      <c r="AH426" s="761"/>
      <c r="AI426" s="761"/>
    </row>
    <row r="427" spans="1:35" ht="15.75">
      <c r="A427" s="692" t="s">
        <v>3310</v>
      </c>
      <c r="B427" s="692" t="s">
        <v>919</v>
      </c>
      <c r="D427" s="692" t="s">
        <v>919</v>
      </c>
      <c r="E427" s="692" t="s">
        <v>3310</v>
      </c>
      <c r="F427" s="692" t="s">
        <v>2877</v>
      </c>
      <c r="G427" s="692" t="s">
        <v>798</v>
      </c>
      <c r="H427" s="692" t="s">
        <v>11</v>
      </c>
      <c r="I427" s="692" t="s">
        <v>126</v>
      </c>
      <c r="J427" s="692" t="s">
        <v>12</v>
      </c>
      <c r="K427" s="692" t="s">
        <v>7</v>
      </c>
      <c r="L427" s="692" t="str">
        <f t="shared" si="6"/>
        <v>5-09-05</v>
      </c>
      <c r="M427" s="692"/>
      <c r="N427" s="692"/>
      <c r="O427" s="692"/>
      <c r="P427" s="692" t="s">
        <v>60</v>
      </c>
      <c r="Q427" s="692" t="s">
        <v>4804</v>
      </c>
      <c r="R427" s="692" t="s">
        <v>4891</v>
      </c>
      <c r="S427" s="692">
        <v>88974534</v>
      </c>
      <c r="T427" s="692">
        <v>22007623</v>
      </c>
      <c r="U427" s="692" t="s">
        <v>4265</v>
      </c>
      <c r="V427" s="692" t="s">
        <v>5655</v>
      </c>
      <c r="W427" s="692"/>
      <c r="X427" s="761"/>
      <c r="Z427" s="713"/>
      <c r="AA427" s="10"/>
      <c r="AB427" s="8"/>
      <c r="AC427" s="8"/>
      <c r="AD427" s="8"/>
      <c r="AE427" s="8"/>
      <c r="AF427" s="8"/>
      <c r="AG427" s="8"/>
      <c r="AH427" s="761"/>
      <c r="AI427" s="761"/>
    </row>
    <row r="428" spans="1:35" ht="15.75">
      <c r="A428" s="692" t="s">
        <v>3331</v>
      </c>
      <c r="B428" s="692" t="s">
        <v>923</v>
      </c>
      <c r="D428" s="692" t="s">
        <v>1091</v>
      </c>
      <c r="E428" s="692" t="s">
        <v>3320</v>
      </c>
      <c r="F428" s="692" t="s">
        <v>2085</v>
      </c>
      <c r="G428" s="692" t="s">
        <v>750</v>
      </c>
      <c r="H428" s="692" t="s">
        <v>7</v>
      </c>
      <c r="I428" s="692" t="s">
        <v>68</v>
      </c>
      <c r="J428" s="692" t="s">
        <v>4</v>
      </c>
      <c r="K428" s="692" t="s">
        <v>6</v>
      </c>
      <c r="L428" s="692" t="str">
        <f t="shared" si="6"/>
        <v>7-02-04</v>
      </c>
      <c r="M428" s="692"/>
      <c r="N428" s="692"/>
      <c r="O428" s="692"/>
      <c r="P428" s="692" t="s">
        <v>132</v>
      </c>
      <c r="Q428" s="692" t="s">
        <v>4804</v>
      </c>
      <c r="R428" s="692" t="s">
        <v>3321</v>
      </c>
      <c r="S428" s="692">
        <v>27632610</v>
      </c>
      <c r="T428" s="692"/>
      <c r="U428" s="692" t="s">
        <v>3677</v>
      </c>
      <c r="V428" s="692" t="s">
        <v>3322</v>
      </c>
      <c r="W428" s="692"/>
      <c r="X428" s="761"/>
      <c r="Z428" s="713"/>
      <c r="AA428" s="10"/>
      <c r="AB428" s="8"/>
      <c r="AC428" s="8"/>
      <c r="AD428" s="8"/>
      <c r="AE428" s="8"/>
      <c r="AF428" s="8"/>
      <c r="AG428" s="8"/>
      <c r="AH428" s="761"/>
      <c r="AI428" s="761"/>
    </row>
    <row r="429" spans="1:35" ht="15.75">
      <c r="A429" s="692" t="s">
        <v>3328</v>
      </c>
      <c r="B429" s="692" t="s">
        <v>668</v>
      </c>
      <c r="D429" s="692" t="s">
        <v>922</v>
      </c>
      <c r="E429" s="692" t="s">
        <v>3323</v>
      </c>
      <c r="F429" s="692" t="s">
        <v>3512</v>
      </c>
      <c r="G429" s="692" t="s">
        <v>5729</v>
      </c>
      <c r="H429" s="692" t="s">
        <v>9</v>
      </c>
      <c r="I429" s="692" t="s">
        <v>68</v>
      </c>
      <c r="J429" s="692" t="s">
        <v>3</v>
      </c>
      <c r="K429" s="692" t="s">
        <v>5</v>
      </c>
      <c r="L429" s="692" t="str">
        <f t="shared" si="6"/>
        <v>7-01-03</v>
      </c>
      <c r="M429" s="692"/>
      <c r="N429" s="692"/>
      <c r="O429" s="692"/>
      <c r="P429" s="692" t="s">
        <v>69</v>
      </c>
      <c r="Q429" s="692" t="s">
        <v>4804</v>
      </c>
      <c r="R429" s="692" t="s">
        <v>5851</v>
      </c>
      <c r="S429" s="692">
        <v>84789004</v>
      </c>
      <c r="T429" s="692"/>
      <c r="U429" s="692" t="s">
        <v>4486</v>
      </c>
      <c r="V429" s="692" t="s">
        <v>3324</v>
      </c>
      <c r="W429" s="692"/>
      <c r="X429" s="761"/>
      <c r="Z429" s="713"/>
      <c r="AA429" s="10"/>
      <c r="AB429" s="8"/>
      <c r="AC429" s="8"/>
      <c r="AD429" s="8"/>
      <c r="AE429" s="8"/>
      <c r="AF429" s="8"/>
      <c r="AG429" s="8"/>
      <c r="AH429" s="761"/>
      <c r="AI429" s="761"/>
    </row>
    <row r="430" spans="1:35" ht="15.75">
      <c r="A430" s="692" t="s">
        <v>3320</v>
      </c>
      <c r="B430" s="692" t="s">
        <v>1091</v>
      </c>
      <c r="D430" s="692" t="s">
        <v>667</v>
      </c>
      <c r="E430" s="692" t="s">
        <v>3325</v>
      </c>
      <c r="F430" s="692" t="s">
        <v>3326</v>
      </c>
      <c r="G430" s="692" t="s">
        <v>128</v>
      </c>
      <c r="H430" s="692" t="s">
        <v>6</v>
      </c>
      <c r="I430" s="692" t="s">
        <v>56</v>
      </c>
      <c r="J430" s="692" t="s">
        <v>3</v>
      </c>
      <c r="K430" s="692" t="s">
        <v>11</v>
      </c>
      <c r="L430" s="692" t="str">
        <f t="shared" si="6"/>
        <v>3-01-08</v>
      </c>
      <c r="M430" s="692"/>
      <c r="N430" s="692"/>
      <c r="O430" s="692"/>
      <c r="P430" s="692" t="s">
        <v>762</v>
      </c>
      <c r="Q430" s="692" t="s">
        <v>4804</v>
      </c>
      <c r="R430" s="692" t="s">
        <v>3327</v>
      </c>
      <c r="S430" s="692">
        <v>25302424</v>
      </c>
      <c r="T430" s="692">
        <v>25302424</v>
      </c>
      <c r="U430" s="692" t="s">
        <v>3678</v>
      </c>
      <c r="V430" s="692" t="s">
        <v>3679</v>
      </c>
      <c r="W430" s="692"/>
      <c r="X430" s="761"/>
      <c r="Z430" s="713"/>
      <c r="AA430" s="10"/>
      <c r="AB430" s="8"/>
      <c r="AC430" s="8"/>
      <c r="AD430" s="8"/>
      <c r="AE430" s="8"/>
      <c r="AF430" s="8"/>
      <c r="AG430" s="8"/>
      <c r="AH430" s="761"/>
      <c r="AI430" s="761"/>
    </row>
    <row r="431" spans="1:35" ht="15.75">
      <c r="A431" s="692" t="s">
        <v>3338</v>
      </c>
      <c r="B431" s="692" t="s">
        <v>1092</v>
      </c>
      <c r="D431" s="692" t="s">
        <v>668</v>
      </c>
      <c r="E431" s="692" t="s">
        <v>3328</v>
      </c>
      <c r="F431" s="692" t="s">
        <v>3329</v>
      </c>
      <c r="G431" s="692" t="s">
        <v>128</v>
      </c>
      <c r="H431" s="692" t="s">
        <v>5</v>
      </c>
      <c r="I431" s="692" t="s">
        <v>56</v>
      </c>
      <c r="J431" s="692" t="s">
        <v>11</v>
      </c>
      <c r="K431" s="692" t="s">
        <v>5</v>
      </c>
      <c r="L431" s="692" t="str">
        <f t="shared" si="6"/>
        <v>3-08-03</v>
      </c>
      <c r="M431" s="692"/>
      <c r="N431" s="692"/>
      <c r="O431" s="692"/>
      <c r="P431" s="692" t="s">
        <v>759</v>
      </c>
      <c r="Q431" s="692" t="s">
        <v>4804</v>
      </c>
      <c r="R431" s="692" t="s">
        <v>3330</v>
      </c>
      <c r="S431" s="692">
        <v>25720868</v>
      </c>
      <c r="T431" s="692">
        <v>83495147</v>
      </c>
      <c r="U431" s="692" t="s">
        <v>4266</v>
      </c>
      <c r="V431" s="692" t="s">
        <v>3680</v>
      </c>
      <c r="W431" s="692"/>
      <c r="X431" s="761"/>
      <c r="Z431" s="713"/>
      <c r="AA431" s="10"/>
      <c r="AB431" s="8"/>
      <c r="AC431" s="8"/>
      <c r="AD431" s="8"/>
      <c r="AE431" s="8"/>
      <c r="AF431" s="8"/>
      <c r="AG431" s="8"/>
      <c r="AH431" s="761"/>
      <c r="AI431" s="761"/>
    </row>
    <row r="432" spans="1:35" ht="15.75">
      <c r="A432" s="692" t="s">
        <v>3342</v>
      </c>
      <c r="B432" s="692" t="s">
        <v>924</v>
      </c>
      <c r="D432" s="692" t="s">
        <v>923</v>
      </c>
      <c r="E432" s="692" t="s">
        <v>3331</v>
      </c>
      <c r="F432" s="692" t="s">
        <v>3332</v>
      </c>
      <c r="G432" s="692" t="s">
        <v>109</v>
      </c>
      <c r="H432" s="692" t="s">
        <v>7</v>
      </c>
      <c r="I432" s="692" t="s">
        <v>110</v>
      </c>
      <c r="J432" s="692" t="s">
        <v>13</v>
      </c>
      <c r="K432" s="692" t="s">
        <v>3</v>
      </c>
      <c r="L432" s="692" t="str">
        <f t="shared" si="6"/>
        <v>4-10-01</v>
      </c>
      <c r="M432" s="692"/>
      <c r="N432" s="692"/>
      <c r="O432" s="692"/>
      <c r="P432" s="692" t="s">
        <v>3333</v>
      </c>
      <c r="Q432" s="692" t="s">
        <v>4804</v>
      </c>
      <c r="R432" s="692" t="s">
        <v>3566</v>
      </c>
      <c r="S432" s="692">
        <v>72968913</v>
      </c>
      <c r="T432" s="692"/>
      <c r="U432" s="692" t="s">
        <v>4686</v>
      </c>
      <c r="V432" s="692" t="s">
        <v>3334</v>
      </c>
      <c r="W432" s="692"/>
      <c r="X432" s="761"/>
      <c r="Z432" s="713"/>
      <c r="AA432" s="10"/>
      <c r="AB432" s="8"/>
      <c r="AC432" s="8"/>
      <c r="AD432" s="8"/>
      <c r="AE432" s="8"/>
      <c r="AF432" s="8"/>
      <c r="AG432" s="8"/>
      <c r="AH432" s="761"/>
      <c r="AI432" s="761"/>
    </row>
    <row r="433" spans="1:35" ht="15.75">
      <c r="A433" s="692" t="s">
        <v>3344</v>
      </c>
      <c r="B433" s="692" t="s">
        <v>322</v>
      </c>
      <c r="D433" s="692" t="s">
        <v>669</v>
      </c>
      <c r="E433" s="692" t="s">
        <v>3335</v>
      </c>
      <c r="F433" s="692" t="s">
        <v>3336</v>
      </c>
      <c r="G433" s="692" t="s">
        <v>4397</v>
      </c>
      <c r="H433" s="692" t="s">
        <v>17</v>
      </c>
      <c r="I433" s="692" t="s">
        <v>80</v>
      </c>
      <c r="J433" s="692" t="s">
        <v>5</v>
      </c>
      <c r="K433" s="692" t="s">
        <v>3</v>
      </c>
      <c r="L433" s="692" t="str">
        <f t="shared" si="6"/>
        <v>6-03-01</v>
      </c>
      <c r="M433" s="692"/>
      <c r="N433" s="692"/>
      <c r="O433" s="692"/>
      <c r="P433" s="692" t="s">
        <v>544</v>
      </c>
      <c r="Q433" s="692" t="s">
        <v>4804</v>
      </c>
      <c r="R433" s="692" t="s">
        <v>3337</v>
      </c>
      <c r="S433" s="692">
        <v>88675925</v>
      </c>
      <c r="T433" s="692"/>
      <c r="U433" s="692" t="s">
        <v>3947</v>
      </c>
      <c r="V433" s="692" t="s">
        <v>5758</v>
      </c>
      <c r="W433" s="692"/>
      <c r="X433" s="761"/>
      <c r="Z433" s="713"/>
      <c r="AA433" s="10"/>
      <c r="AB433" s="8"/>
      <c r="AC433" s="8"/>
      <c r="AD433" s="8"/>
      <c r="AE433" s="8"/>
      <c r="AF433" s="8"/>
      <c r="AG433" s="8"/>
      <c r="AH433" s="761"/>
      <c r="AI433" s="761"/>
    </row>
    <row r="434" spans="1:35" ht="15.75">
      <c r="A434" s="692" t="s">
        <v>3335</v>
      </c>
      <c r="B434" s="692" t="s">
        <v>669</v>
      </c>
      <c r="D434" s="692" t="s">
        <v>1092</v>
      </c>
      <c r="E434" s="692" t="s">
        <v>3338</v>
      </c>
      <c r="F434" s="692" t="s">
        <v>3339</v>
      </c>
      <c r="G434" s="692" t="s">
        <v>767</v>
      </c>
      <c r="H434" s="692" t="s">
        <v>9</v>
      </c>
      <c r="I434" s="692" t="s">
        <v>68</v>
      </c>
      <c r="J434" s="692" t="s">
        <v>3</v>
      </c>
      <c r="K434" s="692" t="s">
        <v>4</v>
      </c>
      <c r="L434" s="692" t="str">
        <f t="shared" si="6"/>
        <v>7-01-02</v>
      </c>
      <c r="M434" s="692"/>
      <c r="N434" s="692"/>
      <c r="O434" s="692"/>
      <c r="P434" s="692" t="s">
        <v>3340</v>
      </c>
      <c r="Q434" s="692" t="s">
        <v>4804</v>
      </c>
      <c r="R434" s="692" t="s">
        <v>4892</v>
      </c>
      <c r="S434" s="692">
        <v>25140043</v>
      </c>
      <c r="T434" s="692"/>
      <c r="U434" s="692" t="s">
        <v>3948</v>
      </c>
      <c r="V434" s="692" t="s">
        <v>3341</v>
      </c>
      <c r="W434" s="692"/>
      <c r="X434" s="761"/>
      <c r="Z434" s="713"/>
      <c r="AA434" s="10"/>
      <c r="AB434" s="8"/>
      <c r="AC434" s="8"/>
      <c r="AD434" s="8"/>
      <c r="AE434" s="8"/>
      <c r="AF434" s="8"/>
      <c r="AG434" s="8"/>
      <c r="AH434" s="761"/>
      <c r="AI434" s="761"/>
    </row>
    <row r="435" spans="1:35" ht="15.75">
      <c r="A435" s="692" t="s">
        <v>3355</v>
      </c>
      <c r="B435" s="692" t="s">
        <v>676</v>
      </c>
      <c r="D435" s="692" t="s">
        <v>924</v>
      </c>
      <c r="E435" s="692" t="s">
        <v>3342</v>
      </c>
      <c r="F435" s="692" t="s">
        <v>3343</v>
      </c>
      <c r="G435" s="692" t="s">
        <v>767</v>
      </c>
      <c r="H435" s="692" t="s">
        <v>12</v>
      </c>
      <c r="I435" s="692" t="s">
        <v>56</v>
      </c>
      <c r="J435" s="692" t="s">
        <v>7</v>
      </c>
      <c r="K435" s="692" t="s">
        <v>17</v>
      </c>
      <c r="L435" s="692" t="str">
        <f t="shared" si="6"/>
        <v>3-05-12</v>
      </c>
      <c r="M435" s="692"/>
      <c r="N435" s="692"/>
      <c r="O435" s="692"/>
      <c r="P435" s="692" t="s">
        <v>1189</v>
      </c>
      <c r="Q435" s="692" t="s">
        <v>4804</v>
      </c>
      <c r="R435" s="692" t="s">
        <v>5774</v>
      </c>
      <c r="S435" s="692">
        <v>25140438</v>
      </c>
      <c r="T435" s="692">
        <v>87765958</v>
      </c>
      <c r="U435" s="692" t="s">
        <v>3681</v>
      </c>
      <c r="V435" s="692" t="s">
        <v>3682</v>
      </c>
      <c r="W435" s="692"/>
      <c r="X435" s="761"/>
      <c r="Z435" s="713"/>
      <c r="AA435" s="10"/>
      <c r="AB435" s="8"/>
      <c r="AC435" s="8"/>
      <c r="AD435" s="8"/>
      <c r="AE435" s="8"/>
      <c r="AF435" s="8"/>
      <c r="AG435" s="8"/>
      <c r="AH435" s="761"/>
      <c r="AI435" s="761"/>
    </row>
    <row r="436" spans="1:35" ht="15.75">
      <c r="A436" s="692" t="s">
        <v>3352</v>
      </c>
      <c r="B436" s="692" t="s">
        <v>1081</v>
      </c>
      <c r="D436" s="692" t="s">
        <v>322</v>
      </c>
      <c r="E436" s="692" t="s">
        <v>3344</v>
      </c>
      <c r="F436" s="692" t="s">
        <v>5656</v>
      </c>
      <c r="G436" s="692" t="s">
        <v>4398</v>
      </c>
      <c r="H436" s="692" t="s">
        <v>3</v>
      </c>
      <c r="I436" s="692" t="s">
        <v>68</v>
      </c>
      <c r="J436" s="692" t="s">
        <v>6</v>
      </c>
      <c r="K436" s="692" t="s">
        <v>3</v>
      </c>
      <c r="L436" s="692" t="str">
        <f t="shared" si="6"/>
        <v>7-04-01</v>
      </c>
      <c r="M436" s="692"/>
      <c r="N436" s="692"/>
      <c r="O436" s="692"/>
      <c r="P436" s="692" t="s">
        <v>847</v>
      </c>
      <c r="Q436" s="692" t="s">
        <v>4804</v>
      </c>
      <c r="R436" s="692" t="s">
        <v>5657</v>
      </c>
      <c r="S436" s="692">
        <v>27102843</v>
      </c>
      <c r="T436" s="692">
        <v>27102843</v>
      </c>
      <c r="U436" s="692" t="s">
        <v>4267</v>
      </c>
      <c r="V436" s="692" t="s">
        <v>3345</v>
      </c>
      <c r="W436" s="692"/>
      <c r="X436" s="761"/>
      <c r="Z436" s="713"/>
      <c r="AA436" s="10"/>
      <c r="AB436" s="8"/>
      <c r="AC436" s="8"/>
      <c r="AD436" s="8"/>
      <c r="AE436" s="8"/>
      <c r="AF436" s="8"/>
      <c r="AG436" s="8"/>
      <c r="AH436" s="761"/>
      <c r="AI436" s="761"/>
    </row>
    <row r="437" spans="1:35" ht="15.75">
      <c r="A437" s="692" t="s">
        <v>3357</v>
      </c>
      <c r="B437" s="692" t="s">
        <v>1082</v>
      </c>
      <c r="D437" s="692" t="s">
        <v>1081</v>
      </c>
      <c r="E437" s="692" t="s">
        <v>3352</v>
      </c>
      <c r="F437" s="692" t="s">
        <v>3353</v>
      </c>
      <c r="G437" s="692" t="s">
        <v>767</v>
      </c>
      <c r="H437" s="692" t="s">
        <v>4</v>
      </c>
      <c r="I437" s="692" t="s">
        <v>56</v>
      </c>
      <c r="J437" s="692" t="s">
        <v>7</v>
      </c>
      <c r="K437" s="692" t="s">
        <v>3</v>
      </c>
      <c r="L437" s="692" t="str">
        <f t="shared" si="6"/>
        <v>3-05-01</v>
      </c>
      <c r="M437" s="692"/>
      <c r="N437" s="692"/>
      <c r="O437" s="692"/>
      <c r="P437" s="692" t="s">
        <v>767</v>
      </c>
      <c r="Q437" s="692" t="s">
        <v>4804</v>
      </c>
      <c r="R437" s="692" t="s">
        <v>5867</v>
      </c>
      <c r="S437" s="692">
        <v>40301961</v>
      </c>
      <c r="T437" s="692">
        <v>25561133</v>
      </c>
      <c r="U437" s="692" t="s">
        <v>3683</v>
      </c>
      <c r="V437" s="692" t="s">
        <v>3354</v>
      </c>
      <c r="W437" s="692"/>
      <c r="X437" s="761"/>
      <c r="Z437" s="713"/>
      <c r="AA437" s="10"/>
      <c r="AB437" s="8"/>
      <c r="AC437" s="8"/>
      <c r="AD437" s="8"/>
      <c r="AE437" s="8"/>
      <c r="AF437" s="8"/>
      <c r="AG437" s="8"/>
      <c r="AH437" s="761"/>
      <c r="AI437" s="761"/>
    </row>
    <row r="438" spans="1:35" ht="15.75">
      <c r="A438" s="692" t="s">
        <v>3363</v>
      </c>
      <c r="B438" s="692" t="s">
        <v>301</v>
      </c>
      <c r="D438" s="692" t="s">
        <v>676</v>
      </c>
      <c r="E438" s="692" t="s">
        <v>3355</v>
      </c>
      <c r="F438" s="692" t="s">
        <v>3744</v>
      </c>
      <c r="G438" s="692" t="s">
        <v>798</v>
      </c>
      <c r="H438" s="692" t="s">
        <v>3</v>
      </c>
      <c r="I438" s="692" t="s">
        <v>126</v>
      </c>
      <c r="J438" s="692" t="s">
        <v>4</v>
      </c>
      <c r="K438" s="692" t="s">
        <v>3</v>
      </c>
      <c r="L438" s="692" t="str">
        <f t="shared" si="6"/>
        <v>5-02-01</v>
      </c>
      <c r="M438" s="692"/>
      <c r="N438" s="692"/>
      <c r="O438" s="692"/>
      <c r="P438" s="692" t="s">
        <v>799</v>
      </c>
      <c r="Q438" s="692" t="s">
        <v>4804</v>
      </c>
      <c r="R438" s="692" t="s">
        <v>5760</v>
      </c>
      <c r="S438" s="692">
        <v>22007817</v>
      </c>
      <c r="T438" s="692">
        <v>22007817</v>
      </c>
      <c r="U438" s="692" t="s">
        <v>4268</v>
      </c>
      <c r="V438" s="692" t="s">
        <v>3356</v>
      </c>
      <c r="W438" s="692"/>
      <c r="X438" s="761"/>
      <c r="Z438" s="713"/>
      <c r="AA438" s="10"/>
      <c r="AB438" s="8"/>
      <c r="AC438" s="8"/>
      <c r="AD438" s="8"/>
      <c r="AE438" s="8"/>
      <c r="AF438" s="8"/>
      <c r="AG438" s="8"/>
      <c r="AH438" s="761"/>
      <c r="AI438" s="761"/>
    </row>
    <row r="439" spans="1:35" ht="15.75">
      <c r="A439" s="692" t="s">
        <v>3360</v>
      </c>
      <c r="B439" s="692" t="s">
        <v>678</v>
      </c>
      <c r="D439" s="692" t="s">
        <v>1082</v>
      </c>
      <c r="E439" s="692" t="s">
        <v>3357</v>
      </c>
      <c r="F439" s="692" t="s">
        <v>3513</v>
      </c>
      <c r="G439" s="692" t="s">
        <v>4397</v>
      </c>
      <c r="H439" s="692" t="s">
        <v>17</v>
      </c>
      <c r="I439" s="692" t="s">
        <v>80</v>
      </c>
      <c r="J439" s="692" t="s">
        <v>5</v>
      </c>
      <c r="K439" s="692" t="s">
        <v>3</v>
      </c>
      <c r="L439" s="692" t="str">
        <f t="shared" si="6"/>
        <v>6-03-01</v>
      </c>
      <c r="M439" s="692"/>
      <c r="N439" s="692"/>
      <c r="O439" s="692"/>
      <c r="P439" s="692" t="s">
        <v>537</v>
      </c>
      <c r="Q439" s="692" t="s">
        <v>4804</v>
      </c>
      <c r="R439" s="692" t="s">
        <v>3358</v>
      </c>
      <c r="S439" s="692">
        <v>22001224</v>
      </c>
      <c r="T439" s="692">
        <v>27300578</v>
      </c>
      <c r="U439" s="692" t="s">
        <v>5658</v>
      </c>
      <c r="V439" s="692" t="s">
        <v>3359</v>
      </c>
      <c r="W439" s="692"/>
      <c r="X439" s="761"/>
      <c r="Z439" s="713"/>
      <c r="AA439" s="10"/>
      <c r="AB439" s="8"/>
      <c r="AC439" s="8"/>
      <c r="AD439" s="8"/>
      <c r="AE439" s="8"/>
      <c r="AF439" s="8"/>
      <c r="AG439" s="8"/>
      <c r="AH439" s="761"/>
      <c r="AI439" s="761"/>
    </row>
    <row r="440" spans="1:35" ht="15.75">
      <c r="A440" s="692" t="s">
        <v>3381</v>
      </c>
      <c r="B440" s="692" t="s">
        <v>683</v>
      </c>
      <c r="D440" s="692" t="s">
        <v>678</v>
      </c>
      <c r="E440" s="692" t="s">
        <v>3360</v>
      </c>
      <c r="F440" s="692" t="s">
        <v>3361</v>
      </c>
      <c r="G440" s="692" t="s">
        <v>4398</v>
      </c>
      <c r="H440" s="692" t="s">
        <v>7</v>
      </c>
      <c r="I440" s="692" t="s">
        <v>68</v>
      </c>
      <c r="J440" s="692" t="s">
        <v>3</v>
      </c>
      <c r="K440" s="692" t="s">
        <v>4</v>
      </c>
      <c r="L440" s="692" t="str">
        <f t="shared" si="6"/>
        <v>7-01-02</v>
      </c>
      <c r="M440" s="692"/>
      <c r="N440" s="692"/>
      <c r="O440" s="692"/>
      <c r="P440" s="692" t="s">
        <v>873</v>
      </c>
      <c r="Q440" s="692" t="s">
        <v>4804</v>
      </c>
      <c r="R440" s="692" t="s">
        <v>5794</v>
      </c>
      <c r="S440" s="692">
        <v>83684494</v>
      </c>
      <c r="T440" s="692"/>
      <c r="U440" s="692" t="s">
        <v>5659</v>
      </c>
      <c r="V440" s="692" t="s">
        <v>3362</v>
      </c>
      <c r="W440" s="692"/>
      <c r="X440" s="761"/>
      <c r="Z440" s="713"/>
      <c r="AA440" s="10"/>
      <c r="AB440" s="8"/>
      <c r="AC440" s="8"/>
      <c r="AD440" s="8"/>
      <c r="AE440" s="8"/>
      <c r="AF440" s="8"/>
      <c r="AG440" s="8"/>
      <c r="AH440" s="761"/>
      <c r="AI440" s="761"/>
    </row>
    <row r="441" spans="1:35" ht="15.75">
      <c r="A441" s="692" t="s">
        <v>3378</v>
      </c>
      <c r="B441" s="692" t="s">
        <v>937</v>
      </c>
      <c r="D441" s="692" t="s">
        <v>301</v>
      </c>
      <c r="E441" s="692" t="s">
        <v>3363</v>
      </c>
      <c r="F441" s="692" t="s">
        <v>3364</v>
      </c>
      <c r="G441" s="692" t="s">
        <v>750</v>
      </c>
      <c r="H441" s="692" t="s">
        <v>6</v>
      </c>
      <c r="I441" s="692" t="s">
        <v>68</v>
      </c>
      <c r="J441" s="692" t="s">
        <v>8</v>
      </c>
      <c r="K441" s="692" t="s">
        <v>3</v>
      </c>
      <c r="L441" s="692" t="str">
        <f t="shared" si="6"/>
        <v>7-06-01</v>
      </c>
      <c r="M441" s="692"/>
      <c r="N441" s="692"/>
      <c r="O441" s="692"/>
      <c r="P441" s="692" t="s">
        <v>1741</v>
      </c>
      <c r="Q441" s="692" t="s">
        <v>4804</v>
      </c>
      <c r="R441" s="692" t="s">
        <v>5875</v>
      </c>
      <c r="S441" s="692">
        <v>27165352</v>
      </c>
      <c r="T441" s="692"/>
      <c r="U441" s="692" t="s">
        <v>4269</v>
      </c>
      <c r="V441" s="692" t="s">
        <v>3365</v>
      </c>
      <c r="W441" s="692"/>
      <c r="X441" s="761"/>
      <c r="Z441" s="713"/>
      <c r="AA441" s="10"/>
      <c r="AB441" s="8"/>
      <c r="AC441" s="8"/>
      <c r="AD441" s="8"/>
      <c r="AE441" s="8"/>
      <c r="AF441" s="8"/>
      <c r="AG441" s="8"/>
      <c r="AH441" s="761"/>
      <c r="AI441" s="761"/>
    </row>
    <row r="442" spans="1:35" ht="15.75">
      <c r="A442" s="692" t="s">
        <v>3375</v>
      </c>
      <c r="B442" s="692" t="s">
        <v>925</v>
      </c>
      <c r="D442" s="692" t="s">
        <v>925</v>
      </c>
      <c r="E442" s="692" t="s">
        <v>3375</v>
      </c>
      <c r="F442" s="692" t="s">
        <v>3376</v>
      </c>
      <c r="G442" s="692" t="s">
        <v>5729</v>
      </c>
      <c r="H442" s="692" t="s">
        <v>8</v>
      </c>
      <c r="I442" s="692" t="s">
        <v>68</v>
      </c>
      <c r="J442" s="692" t="s">
        <v>5</v>
      </c>
      <c r="K442" s="692" t="s">
        <v>5</v>
      </c>
      <c r="L442" s="692" t="str">
        <f t="shared" si="6"/>
        <v>7-03-03</v>
      </c>
      <c r="M442" s="692"/>
      <c r="N442" s="692"/>
      <c r="O442" s="692"/>
      <c r="P442" s="692" t="s">
        <v>802</v>
      </c>
      <c r="Q442" s="692" t="s">
        <v>4804</v>
      </c>
      <c r="R442" s="692" t="s">
        <v>3377</v>
      </c>
      <c r="S442" s="692">
        <v>27651041</v>
      </c>
      <c r="T442" s="692"/>
      <c r="U442" s="692" t="s">
        <v>3684</v>
      </c>
      <c r="V442" s="692" t="s">
        <v>4487</v>
      </c>
      <c r="W442" s="692"/>
      <c r="X442" s="761"/>
      <c r="Z442" s="713"/>
      <c r="AA442" s="10"/>
      <c r="AB442" s="8"/>
      <c r="AC442" s="8"/>
      <c r="AD442" s="8"/>
      <c r="AE442" s="8"/>
      <c r="AF442" s="8"/>
      <c r="AG442" s="8"/>
      <c r="AH442" s="761"/>
      <c r="AI442" s="761"/>
    </row>
    <row r="443" spans="1:35" ht="15.75">
      <c r="A443" s="692" t="s">
        <v>3387</v>
      </c>
      <c r="B443" s="692" t="s">
        <v>1069</v>
      </c>
      <c r="D443" s="692" t="s">
        <v>937</v>
      </c>
      <c r="E443" s="692" t="s">
        <v>3378</v>
      </c>
      <c r="F443" s="692" t="s">
        <v>3379</v>
      </c>
      <c r="G443" s="692" t="s">
        <v>5729</v>
      </c>
      <c r="H443" s="692" t="s">
        <v>3</v>
      </c>
      <c r="I443" s="692" t="s">
        <v>68</v>
      </c>
      <c r="J443" s="692" t="s">
        <v>3</v>
      </c>
      <c r="K443" s="692" t="s">
        <v>3</v>
      </c>
      <c r="L443" s="692" t="str">
        <f t="shared" si="6"/>
        <v>7-01-01</v>
      </c>
      <c r="M443" s="692"/>
      <c r="N443" s="692"/>
      <c r="O443" s="692"/>
      <c r="P443" s="692" t="s">
        <v>431</v>
      </c>
      <c r="Q443" s="692" t="s">
        <v>4804</v>
      </c>
      <c r="R443" s="692" t="s">
        <v>5873</v>
      </c>
      <c r="S443" s="692">
        <v>27953483</v>
      </c>
      <c r="T443" s="692">
        <v>27953483</v>
      </c>
      <c r="U443" s="692" t="s">
        <v>3685</v>
      </c>
      <c r="V443" s="692" t="s">
        <v>3380</v>
      </c>
      <c r="W443" s="692"/>
      <c r="X443" s="761"/>
      <c r="Z443" s="713"/>
      <c r="AA443" s="10"/>
      <c r="AB443" s="8"/>
      <c r="AC443" s="8"/>
      <c r="AD443" s="8"/>
      <c r="AE443" s="8"/>
      <c r="AF443" s="8"/>
      <c r="AG443" s="8"/>
      <c r="AH443" s="761"/>
      <c r="AI443" s="761"/>
    </row>
    <row r="444" spans="1:35" ht="15.75">
      <c r="A444" s="692" t="s">
        <v>3399</v>
      </c>
      <c r="B444" s="692" t="s">
        <v>692</v>
      </c>
      <c r="D444" s="692" t="s">
        <v>683</v>
      </c>
      <c r="E444" s="692" t="s">
        <v>3381</v>
      </c>
      <c r="F444" s="692" t="s">
        <v>5661</v>
      </c>
      <c r="G444" s="692" t="s">
        <v>4397</v>
      </c>
      <c r="H444" s="692" t="s">
        <v>16</v>
      </c>
      <c r="I444" s="692" t="s">
        <v>80</v>
      </c>
      <c r="J444" s="692" t="s">
        <v>5</v>
      </c>
      <c r="K444" s="692" t="s">
        <v>6</v>
      </c>
      <c r="L444" s="692" t="str">
        <f t="shared" si="6"/>
        <v>6-03-04</v>
      </c>
      <c r="M444" s="692"/>
      <c r="N444" s="692"/>
      <c r="O444" s="692"/>
      <c r="P444" s="692" t="s">
        <v>3382</v>
      </c>
      <c r="Q444" s="692" t="s">
        <v>4804</v>
      </c>
      <c r="R444" s="692" t="s">
        <v>4893</v>
      </c>
      <c r="S444" s="692">
        <v>22002038</v>
      </c>
      <c r="T444" s="692"/>
      <c r="U444" s="692" t="s">
        <v>4270</v>
      </c>
      <c r="V444" s="692" t="s">
        <v>4271</v>
      </c>
      <c r="W444" s="692"/>
      <c r="X444" s="761"/>
      <c r="Z444" s="713"/>
      <c r="AA444" s="10"/>
      <c r="AB444" s="8"/>
      <c r="AC444" s="8"/>
      <c r="AD444" s="8"/>
      <c r="AE444" s="8"/>
      <c r="AF444" s="8"/>
      <c r="AG444" s="8"/>
      <c r="AH444" s="761"/>
      <c r="AI444" s="761"/>
    </row>
    <row r="445" spans="1:35" ht="15.75">
      <c r="A445" s="692" t="s">
        <v>3413</v>
      </c>
      <c r="B445" s="692" t="s">
        <v>697</v>
      </c>
      <c r="D445" s="692" t="s">
        <v>1069</v>
      </c>
      <c r="E445" s="692" t="s">
        <v>3387</v>
      </c>
      <c r="F445" s="692" t="s">
        <v>3388</v>
      </c>
      <c r="G445" s="692" t="s">
        <v>750</v>
      </c>
      <c r="H445" s="692" t="s">
        <v>3</v>
      </c>
      <c r="I445" s="692" t="s">
        <v>68</v>
      </c>
      <c r="J445" s="692" t="s">
        <v>4</v>
      </c>
      <c r="K445" s="692" t="s">
        <v>9</v>
      </c>
      <c r="L445" s="692" t="str">
        <f t="shared" si="6"/>
        <v>7-02-07</v>
      </c>
      <c r="M445" s="692"/>
      <c r="N445" s="692"/>
      <c r="O445" s="692"/>
      <c r="P445" s="692" t="s">
        <v>686</v>
      </c>
      <c r="Q445" s="692" t="s">
        <v>4804</v>
      </c>
      <c r="R445" s="692" t="s">
        <v>4272</v>
      </c>
      <c r="S445" s="692">
        <v>27110581</v>
      </c>
      <c r="T445" s="692"/>
      <c r="U445" s="692" t="s">
        <v>3686</v>
      </c>
      <c r="V445" s="692" t="s">
        <v>3389</v>
      </c>
      <c r="W445" s="692"/>
      <c r="X445" s="761"/>
      <c r="Z445" s="713"/>
      <c r="AA445" s="10"/>
      <c r="AB445" s="8"/>
      <c r="AC445" s="8"/>
      <c r="AD445" s="8"/>
      <c r="AE445" s="8"/>
      <c r="AF445" s="8"/>
      <c r="AG445" s="8"/>
      <c r="AH445" s="761"/>
      <c r="AI445" s="761"/>
    </row>
    <row r="446" spans="1:35" ht="15.75">
      <c r="A446" s="692" t="s">
        <v>3411</v>
      </c>
      <c r="B446" s="692" t="s">
        <v>926</v>
      </c>
      <c r="D446" s="692" t="s">
        <v>692</v>
      </c>
      <c r="E446" s="692" t="s">
        <v>3399</v>
      </c>
      <c r="F446" s="692" t="s">
        <v>3400</v>
      </c>
      <c r="G446" s="692" t="s">
        <v>216</v>
      </c>
      <c r="H446" s="692" t="s">
        <v>4</v>
      </c>
      <c r="I446" s="692" t="s">
        <v>41</v>
      </c>
      <c r="J446" s="692" t="s">
        <v>754</v>
      </c>
      <c r="K446" s="692" t="s">
        <v>5</v>
      </c>
      <c r="L446" s="692" t="str">
        <f t="shared" si="6"/>
        <v>1-17-03</v>
      </c>
      <c r="M446" s="692"/>
      <c r="N446" s="692"/>
      <c r="O446" s="692"/>
      <c r="P446" s="692" t="s">
        <v>3401</v>
      </c>
      <c r="Q446" s="692" t="s">
        <v>4804</v>
      </c>
      <c r="R446" s="692" t="s">
        <v>5839</v>
      </c>
      <c r="S446" s="692">
        <v>25411633</v>
      </c>
      <c r="T446" s="692"/>
      <c r="U446" s="692" t="s">
        <v>4273</v>
      </c>
      <c r="V446" s="692" t="s">
        <v>4489</v>
      </c>
      <c r="W446" s="692"/>
      <c r="X446" s="761"/>
      <c r="Z446" s="713"/>
      <c r="AA446" s="10"/>
      <c r="AB446" s="8"/>
      <c r="AC446" s="8"/>
      <c r="AD446" s="8"/>
      <c r="AE446" s="8"/>
      <c r="AF446" s="8"/>
      <c r="AG446" s="8"/>
      <c r="AH446" s="761"/>
      <c r="AI446" s="761"/>
    </row>
    <row r="447" spans="1:35" ht="15.75">
      <c r="A447" s="692" t="s">
        <v>3407</v>
      </c>
      <c r="B447" s="692" t="s">
        <v>695</v>
      </c>
      <c r="D447" s="692" t="s">
        <v>693</v>
      </c>
      <c r="E447" s="692" t="s">
        <v>3402</v>
      </c>
      <c r="F447" s="692" t="s">
        <v>3403</v>
      </c>
      <c r="G447" s="692" t="s">
        <v>4398</v>
      </c>
      <c r="H447" s="692" t="s">
        <v>6</v>
      </c>
      <c r="I447" s="692" t="s">
        <v>68</v>
      </c>
      <c r="J447" s="692" t="s">
        <v>6</v>
      </c>
      <c r="K447" s="692" t="s">
        <v>3</v>
      </c>
      <c r="L447" s="692" t="str">
        <f t="shared" si="6"/>
        <v>7-04-01</v>
      </c>
      <c r="M447" s="692"/>
      <c r="N447" s="692"/>
      <c r="O447" s="692"/>
      <c r="P447" s="692" t="s">
        <v>835</v>
      </c>
      <c r="Q447" s="692" t="s">
        <v>4804</v>
      </c>
      <c r="R447" s="692" t="s">
        <v>4274</v>
      </c>
      <c r="S447" s="692"/>
      <c r="T447" s="692"/>
      <c r="U447" s="692" t="s">
        <v>4275</v>
      </c>
      <c r="V447" s="692" t="s">
        <v>3404</v>
      </c>
      <c r="W447" s="692"/>
      <c r="X447" s="761"/>
      <c r="Z447" s="713"/>
      <c r="AA447" s="10"/>
      <c r="AB447" s="8"/>
      <c r="AC447" s="8"/>
      <c r="AD447" s="8"/>
      <c r="AE447" s="8"/>
      <c r="AF447" s="8"/>
      <c r="AG447" s="8"/>
      <c r="AH447" s="761"/>
      <c r="AI447" s="761"/>
    </row>
    <row r="448" spans="1:35" ht="15.75">
      <c r="A448" s="692" t="s">
        <v>3405</v>
      </c>
      <c r="B448" s="692" t="s">
        <v>694</v>
      </c>
      <c r="D448" s="692" t="s">
        <v>694</v>
      </c>
      <c r="E448" s="692" t="s">
        <v>3405</v>
      </c>
      <c r="F448" s="692" t="s">
        <v>3406</v>
      </c>
      <c r="G448" s="692" t="s">
        <v>81</v>
      </c>
      <c r="H448" s="692" t="s">
        <v>4</v>
      </c>
      <c r="I448" s="692" t="s">
        <v>80</v>
      </c>
      <c r="J448" s="692" t="s">
        <v>3</v>
      </c>
      <c r="K448" s="692" t="s">
        <v>4</v>
      </c>
      <c r="L448" s="692" t="str">
        <f t="shared" si="6"/>
        <v>6-01-02</v>
      </c>
      <c r="M448" s="692"/>
      <c r="N448" s="692"/>
      <c r="O448" s="692"/>
      <c r="P448" s="692" t="s">
        <v>46</v>
      </c>
      <c r="Q448" s="692" t="s">
        <v>4804</v>
      </c>
      <c r="R448" s="692" t="s">
        <v>5793</v>
      </c>
      <c r="S448" s="692">
        <v>22006524</v>
      </c>
      <c r="T448" s="692">
        <v>22006524</v>
      </c>
      <c r="U448" s="692" t="s">
        <v>4276</v>
      </c>
      <c r="V448" s="692" t="s">
        <v>1197</v>
      </c>
      <c r="W448" s="692"/>
      <c r="X448" s="761"/>
      <c r="Z448" s="713"/>
      <c r="AA448" s="10"/>
      <c r="AB448" s="8"/>
      <c r="AC448" s="8"/>
      <c r="AD448" s="8"/>
      <c r="AE448" s="8"/>
      <c r="AF448" s="8"/>
      <c r="AG448" s="8"/>
      <c r="AH448" s="761"/>
      <c r="AI448" s="761"/>
    </row>
    <row r="449" spans="1:35" ht="15.75">
      <c r="A449" s="692" t="s">
        <v>3402</v>
      </c>
      <c r="B449" s="692" t="s">
        <v>693</v>
      </c>
      <c r="D449" s="692" t="s">
        <v>695</v>
      </c>
      <c r="E449" s="692" t="s">
        <v>3407</v>
      </c>
      <c r="F449" s="692" t="s">
        <v>4095</v>
      </c>
      <c r="G449" s="692" t="s">
        <v>812</v>
      </c>
      <c r="H449" s="692" t="s">
        <v>3</v>
      </c>
      <c r="I449" s="692" t="s">
        <v>80</v>
      </c>
      <c r="J449" s="692" t="s">
        <v>3</v>
      </c>
      <c r="K449" s="692" t="s">
        <v>7</v>
      </c>
      <c r="L449" s="692" t="str">
        <f t="shared" si="6"/>
        <v>6-01-05</v>
      </c>
      <c r="M449" s="692"/>
      <c r="N449" s="692"/>
      <c r="O449" s="692"/>
      <c r="P449" s="692" t="s">
        <v>4277</v>
      </c>
      <c r="Q449" s="692" t="s">
        <v>4804</v>
      </c>
      <c r="R449" s="692" t="s">
        <v>4278</v>
      </c>
      <c r="S449" s="692">
        <v>26500128</v>
      </c>
      <c r="T449" s="692">
        <v>26500128</v>
      </c>
      <c r="U449" s="692" t="s">
        <v>3949</v>
      </c>
      <c r="V449" s="692" t="s">
        <v>4279</v>
      </c>
      <c r="W449" s="692"/>
      <c r="X449" s="761"/>
      <c r="Z449" s="713"/>
      <c r="AA449" s="10"/>
      <c r="AB449" s="8"/>
      <c r="AC449" s="8"/>
      <c r="AD449" s="8"/>
      <c r="AE449" s="8"/>
      <c r="AF449" s="8"/>
      <c r="AG449" s="8"/>
      <c r="AH449" s="761"/>
      <c r="AI449" s="761"/>
    </row>
    <row r="450" spans="1:35" ht="15.75">
      <c r="A450" s="692" t="s">
        <v>3408</v>
      </c>
      <c r="B450" s="692" t="s">
        <v>696</v>
      </c>
      <c r="D450" s="692" t="s">
        <v>696</v>
      </c>
      <c r="E450" s="692" t="s">
        <v>3408</v>
      </c>
      <c r="F450" s="692" t="s">
        <v>3409</v>
      </c>
      <c r="G450" s="692" t="s">
        <v>79</v>
      </c>
      <c r="H450" s="692" t="s">
        <v>118</v>
      </c>
      <c r="I450" s="692" t="s">
        <v>80</v>
      </c>
      <c r="J450" s="692" t="s">
        <v>9</v>
      </c>
      <c r="K450" s="692" t="s">
        <v>6</v>
      </c>
      <c r="L450" s="692" t="str">
        <f t="shared" si="6"/>
        <v>6-07-04</v>
      </c>
      <c r="M450" s="692"/>
      <c r="N450" s="692"/>
      <c r="O450" s="692"/>
      <c r="P450" s="692" t="s">
        <v>577</v>
      </c>
      <c r="Q450" s="692" t="s">
        <v>4804</v>
      </c>
      <c r="R450" s="692" t="s">
        <v>3410</v>
      </c>
      <c r="S450" s="692">
        <v>24591100</v>
      </c>
      <c r="T450" s="692"/>
      <c r="U450" s="692" t="s">
        <v>3950</v>
      </c>
      <c r="V450" s="692" t="s">
        <v>3687</v>
      </c>
      <c r="W450" s="692"/>
      <c r="X450" s="761"/>
      <c r="Z450" s="713"/>
      <c r="AA450" s="10"/>
      <c r="AB450" s="8"/>
      <c r="AC450" s="8"/>
      <c r="AD450" s="8"/>
      <c r="AE450" s="8"/>
      <c r="AF450" s="8"/>
      <c r="AG450" s="8"/>
      <c r="AH450" s="761"/>
      <c r="AI450" s="761"/>
    </row>
    <row r="451" spans="1:35" ht="15.75">
      <c r="A451" s="11" t="s">
        <v>3431</v>
      </c>
      <c r="B451" s="11" t="s">
        <v>393</v>
      </c>
      <c r="D451" s="692" t="s">
        <v>926</v>
      </c>
      <c r="E451" s="692" t="s">
        <v>3411</v>
      </c>
      <c r="F451" s="692" t="s">
        <v>3412</v>
      </c>
      <c r="G451" s="692" t="s">
        <v>750</v>
      </c>
      <c r="H451" s="692" t="s">
        <v>3</v>
      </c>
      <c r="I451" s="692" t="s">
        <v>68</v>
      </c>
      <c r="J451" s="692" t="s">
        <v>4</v>
      </c>
      <c r="K451" s="692" t="s">
        <v>3</v>
      </c>
      <c r="L451" s="692" t="str">
        <f t="shared" ref="L451:L514" si="7">CONCATENATE(I451,"-",J451,"-",K451)</f>
        <v>7-02-01</v>
      </c>
      <c r="M451" s="692"/>
      <c r="N451" s="692"/>
      <c r="O451" s="692"/>
      <c r="P451" s="692" t="s">
        <v>2517</v>
      </c>
      <c r="Q451" s="692" t="s">
        <v>4804</v>
      </c>
      <c r="R451" s="692" t="s">
        <v>4894</v>
      </c>
      <c r="S451" s="692">
        <v>27103944</v>
      </c>
      <c r="T451" s="692"/>
      <c r="U451" s="692" t="s">
        <v>3688</v>
      </c>
      <c r="V451" s="692" t="s">
        <v>3951</v>
      </c>
      <c r="W451" s="692"/>
      <c r="X451" s="761"/>
      <c r="Z451" s="713"/>
      <c r="AA451" s="10"/>
      <c r="AB451" s="8"/>
      <c r="AC451" s="8"/>
      <c r="AD451" s="8"/>
      <c r="AE451" s="8"/>
      <c r="AF451" s="8"/>
      <c r="AG451" s="8"/>
      <c r="AH451" s="761"/>
      <c r="AI451" s="761"/>
    </row>
    <row r="452" spans="1:35" ht="15.75">
      <c r="A452" s="692" t="s">
        <v>3423</v>
      </c>
      <c r="B452" s="692" t="s">
        <v>688</v>
      </c>
      <c r="D452" s="692" t="s">
        <v>697</v>
      </c>
      <c r="E452" s="692" t="s">
        <v>3413</v>
      </c>
      <c r="F452" s="692" t="s">
        <v>4764</v>
      </c>
      <c r="G452" s="692" t="s">
        <v>117</v>
      </c>
      <c r="H452" s="692" t="s">
        <v>13</v>
      </c>
      <c r="I452" s="692" t="s">
        <v>43</v>
      </c>
      <c r="J452" s="692" t="s">
        <v>118</v>
      </c>
      <c r="K452" s="692" t="s">
        <v>5</v>
      </c>
      <c r="L452" s="692" t="str">
        <f t="shared" si="7"/>
        <v>2-14-03</v>
      </c>
      <c r="M452" s="692"/>
      <c r="N452" s="692"/>
      <c r="O452" s="692"/>
      <c r="P452" s="692" t="s">
        <v>42</v>
      </c>
      <c r="Q452" s="692" t="s">
        <v>4804</v>
      </c>
      <c r="R452" s="692" t="s">
        <v>3414</v>
      </c>
      <c r="S452" s="692">
        <v>41051141</v>
      </c>
      <c r="T452" s="692">
        <v>41051141</v>
      </c>
      <c r="U452" s="692" t="s">
        <v>5662</v>
      </c>
      <c r="V452" s="692" t="s">
        <v>4895</v>
      </c>
      <c r="W452" s="692"/>
      <c r="X452" s="761"/>
      <c r="Z452" s="713"/>
      <c r="AA452" s="10"/>
      <c r="AB452" s="8"/>
      <c r="AC452" s="8"/>
      <c r="AD452" s="8"/>
      <c r="AE452" s="8"/>
      <c r="AF452" s="8"/>
      <c r="AG452" s="8"/>
      <c r="AH452" s="761"/>
      <c r="AI452" s="761"/>
    </row>
    <row r="453" spans="1:35" ht="15.75">
      <c r="A453" s="692" t="s">
        <v>3428</v>
      </c>
      <c r="B453" s="692" t="s">
        <v>708</v>
      </c>
      <c r="D453" s="692" t="s">
        <v>706</v>
      </c>
      <c r="E453" s="692" t="s">
        <v>3420</v>
      </c>
      <c r="F453" s="692" t="s">
        <v>3421</v>
      </c>
      <c r="G453" s="692" t="s">
        <v>767</v>
      </c>
      <c r="H453" s="692" t="s">
        <v>9</v>
      </c>
      <c r="I453" s="692" t="s">
        <v>68</v>
      </c>
      <c r="J453" s="692" t="s">
        <v>3</v>
      </c>
      <c r="K453" s="692" t="s">
        <v>4</v>
      </c>
      <c r="L453" s="692" t="str">
        <f t="shared" si="7"/>
        <v>7-01-02</v>
      </c>
      <c r="M453" s="692"/>
      <c r="N453" s="692"/>
      <c r="O453" s="692"/>
      <c r="P453" s="692" t="s">
        <v>874</v>
      </c>
      <c r="Q453" s="692" t="s">
        <v>4804</v>
      </c>
      <c r="R453" s="692" t="s">
        <v>3223</v>
      </c>
      <c r="S453" s="692">
        <v>22064630</v>
      </c>
      <c r="T453" s="692"/>
      <c r="U453" s="692" t="s">
        <v>3689</v>
      </c>
      <c r="V453" s="692" t="s">
        <v>3422</v>
      </c>
      <c r="W453" s="692"/>
      <c r="X453" s="761"/>
      <c r="Z453" s="713"/>
      <c r="AA453" s="10"/>
      <c r="AB453" s="8"/>
      <c r="AC453" s="8"/>
      <c r="AD453" s="8"/>
      <c r="AE453" s="8"/>
      <c r="AF453" s="8"/>
      <c r="AG453" s="8"/>
      <c r="AH453" s="761"/>
      <c r="AI453" s="761"/>
    </row>
    <row r="454" spans="1:35" ht="15.75">
      <c r="A454" s="692" t="s">
        <v>3430</v>
      </c>
      <c r="B454" s="692" t="s">
        <v>709</v>
      </c>
      <c r="D454" s="692" t="s">
        <v>688</v>
      </c>
      <c r="E454" s="692" t="s">
        <v>3423</v>
      </c>
      <c r="F454" s="692" t="s">
        <v>3424</v>
      </c>
      <c r="G454" s="692" t="s">
        <v>767</v>
      </c>
      <c r="H454" s="692" t="s">
        <v>9</v>
      </c>
      <c r="I454" s="692" t="s">
        <v>68</v>
      </c>
      <c r="J454" s="692" t="s">
        <v>3</v>
      </c>
      <c r="K454" s="692" t="s">
        <v>4</v>
      </c>
      <c r="L454" s="692" t="str">
        <f t="shared" si="7"/>
        <v>7-01-02</v>
      </c>
      <c r="M454" s="692"/>
      <c r="N454" s="692"/>
      <c r="O454" s="692"/>
      <c r="P454" s="692" t="s">
        <v>3425</v>
      </c>
      <c r="Q454" s="692" t="s">
        <v>4804</v>
      </c>
      <c r="R454" s="692" t="s">
        <v>3426</v>
      </c>
      <c r="S454" s="692">
        <v>22064594</v>
      </c>
      <c r="T454" s="692">
        <v>22064594</v>
      </c>
      <c r="U454" s="692" t="s">
        <v>3690</v>
      </c>
      <c r="V454" s="692" t="s">
        <v>3427</v>
      </c>
      <c r="W454" s="692"/>
      <c r="X454" s="761"/>
      <c r="Z454" s="713"/>
      <c r="AA454" s="10"/>
      <c r="AB454" s="8"/>
      <c r="AC454" s="8"/>
      <c r="AD454" s="8"/>
      <c r="AE454" s="8"/>
      <c r="AF454" s="8"/>
      <c r="AG454" s="8"/>
      <c r="AH454" s="761"/>
      <c r="AI454" s="761"/>
    </row>
    <row r="455" spans="1:35" ht="15.75">
      <c r="A455" s="692" t="s">
        <v>3420</v>
      </c>
      <c r="B455" s="692" t="s">
        <v>706</v>
      </c>
      <c r="D455" s="692" t="s">
        <v>708</v>
      </c>
      <c r="E455" s="692" t="s">
        <v>3428</v>
      </c>
      <c r="F455" s="692" t="s">
        <v>4096</v>
      </c>
      <c r="G455" s="692" t="s">
        <v>4395</v>
      </c>
      <c r="H455" s="692" t="s">
        <v>4</v>
      </c>
      <c r="I455" s="692" t="s">
        <v>41</v>
      </c>
      <c r="J455" s="692" t="s">
        <v>3</v>
      </c>
      <c r="K455" s="692" t="s">
        <v>12</v>
      </c>
      <c r="L455" s="692" t="str">
        <f t="shared" si="7"/>
        <v>1-01-09</v>
      </c>
      <c r="M455" s="692"/>
      <c r="N455" s="692"/>
      <c r="O455" s="692"/>
      <c r="P455" s="692" t="s">
        <v>121</v>
      </c>
      <c r="Q455" s="692" t="s">
        <v>4804</v>
      </c>
      <c r="R455" s="692" t="s">
        <v>5739</v>
      </c>
      <c r="S455" s="692">
        <v>22900500</v>
      </c>
      <c r="T455" s="692">
        <v>22900500</v>
      </c>
      <c r="U455" s="692" t="s">
        <v>4280</v>
      </c>
      <c r="V455" s="692" t="s">
        <v>3429</v>
      </c>
      <c r="W455" s="692"/>
      <c r="X455" s="761"/>
      <c r="Z455" s="713"/>
      <c r="AA455" s="10"/>
      <c r="AB455" s="8"/>
      <c r="AC455" s="8"/>
      <c r="AD455" s="8"/>
      <c r="AE455" s="8"/>
      <c r="AF455" s="8"/>
      <c r="AG455" s="8"/>
      <c r="AH455" s="761"/>
      <c r="AI455" s="761"/>
    </row>
    <row r="456" spans="1:35" ht="15.75">
      <c r="A456" s="692" t="s">
        <v>3523</v>
      </c>
      <c r="B456" s="692" t="s">
        <v>3522</v>
      </c>
      <c r="D456" s="692" t="s">
        <v>709</v>
      </c>
      <c r="E456" s="692" t="s">
        <v>3430</v>
      </c>
      <c r="F456" s="692" t="s">
        <v>3518</v>
      </c>
      <c r="G456" s="692" t="s">
        <v>81</v>
      </c>
      <c r="H456" s="692" t="s">
        <v>7</v>
      </c>
      <c r="I456" s="692" t="s">
        <v>80</v>
      </c>
      <c r="J456" s="692" t="s">
        <v>3</v>
      </c>
      <c r="K456" s="692" t="s">
        <v>3</v>
      </c>
      <c r="L456" s="692" t="str">
        <f t="shared" si="7"/>
        <v>6-01-01</v>
      </c>
      <c r="M456" s="692"/>
      <c r="N456" s="692"/>
      <c r="O456" s="692"/>
      <c r="P456" s="692" t="s">
        <v>1199</v>
      </c>
      <c r="Q456" s="692" t="s">
        <v>4804</v>
      </c>
      <c r="R456" s="692" t="s">
        <v>5738</v>
      </c>
      <c r="S456" s="692">
        <v>84202229</v>
      </c>
      <c r="T456" s="692"/>
      <c r="U456" s="692" t="s">
        <v>3691</v>
      </c>
      <c r="V456" s="692" t="s">
        <v>3692</v>
      </c>
      <c r="W456" s="692"/>
      <c r="X456" s="761"/>
      <c r="Z456" s="713"/>
      <c r="AA456" s="10"/>
      <c r="AB456" s="8"/>
      <c r="AC456" s="8"/>
      <c r="AD456" s="8"/>
      <c r="AE456" s="8"/>
      <c r="AF456" s="8"/>
      <c r="AG456" s="8"/>
      <c r="AH456" s="761" t="s">
        <v>4493</v>
      </c>
      <c r="AI456" s="761"/>
    </row>
    <row r="457" spans="1:35" ht="15.75">
      <c r="A457" s="692" t="s">
        <v>3529</v>
      </c>
      <c r="B457" s="692" t="s">
        <v>3528</v>
      </c>
      <c r="D457" s="11" t="s">
        <v>393</v>
      </c>
      <c r="E457" s="11" t="s">
        <v>3431</v>
      </c>
      <c r="F457" s="11" t="s">
        <v>5725</v>
      </c>
      <c r="G457" s="11" t="s">
        <v>4397</v>
      </c>
      <c r="H457" s="11" t="s">
        <v>17</v>
      </c>
      <c r="I457" s="11" t="s">
        <v>80</v>
      </c>
      <c r="J457" s="11" t="s">
        <v>5</v>
      </c>
      <c r="K457" s="11" t="s">
        <v>3</v>
      </c>
      <c r="L457" s="692" t="str">
        <f t="shared" si="7"/>
        <v>6-03-01</v>
      </c>
      <c r="M457" s="11"/>
      <c r="N457" s="11"/>
      <c r="O457" s="11"/>
      <c r="P457" s="11" t="s">
        <v>1186</v>
      </c>
      <c r="Q457" s="11" t="s">
        <v>4804</v>
      </c>
      <c r="R457" s="11" t="s">
        <v>5753</v>
      </c>
      <c r="S457" s="11">
        <v>86760444</v>
      </c>
      <c r="T457" s="11">
        <v>22065110</v>
      </c>
      <c r="U457" s="11" t="s">
        <v>3952</v>
      </c>
      <c r="V457" s="11" t="s">
        <v>5754</v>
      </c>
      <c r="W457" s="692"/>
      <c r="X457" s="761"/>
      <c r="Z457" s="713"/>
      <c r="AA457" s="10"/>
      <c r="AB457" s="8"/>
      <c r="AC457" s="8"/>
      <c r="AD457" s="8"/>
      <c r="AE457" s="8"/>
      <c r="AF457" s="8"/>
      <c r="AG457" s="8"/>
      <c r="AH457" s="761"/>
      <c r="AI457" s="761"/>
    </row>
    <row r="458" spans="1:35" ht="15.75">
      <c r="A458" s="692" t="s">
        <v>3526</v>
      </c>
      <c r="B458" s="692" t="s">
        <v>3525</v>
      </c>
      <c r="D458" s="692" t="s">
        <v>3522</v>
      </c>
      <c r="E458" s="692" t="s">
        <v>3523</v>
      </c>
      <c r="F458" s="692" t="s">
        <v>3524</v>
      </c>
      <c r="G458" s="692" t="s">
        <v>117</v>
      </c>
      <c r="H458" s="692" t="s">
        <v>6</v>
      </c>
      <c r="I458" s="692" t="s">
        <v>43</v>
      </c>
      <c r="J458" s="692" t="s">
        <v>13</v>
      </c>
      <c r="K458" s="692" t="s">
        <v>12</v>
      </c>
      <c r="L458" s="692" t="str">
        <f t="shared" si="7"/>
        <v>2-10-09</v>
      </c>
      <c r="M458" s="692"/>
      <c r="N458" s="692"/>
      <c r="O458" s="692"/>
      <c r="P458" s="692" t="s">
        <v>211</v>
      </c>
      <c r="Q458" s="692" t="s">
        <v>4804</v>
      </c>
      <c r="R458" s="692" t="s">
        <v>2948</v>
      </c>
      <c r="S458" s="692">
        <v>24748029</v>
      </c>
      <c r="T458" s="692">
        <v>24748029</v>
      </c>
      <c r="U458" s="692" t="s">
        <v>3953</v>
      </c>
      <c r="V458" s="692" t="s">
        <v>4281</v>
      </c>
      <c r="W458" s="692"/>
      <c r="X458" s="761"/>
      <c r="Z458" s="713"/>
      <c r="AA458" s="10"/>
      <c r="AB458" s="8"/>
      <c r="AC458" s="8"/>
      <c r="AD458" s="8"/>
      <c r="AE458" s="8"/>
      <c r="AF458" s="8"/>
      <c r="AG458" s="8"/>
      <c r="AH458" s="761"/>
      <c r="AI458" s="761"/>
    </row>
    <row r="459" spans="1:35" ht="15.75">
      <c r="A459" s="692" t="s">
        <v>3749</v>
      </c>
      <c r="B459" s="692" t="s">
        <v>3748</v>
      </c>
      <c r="D459" s="692" t="s">
        <v>3525</v>
      </c>
      <c r="E459" s="692" t="s">
        <v>3526</v>
      </c>
      <c r="F459" s="692" t="s">
        <v>3527</v>
      </c>
      <c r="G459" s="692" t="s">
        <v>812</v>
      </c>
      <c r="H459" s="692" t="s">
        <v>5</v>
      </c>
      <c r="I459" s="692" t="s">
        <v>80</v>
      </c>
      <c r="J459" s="692" t="s">
        <v>3</v>
      </c>
      <c r="K459" s="692" t="s">
        <v>6</v>
      </c>
      <c r="L459" s="692" t="str">
        <f t="shared" si="7"/>
        <v>6-01-04</v>
      </c>
      <c r="M459" s="692"/>
      <c r="N459" s="692"/>
      <c r="O459" s="692"/>
      <c r="P459" s="692" t="s">
        <v>807</v>
      </c>
      <c r="Q459" s="692" t="s">
        <v>4804</v>
      </c>
      <c r="R459" s="692" t="s">
        <v>4687</v>
      </c>
      <c r="S459" s="692">
        <v>26500300</v>
      </c>
      <c r="T459" s="692"/>
      <c r="U459" s="692" t="s">
        <v>3954</v>
      </c>
      <c r="V459" s="692" t="s">
        <v>3955</v>
      </c>
      <c r="W459" s="692"/>
      <c r="X459" s="761"/>
      <c r="Z459" s="713"/>
      <c r="AA459" s="10"/>
      <c r="AB459" s="8"/>
      <c r="AC459" s="8"/>
      <c r="AD459" s="8"/>
      <c r="AE459" s="8"/>
      <c r="AF459" s="8"/>
      <c r="AG459" s="8"/>
      <c r="AH459" s="761"/>
      <c r="AI459" s="761"/>
    </row>
    <row r="460" spans="1:35" ht="15.75">
      <c r="A460" s="692" t="s">
        <v>3758</v>
      </c>
      <c r="B460" s="692" t="s">
        <v>3757</v>
      </c>
      <c r="D460" s="692" t="s">
        <v>3528</v>
      </c>
      <c r="E460" s="692" t="s">
        <v>3529</v>
      </c>
      <c r="F460" s="692" t="s">
        <v>3531</v>
      </c>
      <c r="G460" s="692" t="s">
        <v>750</v>
      </c>
      <c r="H460" s="692" t="s">
        <v>8</v>
      </c>
      <c r="I460" s="692" t="s">
        <v>68</v>
      </c>
      <c r="J460" s="692" t="s">
        <v>4</v>
      </c>
      <c r="K460" s="692" t="s">
        <v>7</v>
      </c>
      <c r="L460" s="692" t="str">
        <f t="shared" si="7"/>
        <v>7-02-05</v>
      </c>
      <c r="M460" s="692"/>
      <c r="N460" s="692"/>
      <c r="O460" s="692"/>
      <c r="P460" s="692" t="s">
        <v>3530</v>
      </c>
      <c r="Q460" s="692" t="s">
        <v>4804</v>
      </c>
      <c r="R460" s="692" t="s">
        <v>4282</v>
      </c>
      <c r="S460" s="692">
        <v>44092707</v>
      </c>
      <c r="T460" s="692">
        <v>87083395</v>
      </c>
      <c r="U460" s="692" t="s">
        <v>3956</v>
      </c>
      <c r="V460" s="692" t="s">
        <v>3957</v>
      </c>
      <c r="W460" s="692"/>
      <c r="X460" s="761"/>
      <c r="Z460" s="713"/>
      <c r="AA460" s="10"/>
      <c r="AB460" s="8"/>
      <c r="AC460" s="8"/>
      <c r="AD460" s="8"/>
      <c r="AE460" s="8"/>
      <c r="AF460" s="8"/>
      <c r="AG460" s="8"/>
      <c r="AH460" s="761"/>
      <c r="AI460" s="761"/>
    </row>
    <row r="461" spans="1:35" ht="15.75">
      <c r="A461" s="692" t="s">
        <v>3752</v>
      </c>
      <c r="B461" s="692" t="s">
        <v>3751</v>
      </c>
      <c r="D461" s="692" t="s">
        <v>3745</v>
      </c>
      <c r="E461" s="692" t="s">
        <v>3746</v>
      </c>
      <c r="F461" s="692" t="s">
        <v>3747</v>
      </c>
      <c r="G461" s="692" t="s">
        <v>128</v>
      </c>
      <c r="H461" s="692" t="s">
        <v>7</v>
      </c>
      <c r="I461" s="692" t="s">
        <v>56</v>
      </c>
      <c r="J461" s="692" t="s">
        <v>4</v>
      </c>
      <c r="K461" s="692" t="s">
        <v>4</v>
      </c>
      <c r="L461" s="692" t="str">
        <f t="shared" si="7"/>
        <v>3-02-02</v>
      </c>
      <c r="M461" s="692"/>
      <c r="N461" s="692"/>
      <c r="O461" s="692"/>
      <c r="P461" s="692" t="s">
        <v>230</v>
      </c>
      <c r="Q461" s="692" t="s">
        <v>4804</v>
      </c>
      <c r="R461" s="692" t="s">
        <v>5819</v>
      </c>
      <c r="S461" s="692">
        <v>25347402</v>
      </c>
      <c r="T461" s="692"/>
      <c r="U461" s="692" t="s">
        <v>4283</v>
      </c>
      <c r="V461" s="692" t="s">
        <v>3958</v>
      </c>
      <c r="W461" s="692"/>
      <c r="X461" s="761"/>
      <c r="Z461" s="713"/>
      <c r="AA461" s="10"/>
      <c r="AB461" s="8"/>
      <c r="AC461" s="8"/>
      <c r="AD461" s="8"/>
      <c r="AE461" s="8"/>
      <c r="AF461" s="8"/>
      <c r="AG461" s="8"/>
      <c r="AH461" s="761"/>
      <c r="AI461" s="761"/>
    </row>
    <row r="462" spans="1:35" ht="15.75">
      <c r="A462" s="692" t="s">
        <v>3746</v>
      </c>
      <c r="B462" s="692" t="s">
        <v>3745</v>
      </c>
      <c r="D462" s="692" t="s">
        <v>3748</v>
      </c>
      <c r="E462" s="692" t="s">
        <v>3749</v>
      </c>
      <c r="F462" s="692" t="s">
        <v>3750</v>
      </c>
      <c r="G462" s="692" t="s">
        <v>172</v>
      </c>
      <c r="H462" s="692" t="s">
        <v>3</v>
      </c>
      <c r="I462" s="692" t="s">
        <v>41</v>
      </c>
      <c r="J462" s="692" t="s">
        <v>6</v>
      </c>
      <c r="K462" s="692" t="s">
        <v>3</v>
      </c>
      <c r="L462" s="692" t="str">
        <f t="shared" si="7"/>
        <v>1-04-01</v>
      </c>
      <c r="M462" s="692"/>
      <c r="N462" s="692"/>
      <c r="O462" s="692"/>
      <c r="P462" s="692" t="s">
        <v>3760</v>
      </c>
      <c r="Q462" s="692" t="s">
        <v>4804</v>
      </c>
      <c r="R462" s="692" t="s">
        <v>4284</v>
      </c>
      <c r="S462" s="692">
        <v>24164041</v>
      </c>
      <c r="T462" s="692"/>
      <c r="U462" s="692" t="s">
        <v>3959</v>
      </c>
      <c r="V462" s="692" t="s">
        <v>203</v>
      </c>
      <c r="W462" s="692"/>
      <c r="X462" s="761"/>
      <c r="Z462" s="713"/>
      <c r="AA462" s="10"/>
      <c r="AB462" s="8"/>
      <c r="AC462" s="8"/>
      <c r="AD462" s="8"/>
      <c r="AE462" s="8"/>
      <c r="AF462" s="8"/>
      <c r="AG462" s="8"/>
      <c r="AH462" s="761"/>
      <c r="AI462" s="761"/>
    </row>
    <row r="463" spans="1:35" ht="15.75">
      <c r="A463" s="692" t="s">
        <v>3755</v>
      </c>
      <c r="B463" s="692" t="s">
        <v>3754</v>
      </c>
      <c r="D463" s="692" t="s">
        <v>3751</v>
      </c>
      <c r="E463" s="692" t="s">
        <v>3752</v>
      </c>
      <c r="F463" s="692" t="s">
        <v>3753</v>
      </c>
      <c r="G463" s="692" t="s">
        <v>5729</v>
      </c>
      <c r="H463" s="692" t="s">
        <v>7</v>
      </c>
      <c r="I463" s="692" t="s">
        <v>68</v>
      </c>
      <c r="J463" s="692" t="s">
        <v>5</v>
      </c>
      <c r="K463" s="692" t="s">
        <v>3</v>
      </c>
      <c r="L463" s="692" t="str">
        <f t="shared" si="7"/>
        <v>7-03-01</v>
      </c>
      <c r="M463" s="692"/>
      <c r="N463" s="692"/>
      <c r="O463" s="692"/>
      <c r="P463" s="692" t="s">
        <v>749</v>
      </c>
      <c r="Q463" s="692" t="s">
        <v>4804</v>
      </c>
      <c r="R463" s="692" t="s">
        <v>4285</v>
      </c>
      <c r="S463" s="692">
        <v>27682361</v>
      </c>
      <c r="T463" s="692"/>
      <c r="U463" s="692" t="s">
        <v>4286</v>
      </c>
      <c r="V463" s="692" t="s">
        <v>3960</v>
      </c>
      <c r="W463" s="692"/>
      <c r="X463" s="761"/>
      <c r="Z463" s="713"/>
      <c r="AA463" s="10"/>
      <c r="AB463" s="8"/>
      <c r="AC463" s="8"/>
      <c r="AD463" s="8"/>
      <c r="AE463" s="8"/>
      <c r="AF463" s="8"/>
      <c r="AG463" s="8"/>
      <c r="AH463" s="761"/>
      <c r="AI463" s="761"/>
    </row>
    <row r="464" spans="1:35" ht="15.75">
      <c r="A464" s="692" t="s">
        <v>4098</v>
      </c>
      <c r="B464" s="692" t="s">
        <v>4097</v>
      </c>
      <c r="D464" s="692" t="s">
        <v>3754</v>
      </c>
      <c r="E464" s="692" t="s">
        <v>3755</v>
      </c>
      <c r="F464" s="692" t="s">
        <v>3756</v>
      </c>
      <c r="G464" s="692" t="s">
        <v>111</v>
      </c>
      <c r="H464" s="692" t="s">
        <v>3</v>
      </c>
      <c r="I464" s="692" t="s">
        <v>110</v>
      </c>
      <c r="J464" s="692" t="s">
        <v>3</v>
      </c>
      <c r="K464" s="692" t="s">
        <v>7</v>
      </c>
      <c r="L464" s="692" t="str">
        <f t="shared" si="7"/>
        <v>4-01-05</v>
      </c>
      <c r="M464" s="692"/>
      <c r="N464" s="692"/>
      <c r="O464" s="692"/>
      <c r="P464" s="692" t="s">
        <v>3761</v>
      </c>
      <c r="Q464" s="692" t="s">
        <v>4804</v>
      </c>
      <c r="R464" s="692" t="s">
        <v>4287</v>
      </c>
      <c r="S464" s="692">
        <v>24820073</v>
      </c>
      <c r="T464" s="692"/>
      <c r="U464" s="692" t="s">
        <v>4688</v>
      </c>
      <c r="V464" s="692" t="s">
        <v>3961</v>
      </c>
      <c r="W464" s="692"/>
      <c r="X464" s="761"/>
      <c r="Z464" s="713"/>
      <c r="AA464" s="10"/>
      <c r="AB464" s="8"/>
      <c r="AC464" s="8"/>
      <c r="AD464" s="8"/>
      <c r="AE464" s="8"/>
      <c r="AF464" s="8"/>
      <c r="AG464" s="8"/>
      <c r="AH464" s="761"/>
      <c r="AI464" s="761"/>
    </row>
    <row r="465" spans="1:35" ht="15.75">
      <c r="A465" s="692" t="s">
        <v>4403</v>
      </c>
      <c r="B465" s="692" t="s">
        <v>4402</v>
      </c>
      <c r="D465" s="692" t="s">
        <v>3757</v>
      </c>
      <c r="E465" s="692" t="s">
        <v>3758</v>
      </c>
      <c r="F465" s="692" t="s">
        <v>3759</v>
      </c>
      <c r="G465" s="692" t="s">
        <v>111</v>
      </c>
      <c r="H465" s="692" t="s">
        <v>4</v>
      </c>
      <c r="I465" s="692" t="s">
        <v>110</v>
      </c>
      <c r="J465" s="692" t="s">
        <v>3</v>
      </c>
      <c r="K465" s="692" t="s">
        <v>5</v>
      </c>
      <c r="L465" s="692" t="str">
        <f t="shared" si="7"/>
        <v>4-01-03</v>
      </c>
      <c r="M465" s="692"/>
      <c r="N465" s="692"/>
      <c r="O465" s="692"/>
      <c r="P465" s="692" t="s">
        <v>3762</v>
      </c>
      <c r="Q465" s="692" t="s">
        <v>4804</v>
      </c>
      <c r="R465" s="692" t="s">
        <v>3962</v>
      </c>
      <c r="S465" s="692">
        <v>22374033</v>
      </c>
      <c r="T465" s="692"/>
      <c r="U465" s="692" t="s">
        <v>4490</v>
      </c>
      <c r="V465" s="692" t="s">
        <v>5828</v>
      </c>
      <c r="W465" s="692"/>
      <c r="X465" s="761"/>
      <c r="Z465" s="713"/>
      <c r="AA465" s="10"/>
      <c r="AB465" s="8"/>
      <c r="AC465" s="8"/>
      <c r="AD465" s="8"/>
      <c r="AE465" s="8"/>
      <c r="AF465" s="8"/>
      <c r="AG465" s="8"/>
      <c r="AH465" s="761"/>
      <c r="AI465" s="761"/>
    </row>
    <row r="466" spans="1:35" ht="15.75">
      <c r="A466" s="692" t="s">
        <v>4760</v>
      </c>
      <c r="B466" s="692" t="s">
        <v>4759</v>
      </c>
      <c r="D466" s="692" t="s">
        <v>3792</v>
      </c>
      <c r="E466" s="692" t="s">
        <v>3793</v>
      </c>
      <c r="F466" s="692" t="s">
        <v>3794</v>
      </c>
      <c r="G466" s="692" t="s">
        <v>111</v>
      </c>
      <c r="H466" s="692" t="s">
        <v>3</v>
      </c>
      <c r="I466" s="692" t="s">
        <v>110</v>
      </c>
      <c r="J466" s="692" t="s">
        <v>12</v>
      </c>
      <c r="K466" s="692" t="s">
        <v>3</v>
      </c>
      <c r="L466" s="692" t="str">
        <f t="shared" si="7"/>
        <v>4-09-01</v>
      </c>
      <c r="M466" s="692"/>
      <c r="N466" s="692"/>
      <c r="O466" s="692"/>
      <c r="P466" s="692" t="s">
        <v>54</v>
      </c>
      <c r="Q466" s="692" t="s">
        <v>3543</v>
      </c>
      <c r="R466" s="692" t="s">
        <v>3963</v>
      </c>
      <c r="S466" s="692">
        <v>22633660</v>
      </c>
      <c r="T466" s="692">
        <v>22633661</v>
      </c>
      <c r="U466" s="692" t="s">
        <v>3964</v>
      </c>
      <c r="V466" s="692" t="s">
        <v>4288</v>
      </c>
      <c r="W466" s="692"/>
      <c r="X466" s="761"/>
      <c r="Z466" s="713"/>
      <c r="AA466" s="10"/>
      <c r="AB466" s="8"/>
      <c r="AC466" s="8"/>
      <c r="AD466" s="8"/>
      <c r="AE466" s="8"/>
      <c r="AF466" s="8"/>
      <c r="AG466" s="8"/>
      <c r="AH466" s="761"/>
      <c r="AI466" s="761"/>
    </row>
    <row r="467" spans="1:35" ht="15.75">
      <c r="A467" s="692" t="s">
        <v>4761</v>
      </c>
      <c r="B467" s="692" t="s">
        <v>927</v>
      </c>
      <c r="D467" s="692" t="s">
        <v>4097</v>
      </c>
      <c r="E467" s="692" t="s">
        <v>4098</v>
      </c>
      <c r="F467" s="692" t="s">
        <v>4401</v>
      </c>
      <c r="G467" s="692" t="s">
        <v>298</v>
      </c>
      <c r="H467" s="692" t="s">
        <v>3</v>
      </c>
      <c r="I467" s="692" t="s">
        <v>126</v>
      </c>
      <c r="J467" s="692" t="s">
        <v>13</v>
      </c>
      <c r="K467" s="692" t="s">
        <v>3</v>
      </c>
      <c r="L467" s="692" t="str">
        <f t="shared" si="7"/>
        <v>5-10-01</v>
      </c>
      <c r="M467" s="692"/>
      <c r="N467" s="692"/>
      <c r="O467" s="692"/>
      <c r="P467" s="692" t="s">
        <v>2095</v>
      </c>
      <c r="Q467" s="692" t="s">
        <v>4804</v>
      </c>
      <c r="R467" s="692" t="s">
        <v>4896</v>
      </c>
      <c r="S467" s="692">
        <v>26798400</v>
      </c>
      <c r="T467" s="692"/>
      <c r="U467" s="692" t="s">
        <v>4289</v>
      </c>
      <c r="V467" s="692" t="s">
        <v>5871</v>
      </c>
      <c r="W467" s="692"/>
      <c r="X467" s="761"/>
      <c r="Z467" s="713"/>
      <c r="AA467" s="10"/>
      <c r="AB467" s="8"/>
      <c r="AC467" s="8"/>
      <c r="AD467" s="8"/>
      <c r="AE467" s="8"/>
      <c r="AF467" s="8"/>
      <c r="AG467" s="8"/>
      <c r="AH467" s="761"/>
      <c r="AI467" s="761"/>
    </row>
    <row r="468" spans="1:35" ht="15.75">
      <c r="A468" s="714" t="s">
        <v>5705</v>
      </c>
      <c r="B468" s="714" t="s">
        <v>475</v>
      </c>
      <c r="D468" s="692" t="s">
        <v>4402</v>
      </c>
      <c r="E468" s="692" t="s">
        <v>4403</v>
      </c>
      <c r="F468" s="692" t="s">
        <v>4404</v>
      </c>
      <c r="G468" s="692" t="s">
        <v>767</v>
      </c>
      <c r="H468" s="692" t="s">
        <v>12</v>
      </c>
      <c r="I468" s="692" t="s">
        <v>56</v>
      </c>
      <c r="J468" s="692" t="s">
        <v>7</v>
      </c>
      <c r="K468" s="692" t="s">
        <v>17</v>
      </c>
      <c r="L468" s="692" t="str">
        <f t="shared" si="7"/>
        <v>3-05-12</v>
      </c>
      <c r="M468" s="692"/>
      <c r="N468" s="692"/>
      <c r="O468" s="692"/>
      <c r="P468" s="692" t="s">
        <v>4491</v>
      </c>
      <c r="Q468" s="692" t="s">
        <v>4804</v>
      </c>
      <c r="R468" s="692" t="s">
        <v>4689</v>
      </c>
      <c r="S468" s="692"/>
      <c r="T468" s="692"/>
      <c r="U468" s="692" t="s">
        <v>4690</v>
      </c>
      <c r="V468" s="692" t="s">
        <v>4492</v>
      </c>
      <c r="W468" s="692"/>
      <c r="X468" s="761"/>
      <c r="Z468" s="713"/>
      <c r="AA468" s="10"/>
      <c r="AB468" s="8"/>
      <c r="AC468" s="8"/>
      <c r="AD468" s="8"/>
      <c r="AE468" s="8"/>
      <c r="AF468" s="8"/>
      <c r="AG468" s="8"/>
      <c r="AH468" s="761"/>
      <c r="AI468" s="761"/>
    </row>
    <row r="469" spans="1:35" ht="15.75">
      <c r="A469" s="714" t="s">
        <v>5578</v>
      </c>
      <c r="B469" s="714" t="s">
        <v>331</v>
      </c>
      <c r="D469" s="692" t="s">
        <v>4759</v>
      </c>
      <c r="E469" s="692" t="s">
        <v>4760</v>
      </c>
      <c r="F469" s="692" t="s">
        <v>4765</v>
      </c>
      <c r="G469" s="692" t="s">
        <v>812</v>
      </c>
      <c r="H469" s="692" t="s">
        <v>4</v>
      </c>
      <c r="I469" s="692" t="s">
        <v>80</v>
      </c>
      <c r="J469" s="692" t="s">
        <v>3</v>
      </c>
      <c r="K469" s="692" t="s">
        <v>16</v>
      </c>
      <c r="L469" s="692" t="str">
        <f t="shared" si="7"/>
        <v>6-01-11</v>
      </c>
      <c r="M469" s="692"/>
      <c r="N469" s="692"/>
      <c r="O469" s="692"/>
      <c r="P469" s="692" t="s">
        <v>502</v>
      </c>
      <c r="Q469" s="692" t="s">
        <v>4804</v>
      </c>
      <c r="R469" s="692" t="s">
        <v>4897</v>
      </c>
      <c r="S469" s="692">
        <v>22636363</v>
      </c>
      <c r="T469" s="692"/>
      <c r="U469" s="692" t="s">
        <v>4898</v>
      </c>
      <c r="V469" s="692" t="s">
        <v>5744</v>
      </c>
      <c r="W469" s="692"/>
      <c r="X469" s="761"/>
      <c r="Z469" s="713"/>
      <c r="AA469" s="10"/>
      <c r="AB469" s="8"/>
      <c r="AC469" s="8"/>
      <c r="AD469" s="8"/>
      <c r="AE469" s="8"/>
      <c r="AF469" s="8"/>
      <c r="AG469" s="8"/>
      <c r="AH469" s="761"/>
      <c r="AI469" s="761"/>
    </row>
    <row r="470" spans="1:35" ht="15.75">
      <c r="A470" s="714" t="s">
        <v>5568</v>
      </c>
      <c r="B470" s="714" t="s">
        <v>123</v>
      </c>
      <c r="D470" s="692" t="s">
        <v>927</v>
      </c>
      <c r="E470" s="692" t="s">
        <v>4761</v>
      </c>
      <c r="F470" s="692" t="s">
        <v>4766</v>
      </c>
      <c r="G470" s="692" t="s">
        <v>4398</v>
      </c>
      <c r="H470" s="692" t="s">
        <v>8</v>
      </c>
      <c r="I470" s="692" t="s">
        <v>68</v>
      </c>
      <c r="J470" s="692" t="s">
        <v>5</v>
      </c>
      <c r="K470" s="692" t="s">
        <v>4</v>
      </c>
      <c r="L470" s="692" t="str">
        <f t="shared" si="7"/>
        <v>7-03-02</v>
      </c>
      <c r="M470" s="692"/>
      <c r="N470" s="692"/>
      <c r="O470" s="692"/>
      <c r="P470" s="692" t="s">
        <v>4768</v>
      </c>
      <c r="Q470" s="692" t="s">
        <v>4804</v>
      </c>
      <c r="R470" s="692" t="s">
        <v>4899</v>
      </c>
      <c r="S470" s="692">
        <v>86715325</v>
      </c>
      <c r="T470" s="692"/>
      <c r="U470" s="692" t="s">
        <v>4900</v>
      </c>
      <c r="V470" s="692" t="s">
        <v>4901</v>
      </c>
      <c r="W470" s="692"/>
      <c r="X470" s="761"/>
      <c r="Z470" s="713"/>
      <c r="AA470" s="10"/>
      <c r="AB470" s="8"/>
      <c r="AC470" s="8"/>
      <c r="AD470" s="8"/>
      <c r="AE470" s="8"/>
      <c r="AF470" s="8"/>
      <c r="AG470" s="8"/>
      <c r="AH470" s="761"/>
      <c r="AI470" s="761"/>
    </row>
    <row r="471" spans="1:35">
      <c r="AH471" s="5"/>
    </row>
    <row r="472" spans="1:35">
      <c r="AH472" s="5"/>
    </row>
    <row r="473" spans="1:35">
      <c r="AH473" s="5"/>
    </row>
    <row r="474" spans="1:35">
      <c r="AH474" s="5"/>
    </row>
    <row r="475" spans="1:35">
      <c r="AH475" s="5"/>
    </row>
    <row r="476" spans="1:35">
      <c r="AH476" s="5"/>
    </row>
    <row r="477" spans="1:35">
      <c r="AH477" s="5"/>
    </row>
    <row r="478" spans="1:35">
      <c r="AH478" s="5"/>
    </row>
    <row r="479" spans="1:35">
      <c r="AH479" s="5"/>
    </row>
    <row r="480" spans="1:35">
      <c r="AH480" s="5"/>
    </row>
    <row r="481" spans="34:34">
      <c r="AH481" s="5"/>
    </row>
    <row r="482" spans="34:34">
      <c r="AH482" s="5"/>
    </row>
    <row r="483" spans="34:34">
      <c r="AH483" s="5"/>
    </row>
    <row r="484" spans="34:34">
      <c r="AH484" s="5"/>
    </row>
    <row r="485" spans="34:34">
      <c r="AH485" s="5"/>
    </row>
    <row r="486" spans="34:34">
      <c r="AH486" s="5"/>
    </row>
    <row r="487" spans="34:34">
      <c r="AH487" s="5"/>
    </row>
  </sheetData>
  <sheetProtection algorithmName="SHA-512" hashValue="8q4fmTBTcIVP/thq86SAQI+7kiZAM84bIqKwORZA8JImvhDp33Tsp0qeOrnny+zy2k2SBVpG3BO7npXwjULe2Q==" saltValue="fA5iyrwazwUL2DR4RcwWWw==" spinCount="100000" sheet="1" objects="1" scenarios="1"/>
  <autoFilter ref="A2:AI470"/>
  <sortState ref="A3:B470">
    <sortCondition ref="A3:A470"/>
  </sortState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Q54"/>
  <sheetViews>
    <sheetView showGridLines="0" showRuler="0" zoomScale="90" zoomScaleNormal="90" zoomScaleSheetLayoutView="90" zoomScalePageLayoutView="86" workbookViewId="0">
      <selection activeCell="O1" sqref="O1:P1"/>
    </sheetView>
  </sheetViews>
  <sheetFormatPr baseColWidth="10" defaultRowHeight="14.25"/>
  <cols>
    <col min="1" max="1" width="3" style="30" customWidth="1"/>
    <col min="2" max="2" width="6" style="30" customWidth="1"/>
    <col min="3" max="3" width="5" style="106" customWidth="1"/>
    <col min="4" max="4" width="6.85546875" style="106" customWidth="1"/>
    <col min="5" max="5" width="11.5703125" style="106" customWidth="1"/>
    <col min="6" max="6" width="12.42578125" style="106" customWidth="1"/>
    <col min="7" max="7" width="11.42578125" style="106" customWidth="1"/>
    <col min="8" max="10" width="11.42578125" style="30" customWidth="1"/>
    <col min="11" max="11" width="11.7109375" style="30" customWidth="1"/>
    <col min="12" max="12" width="5.28515625" style="30" customWidth="1"/>
    <col min="13" max="13" width="58.7109375" style="30" customWidth="1"/>
    <col min="14" max="14" width="6.85546875" style="30" customWidth="1"/>
    <col min="15" max="15" width="12.42578125" style="147" customWidth="1"/>
    <col min="16" max="16" width="12.42578125" style="30" customWidth="1"/>
    <col min="17" max="17" width="26.28515625" style="118" customWidth="1"/>
    <col min="18" max="16384" width="11.42578125" style="30"/>
  </cols>
  <sheetData>
    <row r="1" spans="2:17" ht="18">
      <c r="B1" s="107" t="s">
        <v>4384</v>
      </c>
      <c r="H1" s="36"/>
      <c r="M1" s="753"/>
      <c r="N1" s="753"/>
      <c r="O1" s="861">
        <f>IF('Portada 1-con Código Presup.'!$M$2="",'Portada 2-sin Código Presup.'!$K$1,'Portada 1-con Código Presup.'!$M$2)</f>
        <v>0</v>
      </c>
      <c r="P1" s="862"/>
      <c r="Q1" s="30"/>
    </row>
    <row r="2" spans="2:17" s="118" customFormat="1" ht="38.25" customHeight="1">
      <c r="B2" s="1025" t="s">
        <v>5665</v>
      </c>
      <c r="C2" s="1025"/>
      <c r="D2" s="1025"/>
      <c r="E2" s="1025"/>
      <c r="F2" s="1025"/>
      <c r="G2" s="1025"/>
      <c r="H2" s="1025"/>
      <c r="I2" s="1025"/>
      <c r="J2" s="1025"/>
      <c r="K2" s="1025"/>
      <c r="L2" s="1025"/>
      <c r="M2" s="1025"/>
      <c r="N2" s="1025"/>
      <c r="O2" s="1025"/>
      <c r="P2" s="1025"/>
      <c r="Q2" s="157"/>
    </row>
    <row r="3" spans="2:17" s="118" customFormat="1" ht="25.5" customHeight="1">
      <c r="B3" s="117" t="s">
        <v>4555</v>
      </c>
      <c r="H3" s="36"/>
      <c r="I3" s="36"/>
      <c r="J3" s="36"/>
      <c r="K3" s="36"/>
      <c r="M3" s="119"/>
      <c r="N3" s="119"/>
      <c r="O3" s="119"/>
      <c r="P3" s="119"/>
      <c r="Q3" s="119"/>
    </row>
    <row r="4" spans="2:17" s="100" customFormat="1" ht="18.75" thickBot="1">
      <c r="B4" s="158"/>
      <c r="C4" s="118"/>
      <c r="D4" s="118"/>
      <c r="E4" s="118"/>
      <c r="F4" s="118"/>
      <c r="G4" s="118"/>
      <c r="H4" s="36"/>
      <c r="I4" s="36"/>
      <c r="J4" s="36"/>
      <c r="K4" s="36"/>
      <c r="L4" s="159" t="s">
        <v>983</v>
      </c>
      <c r="M4" s="160" t="s">
        <v>4556</v>
      </c>
      <c r="N4" s="160"/>
      <c r="O4" s="161"/>
      <c r="P4" s="162"/>
      <c r="Q4" s="36"/>
    </row>
    <row r="5" spans="2:17" ht="18.75" customHeight="1" thickTop="1">
      <c r="B5" s="163" t="s">
        <v>4605</v>
      </c>
      <c r="C5" s="1031" t="s">
        <v>4602</v>
      </c>
      <c r="D5" s="1031"/>
      <c r="E5" s="1031"/>
      <c r="F5" s="1031"/>
      <c r="G5" s="1031"/>
      <c r="H5" s="1031"/>
      <c r="I5" s="1031"/>
      <c r="J5" s="1031"/>
      <c r="K5" s="36"/>
      <c r="M5" s="1026" t="s">
        <v>4557</v>
      </c>
      <c r="N5" s="735"/>
      <c r="O5" s="1028" t="s">
        <v>1230</v>
      </c>
      <c r="P5" s="1030" t="s">
        <v>1055</v>
      </c>
      <c r="Q5" s="36"/>
    </row>
    <row r="6" spans="2:17" ht="18.75" customHeight="1" thickBot="1">
      <c r="B6" s="163"/>
      <c r="C6" s="1031"/>
      <c r="D6" s="1031"/>
      <c r="E6" s="1031"/>
      <c r="F6" s="1031"/>
      <c r="G6" s="1031"/>
      <c r="H6" s="1031"/>
      <c r="I6" s="1031"/>
      <c r="J6" s="1031"/>
      <c r="K6" s="36"/>
      <c r="M6" s="1027"/>
      <c r="N6" s="736"/>
      <c r="O6" s="1029"/>
      <c r="P6" s="995"/>
    </row>
    <row r="7" spans="2:17" ht="18.75" customHeight="1" thickTop="1">
      <c r="B7" s="163"/>
      <c r="C7" s="1031"/>
      <c r="D7" s="1031"/>
      <c r="E7" s="1031"/>
      <c r="F7" s="1031"/>
      <c r="G7" s="1031"/>
      <c r="H7" s="1031"/>
      <c r="I7" s="1031"/>
      <c r="J7" s="1031"/>
      <c r="K7" s="36"/>
      <c r="M7" s="164" t="s">
        <v>4558</v>
      </c>
      <c r="N7" s="737"/>
      <c r="O7" s="165">
        <f>SUM(O8:O10)</f>
        <v>0</v>
      </c>
      <c r="P7" s="166">
        <f>SUM(P8:P10)</f>
        <v>0</v>
      </c>
      <c r="Q7" s="167"/>
    </row>
    <row r="8" spans="2:17" ht="18.75" customHeight="1">
      <c r="B8" s="163"/>
      <c r="C8" s="1031"/>
      <c r="D8" s="1031"/>
      <c r="E8" s="1031"/>
      <c r="F8" s="1031"/>
      <c r="G8" s="1031"/>
      <c r="H8" s="1031"/>
      <c r="I8" s="1031"/>
      <c r="J8" s="1031"/>
      <c r="K8" s="36"/>
      <c r="M8" s="734" t="s">
        <v>4604</v>
      </c>
      <c r="N8" s="168"/>
      <c r="O8" s="169"/>
      <c r="P8" s="129"/>
      <c r="Q8" s="170" t="str">
        <f>IF(AND(OR(O8&gt;0),AND(P8="")),"¿Nada en buen estado?",IF(AND(OR(O8&gt;=0),AND(P8&gt;O8)),"Verifique la cantidad total",""))</f>
        <v/>
      </c>
    </row>
    <row r="9" spans="2:17" ht="18.75" customHeight="1">
      <c r="B9" s="159"/>
      <c r="C9" s="110" t="str">
        <f>IF((D9="Sí"),"1",(IF(D9="No","2","")))</f>
        <v/>
      </c>
      <c r="D9" s="113"/>
      <c r="E9" s="171"/>
      <c r="F9" s="171"/>
      <c r="G9" s="171"/>
      <c r="H9" s="36"/>
      <c r="I9" s="36"/>
      <c r="J9" s="36"/>
      <c r="K9" s="36"/>
      <c r="M9" s="734" t="s">
        <v>1236</v>
      </c>
      <c r="N9" s="743"/>
      <c r="O9" s="169"/>
      <c r="P9" s="129"/>
      <c r="Q9" s="170" t="str">
        <f>IF(AND(OR(O9&gt;0),AND(P9="")),"¿Nada en buen estado?",IF(AND(OR(O9&gt;=0),AND(P9&gt;O9)),"Verifique la cantidad total",""))</f>
        <v/>
      </c>
    </row>
    <row r="10" spans="2:17" ht="19.5" customHeight="1">
      <c r="C10" s="171"/>
      <c r="D10" s="171"/>
      <c r="E10" s="171"/>
      <c r="F10" s="171"/>
      <c r="G10" s="171"/>
      <c r="H10" s="36"/>
      <c r="I10" s="36"/>
      <c r="J10" s="36"/>
      <c r="K10" s="36"/>
      <c r="M10" s="172" t="s">
        <v>1969</v>
      </c>
      <c r="N10" s="738"/>
      <c r="O10" s="173">
        <f>+O11+O12+O13</f>
        <v>0</v>
      </c>
      <c r="P10" s="174">
        <f>+P11+P12+P13</f>
        <v>0</v>
      </c>
      <c r="Q10" s="170"/>
    </row>
    <row r="11" spans="2:17" ht="18.75" customHeight="1">
      <c r="B11" s="159" t="s">
        <v>979</v>
      </c>
      <c r="C11" s="175" t="s">
        <v>4559</v>
      </c>
      <c r="D11" s="176"/>
      <c r="E11" s="121"/>
      <c r="F11" s="121"/>
      <c r="G11" s="121"/>
      <c r="H11" s="36"/>
      <c r="I11" s="36"/>
      <c r="J11" s="36"/>
      <c r="K11" s="36"/>
      <c r="M11" s="177"/>
      <c r="N11" s="739"/>
      <c r="O11" s="178"/>
      <c r="P11" s="179"/>
      <c r="Q11" s="170" t="str">
        <f t="shared" ref="Q11:Q28" si="0">IF(AND(OR(O11&gt;0),AND(P11="")),"¿Nada en buen estado?",IF(AND(OR(O11&gt;=0),AND(P11&gt;O11)),"Verifique la cantidad total",""))</f>
        <v/>
      </c>
    </row>
    <row r="12" spans="2:17" ht="18.75" customHeight="1">
      <c r="B12" s="180"/>
      <c r="C12" s="110" t="str">
        <f>IF((D12="Sí"),"1",(IF(D12="No","2","")))</f>
        <v/>
      </c>
      <c r="D12" s="113"/>
      <c r="E12" s="114" t="s">
        <v>1049</v>
      </c>
      <c r="F12" s="114"/>
      <c r="G12" s="118"/>
      <c r="H12" s="36"/>
      <c r="I12" s="36"/>
      <c r="J12" s="36"/>
      <c r="K12" s="36"/>
      <c r="M12" s="177"/>
      <c r="N12" s="739"/>
      <c r="O12" s="178"/>
      <c r="P12" s="179"/>
      <c r="Q12" s="170" t="str">
        <f t="shared" si="0"/>
        <v/>
      </c>
    </row>
    <row r="13" spans="2:17" ht="18.75" customHeight="1">
      <c r="B13" s="110"/>
      <c r="C13" s="110" t="str">
        <f>IF((D13="Sí"),"1",(IF(D13="No","2","")))</f>
        <v/>
      </c>
      <c r="D13" s="113"/>
      <c r="E13" s="115" t="s">
        <v>4388</v>
      </c>
      <c r="F13" s="115"/>
      <c r="G13" s="118"/>
      <c r="H13" s="36"/>
      <c r="I13" s="36"/>
      <c r="J13" s="36"/>
      <c r="K13" s="36"/>
      <c r="L13" s="100"/>
      <c r="M13" s="177"/>
      <c r="N13" s="739"/>
      <c r="O13" s="178"/>
      <c r="P13" s="179"/>
      <c r="Q13" s="170" t="str">
        <f t="shared" si="0"/>
        <v/>
      </c>
    </row>
    <row r="14" spans="2:17" ht="18.75" customHeight="1">
      <c r="B14" s="38"/>
      <c r="C14" s="110" t="str">
        <f>IF((D14="Sí"),"1",(IF(D14="No","2","")))</f>
        <v/>
      </c>
      <c r="D14" s="113"/>
      <c r="E14" s="115" t="s">
        <v>1050</v>
      </c>
      <c r="F14" s="115"/>
      <c r="G14" s="118"/>
      <c r="M14" s="181" t="s">
        <v>1231</v>
      </c>
      <c r="N14" s="740"/>
      <c r="O14" s="178"/>
      <c r="P14" s="182"/>
      <c r="Q14" s="170" t="str">
        <f t="shared" si="0"/>
        <v/>
      </c>
    </row>
    <row r="15" spans="2:17" s="100" customFormat="1" ht="18.75" customHeight="1">
      <c r="B15" s="119"/>
      <c r="C15" s="110" t="str">
        <f>IF((D15="Sí"),"1",(IF(D15="No","2","")))</f>
        <v/>
      </c>
      <c r="D15" s="113"/>
      <c r="E15" s="115" t="s">
        <v>4040</v>
      </c>
      <c r="F15" s="115"/>
      <c r="G15" s="118"/>
      <c r="H15" s="30"/>
      <c r="I15" s="30"/>
      <c r="J15" s="30"/>
      <c r="K15" s="30"/>
      <c r="L15" s="30"/>
      <c r="M15" s="181" t="s">
        <v>1031</v>
      </c>
      <c r="N15" s="740"/>
      <c r="O15" s="178"/>
      <c r="P15" s="182"/>
      <c r="Q15" s="170" t="str">
        <f t="shared" si="0"/>
        <v/>
      </c>
    </row>
    <row r="16" spans="2:17" ht="18.75" customHeight="1">
      <c r="C16" s="118"/>
      <c r="D16" s="118"/>
      <c r="E16" s="118"/>
      <c r="F16" s="118"/>
      <c r="G16" s="118"/>
      <c r="M16" s="181" t="s">
        <v>3441</v>
      </c>
      <c r="N16" s="740"/>
      <c r="O16" s="178"/>
      <c r="P16" s="182"/>
      <c r="Q16" s="170" t="str">
        <f t="shared" si="0"/>
        <v/>
      </c>
    </row>
    <row r="17" spans="2:17" ht="18.75" customHeight="1" thickBot="1">
      <c r="B17" s="159" t="s">
        <v>980</v>
      </c>
      <c r="C17" s="160" t="s">
        <v>4560</v>
      </c>
      <c r="D17" s="160"/>
      <c r="E17" s="160"/>
      <c r="F17" s="160"/>
      <c r="G17" s="183"/>
      <c r="H17" s="183"/>
      <c r="I17" s="183"/>
      <c r="K17" s="36"/>
      <c r="M17" s="181" t="s">
        <v>1971</v>
      </c>
      <c r="N17" s="740"/>
      <c r="O17" s="178"/>
      <c r="P17" s="182"/>
      <c r="Q17" s="170" t="str">
        <f t="shared" si="0"/>
        <v/>
      </c>
    </row>
    <row r="18" spans="2:17" ht="18.75" customHeight="1" thickTop="1">
      <c r="B18" s="119"/>
      <c r="C18" s="1000" t="s">
        <v>1062</v>
      </c>
      <c r="D18" s="1000"/>
      <c r="E18" s="1000"/>
      <c r="F18" s="1001"/>
      <c r="G18" s="1006" t="s">
        <v>1061</v>
      </c>
      <c r="H18" s="1007"/>
      <c r="I18" s="1010" t="s">
        <v>1234</v>
      </c>
      <c r="J18" s="1011"/>
      <c r="K18" s="36"/>
      <c r="M18" s="181" t="s">
        <v>4044</v>
      </c>
      <c r="N18" s="740"/>
      <c r="O18" s="178"/>
      <c r="P18" s="182"/>
      <c r="Q18" s="170" t="str">
        <f t="shared" si="0"/>
        <v/>
      </c>
    </row>
    <row r="19" spans="2:17" ht="18.75" customHeight="1">
      <c r="B19" s="119"/>
      <c r="C19" s="1002"/>
      <c r="D19" s="1002"/>
      <c r="E19" s="1002"/>
      <c r="F19" s="1003"/>
      <c r="G19" s="1008"/>
      <c r="H19" s="1009"/>
      <c r="I19" s="1012"/>
      <c r="J19" s="1013"/>
      <c r="K19" s="36"/>
      <c r="L19" s="36"/>
      <c r="M19" s="181" t="s">
        <v>1032</v>
      </c>
      <c r="N19" s="740"/>
      <c r="O19" s="178"/>
      <c r="P19" s="182"/>
      <c r="Q19" s="170" t="str">
        <f t="shared" si="0"/>
        <v/>
      </c>
    </row>
    <row r="20" spans="2:17" s="36" customFormat="1" ht="18.75" customHeight="1">
      <c r="B20" s="119"/>
      <c r="C20" s="1002"/>
      <c r="D20" s="1002"/>
      <c r="E20" s="1002"/>
      <c r="F20" s="1003"/>
      <c r="G20" s="1014" t="s">
        <v>1063</v>
      </c>
      <c r="H20" s="1017" t="s">
        <v>1056</v>
      </c>
      <c r="I20" s="990" t="s">
        <v>1063</v>
      </c>
      <c r="J20" s="993" t="s">
        <v>1056</v>
      </c>
      <c r="M20" s="181" t="s">
        <v>1171</v>
      </c>
      <c r="N20" s="740"/>
      <c r="O20" s="178"/>
      <c r="P20" s="182"/>
      <c r="Q20" s="170" t="str">
        <f t="shared" si="0"/>
        <v/>
      </c>
    </row>
    <row r="21" spans="2:17" s="36" customFormat="1" ht="18.75" customHeight="1">
      <c r="B21" s="119"/>
      <c r="C21" s="1002"/>
      <c r="D21" s="1002"/>
      <c r="E21" s="1002"/>
      <c r="F21" s="1003"/>
      <c r="G21" s="1015"/>
      <c r="H21" s="1018"/>
      <c r="I21" s="991"/>
      <c r="J21" s="994"/>
      <c r="M21" s="181" t="s">
        <v>1212</v>
      </c>
      <c r="N21" s="741" t="str">
        <f>IF(AND(D12="Sí",OR(O21="",O21=0)),"**","")</f>
        <v/>
      </c>
      <c r="O21" s="178"/>
      <c r="P21" s="182"/>
      <c r="Q21" s="170" t="str">
        <f t="shared" si="0"/>
        <v/>
      </c>
    </row>
    <row r="22" spans="2:17" s="36" customFormat="1" ht="18.75" customHeight="1" thickBot="1">
      <c r="B22" s="184"/>
      <c r="C22" s="1004"/>
      <c r="D22" s="1004"/>
      <c r="E22" s="1004"/>
      <c r="F22" s="1005"/>
      <c r="G22" s="1016"/>
      <c r="H22" s="1019"/>
      <c r="I22" s="992"/>
      <c r="J22" s="995"/>
      <c r="M22" s="181" t="s">
        <v>1216</v>
      </c>
      <c r="N22" s="740"/>
      <c r="O22" s="178"/>
      <c r="P22" s="182"/>
      <c r="Q22" s="170" t="str">
        <f t="shared" si="0"/>
        <v/>
      </c>
    </row>
    <row r="23" spans="2:17" s="36" customFormat="1" ht="18.75" customHeight="1" thickTop="1">
      <c r="B23" s="100"/>
      <c r="C23" s="185" t="s">
        <v>1057</v>
      </c>
      <c r="D23" s="185"/>
      <c r="E23" s="185"/>
      <c r="F23" s="185"/>
      <c r="G23" s="186">
        <f>SUM(G24:G26)</f>
        <v>0</v>
      </c>
      <c r="H23" s="187">
        <f>SUM(H24:H26)</f>
        <v>0</v>
      </c>
      <c r="I23" s="188">
        <f>SUM(I24:I26)</f>
        <v>0</v>
      </c>
      <c r="J23" s="189">
        <f>SUM(J24:J26)</f>
        <v>0</v>
      </c>
      <c r="M23" s="181" t="s">
        <v>3476</v>
      </c>
      <c r="N23" s="740"/>
      <c r="O23" s="178"/>
      <c r="P23" s="182"/>
      <c r="Q23" s="170" t="str">
        <f t="shared" si="0"/>
        <v/>
      </c>
    </row>
    <row r="24" spans="2:17" s="36" customFormat="1" ht="18.75" customHeight="1">
      <c r="B24" s="100"/>
      <c r="C24" s="996" t="s">
        <v>1058</v>
      </c>
      <c r="D24" s="996"/>
      <c r="E24" s="996"/>
      <c r="F24" s="997"/>
      <c r="G24" s="190"/>
      <c r="H24" s="191"/>
      <c r="I24" s="192"/>
      <c r="J24" s="193"/>
      <c r="M24" s="181" t="s">
        <v>1213</v>
      </c>
      <c r="N24" s="740"/>
      <c r="O24" s="178"/>
      <c r="P24" s="182"/>
      <c r="Q24" s="170" t="str">
        <f t="shared" si="0"/>
        <v/>
      </c>
    </row>
    <row r="25" spans="2:17" s="36" customFormat="1" ht="18.75" customHeight="1">
      <c r="B25" s="30"/>
      <c r="C25" s="996" t="s">
        <v>1059</v>
      </c>
      <c r="D25" s="996"/>
      <c r="E25" s="996"/>
      <c r="F25" s="997"/>
      <c r="G25" s="190"/>
      <c r="H25" s="191"/>
      <c r="I25" s="192"/>
      <c r="J25" s="193"/>
      <c r="M25" s="181" t="s">
        <v>1214</v>
      </c>
      <c r="N25" s="740"/>
      <c r="O25" s="178"/>
      <c r="P25" s="182"/>
      <c r="Q25" s="170" t="str">
        <f t="shared" si="0"/>
        <v/>
      </c>
    </row>
    <row r="26" spans="2:17" s="36" customFormat="1" ht="18.75" customHeight="1" thickBot="1">
      <c r="B26" s="30"/>
      <c r="C26" s="998" t="s">
        <v>1060</v>
      </c>
      <c r="D26" s="998"/>
      <c r="E26" s="998"/>
      <c r="F26" s="999"/>
      <c r="G26" s="194"/>
      <c r="H26" s="195"/>
      <c r="I26" s="196"/>
      <c r="J26" s="197"/>
      <c r="M26" s="198" t="s">
        <v>1972</v>
      </c>
      <c r="O26" s="199"/>
      <c r="P26" s="200"/>
      <c r="Q26" s="170" t="str">
        <f t="shared" si="0"/>
        <v/>
      </c>
    </row>
    <row r="27" spans="2:17" s="36" customFormat="1" ht="18.75" customHeight="1" thickTop="1">
      <c r="C27" s="1020" t="str">
        <f>IF(AND(D14="No",OR(G23&gt;0,I23&gt;0)),"Indicó que NO cuentan con Servicio de Internet en el punto 2.",(IF(AND(D14="",OR(G23&gt;0,I23&gt;0)),"Indicar que tienen Servicio de  Internet en el punto 2.",(IF(AND(D14="Sí",OR(H23&gt;0,J23&gt;0),AND(G23=0,I23=0)),"Indicó que cuentan con Servicio de Internet en el punto 2, pero ninguna computadora conectada a Internet.","")))))</f>
        <v/>
      </c>
      <c r="D27" s="1020"/>
      <c r="E27" s="1020"/>
      <c r="F27" s="1020"/>
      <c r="G27" s="1020"/>
      <c r="H27" s="1020"/>
      <c r="I27" s="1020"/>
      <c r="J27" s="1020"/>
      <c r="M27" s="198" t="s">
        <v>4606</v>
      </c>
      <c r="N27" s="742" t="str">
        <f>IF(AND(D37="Sí",OR(O27="",O27=0)),"***",IF(AND(O27&gt;0,OR(D37="No",D37="")),"++",""))</f>
        <v/>
      </c>
      <c r="O27" s="199"/>
      <c r="P27" s="200"/>
      <c r="Q27" s="170" t="str">
        <f t="shared" si="0"/>
        <v/>
      </c>
    </row>
    <row r="28" spans="2:17" s="36" customFormat="1" ht="18.75" customHeight="1" thickBot="1">
      <c r="C28" s="1021"/>
      <c r="D28" s="1021"/>
      <c r="E28" s="1021"/>
      <c r="F28" s="1021"/>
      <c r="G28" s="1021"/>
      <c r="H28" s="1021"/>
      <c r="I28" s="1021"/>
      <c r="J28" s="1021"/>
      <c r="M28" s="204" t="s">
        <v>4561</v>
      </c>
      <c r="N28" s="744"/>
      <c r="O28" s="205"/>
      <c r="P28" s="206"/>
      <c r="Q28" s="170" t="str">
        <f t="shared" si="0"/>
        <v/>
      </c>
    </row>
    <row r="29" spans="2:17" s="36" customFormat="1" ht="18.75" customHeight="1" thickTop="1">
      <c r="B29" s="159" t="s">
        <v>981</v>
      </c>
      <c r="C29" s="201" t="s">
        <v>4042</v>
      </c>
      <c r="D29" s="202"/>
      <c r="E29" s="202"/>
      <c r="F29" s="118"/>
      <c r="G29" s="203"/>
      <c r="H29" s="203"/>
      <c r="I29" s="121"/>
      <c r="M29" s="746" t="str">
        <f>IF(N21="**","** Indicó que cuentan con Servicio de Biblioteca, pero no indica espacio físico.","")</f>
        <v/>
      </c>
      <c r="N29" s="175"/>
      <c r="O29" s="722"/>
      <c r="P29" s="745"/>
      <c r="Q29" s="170"/>
    </row>
    <row r="30" spans="2:17" s="36" customFormat="1" ht="18.75" customHeight="1">
      <c r="B30" s="30"/>
      <c r="C30" s="122" t="str">
        <f>IF((D30="Sí"),"1",(IF((D30="No"),"2","")))</f>
        <v/>
      </c>
      <c r="D30" s="113"/>
      <c r="E30" s="207" t="str">
        <f>IF(D30="Sí","Indique nombre y código presupuestario de la institución con la que se comparte","")</f>
        <v/>
      </c>
      <c r="F30" s="121"/>
      <c r="G30" s="121"/>
      <c r="H30" s="121"/>
      <c r="I30" s="208"/>
      <c r="M30" s="746" t="str">
        <f>IF(N27="***","*** Indicó que cuentan con Sala de Lactancia, pero no indica espacio físico.",(IF(N27="++","++ Indicó datos en espacio físico, pero en el punto 6, seleccionó la opción No o la dejó en blanco.","")))</f>
        <v/>
      </c>
      <c r="N30" s="175"/>
      <c r="O30" s="722"/>
      <c r="P30" s="745"/>
      <c r="Q30" s="170"/>
    </row>
    <row r="31" spans="2:17" s="36" customFormat="1" ht="18.75" customHeight="1">
      <c r="B31" s="30"/>
      <c r="C31" s="203"/>
      <c r="D31" s="1022"/>
      <c r="E31" s="1023"/>
      <c r="F31" s="1023"/>
      <c r="G31" s="1023"/>
      <c r="H31" s="1023"/>
      <c r="I31" s="1024"/>
      <c r="J31" s="210"/>
      <c r="L31" s="153" t="s">
        <v>1202</v>
      </c>
    </row>
    <row r="32" spans="2:17" s="36" customFormat="1" ht="18.75" customHeight="1">
      <c r="B32" s="30"/>
      <c r="C32" s="203"/>
      <c r="D32" s="1022"/>
      <c r="E32" s="1023"/>
      <c r="F32" s="1023"/>
      <c r="G32" s="1023"/>
      <c r="H32" s="1023"/>
      <c r="I32" s="1024"/>
      <c r="J32" s="210"/>
      <c r="L32" s="950"/>
      <c r="M32" s="951"/>
      <c r="N32" s="951"/>
      <c r="O32" s="951"/>
      <c r="P32" s="952"/>
      <c r="Q32" s="211"/>
    </row>
    <row r="33" spans="1:17" s="36" customFormat="1" ht="18.75" customHeight="1">
      <c r="B33" s="30"/>
      <c r="C33" s="203"/>
      <c r="D33" s="1022"/>
      <c r="E33" s="1023"/>
      <c r="F33" s="1023"/>
      <c r="G33" s="1023"/>
      <c r="H33" s="1023"/>
      <c r="I33" s="1024"/>
      <c r="J33" s="210"/>
      <c r="K33" s="30"/>
      <c r="L33" s="953"/>
      <c r="M33" s="954"/>
      <c r="N33" s="954"/>
      <c r="O33" s="954"/>
      <c r="P33" s="955"/>
      <c r="Q33" s="211"/>
    </row>
    <row r="34" spans="1:17" s="36" customFormat="1" ht="19.5" customHeight="1">
      <c r="B34" s="30"/>
      <c r="C34" s="203"/>
      <c r="D34" s="1022"/>
      <c r="E34" s="1023"/>
      <c r="F34" s="1023"/>
      <c r="G34" s="1023"/>
      <c r="H34" s="1023"/>
      <c r="I34" s="1024"/>
      <c r="J34" s="210"/>
      <c r="K34" s="30"/>
      <c r="L34" s="953"/>
      <c r="M34" s="954"/>
      <c r="N34" s="954"/>
      <c r="O34" s="954"/>
      <c r="P34" s="955"/>
      <c r="Q34" s="211"/>
    </row>
    <row r="35" spans="1:17" s="36" customFormat="1" ht="19.5" customHeight="1">
      <c r="B35" s="30"/>
      <c r="C35" s="106"/>
      <c r="D35" s="106"/>
      <c r="E35" s="106"/>
      <c r="F35" s="106"/>
      <c r="G35" s="106"/>
      <c r="H35" s="30"/>
      <c r="I35" s="30"/>
      <c r="J35" s="30"/>
      <c r="K35" s="30"/>
      <c r="L35" s="953"/>
      <c r="M35" s="954"/>
      <c r="N35" s="954"/>
      <c r="O35" s="954"/>
      <c r="P35" s="955"/>
      <c r="Q35" s="211"/>
    </row>
    <row r="36" spans="1:17" ht="19.5" customHeight="1">
      <c r="A36" s="36"/>
      <c r="B36" s="159" t="s">
        <v>982</v>
      </c>
      <c r="C36" s="201" t="s">
        <v>4959</v>
      </c>
      <c r="L36" s="956"/>
      <c r="M36" s="957"/>
      <c r="N36" s="957"/>
      <c r="O36" s="957"/>
      <c r="P36" s="958"/>
      <c r="Q36" s="211"/>
    </row>
    <row r="37" spans="1:17" ht="19.5" customHeight="1">
      <c r="C37" s="110" t="str">
        <f>IF((D37="Sí"),"1",(IF(D37="No","2","")))</f>
        <v/>
      </c>
      <c r="D37" s="113"/>
      <c r="E37" s="712" t="str">
        <f>IF(D37="Sí","Indique lo que se le solicita en el punto 6",IF(D37="No","Seleccione el o los motivos por los que no se ha habilitado:",""))</f>
        <v/>
      </c>
      <c r="K37" s="36"/>
      <c r="M37" s="36"/>
      <c r="N37" s="36"/>
      <c r="O37" s="36"/>
      <c r="P37" s="36"/>
      <c r="Q37" s="36"/>
    </row>
    <row r="38" spans="1:17" ht="19.5" customHeight="1">
      <c r="D38" s="709" t="str">
        <f>IF((E38="X"),"1","")</f>
        <v/>
      </c>
      <c r="E38" s="715"/>
      <c r="F38" s="711" t="str">
        <f>IF($D$37="No","Falta de presupuesto.","")</f>
        <v/>
      </c>
      <c r="M38" s="36"/>
      <c r="N38" s="36"/>
      <c r="O38" s="36"/>
      <c r="P38" s="36"/>
      <c r="Q38" s="36"/>
    </row>
    <row r="39" spans="1:17" ht="19.5" customHeight="1">
      <c r="B39" s="36"/>
      <c r="C39" s="36"/>
      <c r="D39" s="709" t="str">
        <f>IF((E39="X"),"2","")</f>
        <v/>
      </c>
      <c r="E39" s="715"/>
      <c r="F39" s="711" t="str">
        <f>IF($D$37="No","No es necesario por la cantidad de mujeres que asisten a las instalaciones físicas.","")</f>
        <v/>
      </c>
      <c r="M39" s="36"/>
      <c r="N39" s="36"/>
      <c r="O39" s="212"/>
      <c r="P39" s="213"/>
      <c r="Q39" s="36"/>
    </row>
    <row r="40" spans="1:17">
      <c r="B40" s="36"/>
      <c r="C40" s="36"/>
      <c r="D40" s="709" t="str">
        <f>IF((E40="X"),"3","")</f>
        <v/>
      </c>
      <c r="E40" s="715"/>
      <c r="F40" s="711" t="str">
        <f>IF($D$37="No","Desconocimiento de la normativa jurídica *.","")</f>
        <v/>
      </c>
      <c r="M40" s="36"/>
      <c r="N40" s="36"/>
      <c r="O40" s="146"/>
      <c r="P40" s="214"/>
      <c r="Q40" s="36"/>
    </row>
    <row r="41" spans="1:17">
      <c r="B41" s="36"/>
      <c r="C41" s="36"/>
      <c r="D41" s="110"/>
      <c r="F41" s="989" t="str">
        <f>IF($D$37="No","* Artículo 100 del Código de Trabajo, Ley de Fomento a la Lactancia Materna, Reglamento a la Ley de Fomento a la Lactancia Materna, Ley N°7430, Decreto Ejecutivo 24576.","")</f>
        <v/>
      </c>
      <c r="G41" s="989"/>
      <c r="H41" s="989"/>
      <c r="I41" s="989"/>
      <c r="J41" s="989"/>
      <c r="K41" s="989"/>
      <c r="M41" s="36"/>
      <c r="N41" s="36"/>
      <c r="O41" s="146"/>
      <c r="P41" s="214"/>
      <c r="Q41" s="36"/>
    </row>
    <row r="42" spans="1:17">
      <c r="B42" s="36"/>
      <c r="C42" s="36"/>
      <c r="F42" s="989"/>
      <c r="G42" s="989"/>
      <c r="H42" s="989"/>
      <c r="I42" s="989"/>
      <c r="J42" s="989"/>
      <c r="K42" s="989"/>
      <c r="M42" s="36"/>
      <c r="N42" s="36"/>
      <c r="O42" s="146"/>
      <c r="P42" s="214"/>
      <c r="Q42" s="36"/>
    </row>
    <row r="43" spans="1:17">
      <c r="B43" s="36"/>
      <c r="C43" s="36"/>
      <c r="D43" s="36"/>
      <c r="E43" s="710"/>
      <c r="F43" s="989"/>
      <c r="G43" s="989"/>
      <c r="H43" s="989"/>
      <c r="I43" s="989"/>
      <c r="J43" s="989"/>
      <c r="K43" s="989"/>
      <c r="M43" s="36"/>
      <c r="N43" s="36"/>
      <c r="O43" s="146"/>
      <c r="P43" s="214"/>
      <c r="Q43" s="36"/>
    </row>
    <row r="44" spans="1:17">
      <c r="B44" s="36"/>
      <c r="C44" s="36"/>
      <c r="D44" s="36"/>
      <c r="E44" s="36"/>
      <c r="F44" s="36"/>
      <c r="G44" s="36"/>
      <c r="M44" s="36"/>
      <c r="N44" s="36"/>
      <c r="O44" s="212"/>
      <c r="P44" s="213"/>
      <c r="Q44" s="36"/>
    </row>
    <row r="45" spans="1:17">
      <c r="B45" s="36"/>
      <c r="C45" s="36"/>
      <c r="D45" s="36"/>
      <c r="E45" s="36"/>
      <c r="F45" s="36"/>
      <c r="G45" s="36"/>
      <c r="M45" s="36"/>
      <c r="N45" s="36"/>
      <c r="O45" s="123"/>
      <c r="P45" s="36"/>
      <c r="Q45" s="36"/>
    </row>
    <row r="46" spans="1:17">
      <c r="B46" s="36"/>
      <c r="C46" s="36"/>
      <c r="D46" s="36"/>
      <c r="E46" s="36"/>
      <c r="F46" s="36"/>
      <c r="G46" s="36"/>
      <c r="H46" s="203"/>
      <c r="I46" s="215"/>
      <c r="J46" s="215"/>
      <c r="K46" s="215"/>
      <c r="M46" s="36"/>
      <c r="N46" s="36"/>
      <c r="O46" s="123"/>
      <c r="P46" s="36"/>
      <c r="Q46" s="36"/>
    </row>
    <row r="47" spans="1:17">
      <c r="B47" s="36"/>
      <c r="C47" s="36"/>
      <c r="D47" s="36"/>
      <c r="E47" s="36"/>
      <c r="F47" s="36"/>
      <c r="G47" s="36"/>
      <c r="H47" s="203"/>
      <c r="I47" s="215"/>
      <c r="J47" s="215"/>
      <c r="K47" s="215"/>
      <c r="M47" s="36"/>
      <c r="N47" s="36"/>
      <c r="O47" s="123"/>
      <c r="P47" s="36"/>
      <c r="Q47" s="36"/>
    </row>
    <row r="48" spans="1:17">
      <c r="B48" s="36"/>
      <c r="C48" s="36"/>
      <c r="D48" s="36"/>
      <c r="E48" s="36"/>
      <c r="F48" s="36"/>
      <c r="G48" s="36"/>
      <c r="H48" s="203"/>
      <c r="I48" s="215"/>
      <c r="J48" s="215"/>
      <c r="K48" s="215"/>
      <c r="M48" s="36"/>
      <c r="N48" s="36"/>
      <c r="O48" s="123"/>
      <c r="P48" s="36"/>
      <c r="Q48" s="36"/>
    </row>
    <row r="49" spans="2:17">
      <c r="B49" s="36"/>
      <c r="C49" s="36"/>
      <c r="D49" s="36"/>
      <c r="E49" s="36"/>
      <c r="F49" s="36"/>
      <c r="G49" s="36"/>
      <c r="H49" s="118"/>
      <c r="I49" s="118"/>
      <c r="J49" s="118"/>
      <c r="K49" s="36"/>
      <c r="M49" s="36"/>
      <c r="O49" s="123"/>
      <c r="P49" s="36"/>
      <c r="Q49" s="36"/>
    </row>
    <row r="50" spans="2:17">
      <c r="B50" s="36"/>
      <c r="C50" s="36"/>
      <c r="D50" s="36"/>
      <c r="E50" s="36"/>
      <c r="F50" s="36"/>
      <c r="G50" s="36"/>
    </row>
    <row r="51" spans="2:17">
      <c r="B51" s="36"/>
      <c r="C51" s="36"/>
      <c r="D51" s="36"/>
      <c r="E51" s="36"/>
      <c r="F51" s="36"/>
      <c r="G51" s="36"/>
    </row>
    <row r="52" spans="2:17">
      <c r="B52" s="36"/>
      <c r="C52" s="36"/>
      <c r="D52" s="36"/>
      <c r="E52" s="36"/>
      <c r="F52" s="36"/>
      <c r="G52" s="36"/>
    </row>
    <row r="53" spans="2:17">
      <c r="B53" s="36"/>
      <c r="C53" s="36"/>
      <c r="D53" s="36"/>
      <c r="E53" s="36"/>
      <c r="F53" s="36"/>
      <c r="G53" s="36"/>
    </row>
    <row r="54" spans="2:17">
      <c r="B54" s="36"/>
      <c r="C54" s="36"/>
      <c r="D54" s="36"/>
      <c r="E54" s="36"/>
      <c r="F54" s="36"/>
      <c r="G54" s="36"/>
    </row>
  </sheetData>
  <sheetProtection algorithmName="SHA-512" hashValue="TBi61ewbkj2VqI1OYdh0Hu1h3auOszQvu/JcCoaGMS7Xj5sv5Q4vurmwec4BWACCTlPuKaC2fTjIS1DRs5tvtw==" saltValue="kBGKWmFnn5f2e+vuTjufaw==" spinCount="100000" sheet="1" objects="1" scenarios="1"/>
  <mergeCells count="23">
    <mergeCell ref="D33:I33"/>
    <mergeCell ref="D34:I34"/>
    <mergeCell ref="B2:P2"/>
    <mergeCell ref="M5:M6"/>
    <mergeCell ref="O5:O6"/>
    <mergeCell ref="P5:P6"/>
    <mergeCell ref="C5:J8"/>
    <mergeCell ref="O1:P1"/>
    <mergeCell ref="F41:K43"/>
    <mergeCell ref="I20:I22"/>
    <mergeCell ref="J20:J22"/>
    <mergeCell ref="C24:F24"/>
    <mergeCell ref="C25:F25"/>
    <mergeCell ref="C26:F26"/>
    <mergeCell ref="C18:F22"/>
    <mergeCell ref="G18:H19"/>
    <mergeCell ref="I18:J19"/>
    <mergeCell ref="G20:G22"/>
    <mergeCell ref="H20:H22"/>
    <mergeCell ref="C27:J28"/>
    <mergeCell ref="L32:P36"/>
    <mergeCell ref="D31:I31"/>
    <mergeCell ref="D32:I32"/>
  </mergeCells>
  <conditionalFormatting sqref="Q7:Q26 Q28:Q30">
    <cfRule type="cellIs" dxfId="11" priority="15" operator="equal">
      <formula>"Error!"</formula>
    </cfRule>
  </conditionalFormatting>
  <conditionalFormatting sqref="O10:P10">
    <cfRule type="cellIs" dxfId="10" priority="14" operator="equal">
      <formula>0</formula>
    </cfRule>
  </conditionalFormatting>
  <conditionalFormatting sqref="O7:P7">
    <cfRule type="cellIs" dxfId="9" priority="13" operator="equal">
      <formula>0</formula>
    </cfRule>
  </conditionalFormatting>
  <conditionalFormatting sqref="G23:J23">
    <cfRule type="cellIs" dxfId="8" priority="12" operator="equal">
      <formula>0</formula>
    </cfRule>
  </conditionalFormatting>
  <conditionalFormatting sqref="Q27">
    <cfRule type="cellIs" dxfId="7" priority="9" operator="equal">
      <formula>"Error!"</formula>
    </cfRule>
  </conditionalFormatting>
  <conditionalFormatting sqref="E38:E40">
    <cfRule type="expression" dxfId="6" priority="5">
      <formula>$D$37="No"</formula>
    </cfRule>
  </conditionalFormatting>
  <conditionalFormatting sqref="D9">
    <cfRule type="containsBlanks" dxfId="5" priority="4">
      <formula>LEN(TRIM(D9))=0</formula>
    </cfRule>
  </conditionalFormatting>
  <conditionalFormatting sqref="D30">
    <cfRule type="containsBlanks" dxfId="4" priority="3">
      <formula>LEN(TRIM(D30))=0</formula>
    </cfRule>
  </conditionalFormatting>
  <conditionalFormatting sqref="D37">
    <cfRule type="containsBlanks" dxfId="3" priority="1">
      <formula>LEN(TRIM(D37))=0</formula>
    </cfRule>
  </conditionalFormatting>
  <dataValidations count="3">
    <dataValidation type="whole" operator="greaterThanOrEqual" allowBlank="1" showInputMessage="1" showErrorMessage="1" sqref="G23:J26 O7:P30">
      <formula1>0</formula1>
    </dataValidation>
    <dataValidation type="list" allowBlank="1" showInputMessage="1" showErrorMessage="1" sqref="D30 D9 D12:D15 D37">
      <formula1>sino</formula1>
    </dataValidation>
    <dataValidation type="list" allowBlank="1" showInputMessage="1" showErrorMessage="1" sqref="E38:E40">
      <formula1>MARCA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scale="61" orientation="landscape" r:id="rId1"/>
  <headerFooter scaleWithDoc="0">
    <oddFooter>&amp;R&amp;"Goudy,Negrita Cursiva"Académica Diurna&amp;"Goudy,Cursiva", página 15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P54"/>
  <sheetViews>
    <sheetView showGridLines="0" showRuler="0" zoomScale="90" zoomScaleNormal="90" zoomScaleSheetLayoutView="90" zoomScalePageLayoutView="86" workbookViewId="0">
      <selection activeCell="J1" sqref="J1:K1"/>
    </sheetView>
  </sheetViews>
  <sheetFormatPr baseColWidth="10" defaultRowHeight="14.25"/>
  <cols>
    <col min="1" max="1" width="4.7109375" style="30" customWidth="1"/>
    <col min="2" max="2" width="3.5703125" style="30" customWidth="1"/>
    <col min="3" max="3" width="5.7109375" style="30" customWidth="1"/>
    <col min="4" max="4" width="52" style="30" customWidth="1"/>
    <col min="5" max="5" width="10.140625" style="30" customWidth="1"/>
    <col min="6" max="6" width="4.7109375" style="30" customWidth="1"/>
    <col min="7" max="7" width="3.5703125" style="30" customWidth="1"/>
    <col min="8" max="8" width="5.7109375" style="30" customWidth="1"/>
    <col min="9" max="9" width="33.140625" style="30" customWidth="1"/>
    <col min="10" max="11" width="13.85546875" style="30" customWidth="1"/>
    <col min="12" max="12" width="23.28515625" style="30" customWidth="1"/>
    <col min="13" max="16384" width="11.42578125" style="30"/>
  </cols>
  <sheetData>
    <row r="1" spans="1:16" s="36" customFormat="1" ht="18">
      <c r="A1" s="107" t="s">
        <v>4562</v>
      </c>
      <c r="B1" s="116"/>
      <c r="C1" s="116"/>
      <c r="D1" s="116"/>
      <c r="J1" s="861">
        <f>IF('Portada 1-con Código Presup.'!$M$2="",'Portada 2-sin Código Presup.'!$K$1,'Portada 1-con Código Presup.'!$M$2)</f>
        <v>0</v>
      </c>
      <c r="K1" s="862"/>
      <c r="L1" s="681"/>
    </row>
    <row r="2" spans="1:16" s="100" customFormat="1" ht="37.5" customHeight="1">
      <c r="A2" s="1025" t="s">
        <v>5666</v>
      </c>
      <c r="B2" s="1025"/>
      <c r="C2" s="1025"/>
      <c r="D2" s="1025"/>
      <c r="E2" s="1025"/>
      <c r="F2" s="1025"/>
      <c r="G2" s="1025"/>
      <c r="H2" s="1025"/>
      <c r="I2" s="1025"/>
      <c r="J2" s="1025"/>
      <c r="K2" s="1025"/>
      <c r="L2" s="1041"/>
    </row>
    <row r="3" spans="1:16" s="118" customFormat="1" ht="32.25" customHeight="1">
      <c r="A3" s="117" t="s">
        <v>4563</v>
      </c>
      <c r="F3" s="36"/>
      <c r="G3" s="36"/>
      <c r="H3" s="36"/>
      <c r="J3" s="119"/>
      <c r="K3" s="120" t="s">
        <v>1970</v>
      </c>
      <c r="L3" s="119"/>
      <c r="M3" s="119"/>
    </row>
    <row r="4" spans="1:16" ht="29.25" customHeight="1" thickBot="1">
      <c r="A4" s="111" t="s">
        <v>978</v>
      </c>
      <c r="B4" s="112" t="s">
        <v>4791</v>
      </c>
      <c r="C4" s="36"/>
      <c r="D4" s="36"/>
      <c r="E4" s="689"/>
      <c r="F4" s="36"/>
      <c r="G4" s="36"/>
      <c r="H4" s="36"/>
      <c r="I4" s="118"/>
      <c r="J4" s="119"/>
      <c r="K4" s="120"/>
      <c r="L4" s="119"/>
      <c r="M4" s="119"/>
      <c r="N4" s="118"/>
      <c r="O4" s="118"/>
    </row>
    <row r="5" spans="1:16" ht="18.75" customHeight="1">
      <c r="A5" s="34"/>
      <c r="B5" s="122" t="str">
        <f>IF((C5="X"),"1","")</f>
        <v/>
      </c>
      <c r="C5" s="113"/>
      <c r="D5" s="114" t="s">
        <v>4792</v>
      </c>
      <c r="E5" s="689"/>
      <c r="F5" s="111" t="s">
        <v>982</v>
      </c>
      <c r="G5" s="112"/>
      <c r="H5" s="1042" t="s">
        <v>4569</v>
      </c>
      <c r="I5" s="1043"/>
      <c r="J5" s="1046" t="s">
        <v>1230</v>
      </c>
      <c r="K5" s="1048" t="s">
        <v>1055</v>
      </c>
      <c r="M5" s="100"/>
    </row>
    <row r="6" spans="1:16" ht="18.75" customHeight="1" thickBot="1">
      <c r="A6" s="34"/>
      <c r="B6" s="122" t="str">
        <f>IF((C6="X"),"2","")</f>
        <v/>
      </c>
      <c r="C6" s="113"/>
      <c r="D6" s="114" t="s">
        <v>4793</v>
      </c>
      <c r="E6" s="689"/>
      <c r="F6" s="34"/>
      <c r="G6" s="36"/>
      <c r="H6" s="1044"/>
      <c r="I6" s="1045"/>
      <c r="J6" s="1047"/>
      <c r="K6" s="1049"/>
    </row>
    <row r="7" spans="1:16" ht="18.75" customHeight="1">
      <c r="A7" s="34"/>
      <c r="B7" s="122" t="str">
        <f>IF((C7="X"),"3","")</f>
        <v/>
      </c>
      <c r="C7" s="113"/>
      <c r="D7" s="114" t="s">
        <v>4794</v>
      </c>
      <c r="E7" s="689"/>
      <c r="F7" s="34"/>
      <c r="G7" s="36"/>
      <c r="H7" s="123" t="s">
        <v>4570</v>
      </c>
      <c r="I7" s="123"/>
      <c r="J7" s="124">
        <f>+J8+J9+J10</f>
        <v>0</v>
      </c>
      <c r="K7" s="125">
        <f>+K8+K9+K10</f>
        <v>0</v>
      </c>
    </row>
    <row r="8" spans="1:16" ht="18.75" customHeight="1">
      <c r="A8" s="34"/>
      <c r="B8" s="122" t="str">
        <f>IF((C8="X"),"4","")</f>
        <v/>
      </c>
      <c r="C8" s="113"/>
      <c r="D8" s="115" t="s">
        <v>4795</v>
      </c>
      <c r="E8" s="689"/>
      <c r="F8" s="34"/>
      <c r="G8" s="36"/>
      <c r="H8" s="126" t="s">
        <v>4571</v>
      </c>
      <c r="I8" s="127"/>
      <c r="J8" s="128"/>
      <c r="K8" s="129"/>
      <c r="L8" s="130" t="str">
        <f>IF(AND(OR(J8&gt;0),AND(K8="")),"¿Nada en buen estado?",IF(AND(OR(J8&gt;=0),AND(K8&gt;J8)),"Verifique la cantidad total",""))</f>
        <v/>
      </c>
      <c r="M8" s="100"/>
    </row>
    <row r="9" spans="1:16" ht="18.75" customHeight="1">
      <c r="A9" s="117"/>
      <c r="B9" s="689"/>
      <c r="C9" s="689"/>
      <c r="D9" s="689"/>
      <c r="E9" s="689"/>
      <c r="F9" s="34"/>
      <c r="G9" s="36"/>
      <c r="H9" s="131" t="s">
        <v>4572</v>
      </c>
      <c r="I9" s="132"/>
      <c r="J9" s="133"/>
      <c r="K9" s="134"/>
      <c r="L9" s="130" t="str">
        <f t="shared" ref="L9:L27" si="0">IF(AND(OR(J9&gt;0),AND(K9="")),"¿Nada en buen estado?",IF(AND(OR(J9&gt;=0),AND(K9&gt;J9)),"Verifique la cantidad total",""))</f>
        <v/>
      </c>
    </row>
    <row r="10" spans="1:16" ht="18.75" customHeight="1">
      <c r="A10" s="111" t="s">
        <v>979</v>
      </c>
      <c r="B10" s="112" t="s">
        <v>4796</v>
      </c>
      <c r="C10" s="36"/>
      <c r="D10" s="36"/>
      <c r="E10" s="121"/>
      <c r="F10" s="34"/>
      <c r="G10" s="36"/>
      <c r="H10" s="131" t="s">
        <v>4573</v>
      </c>
      <c r="I10" s="132"/>
      <c r="J10" s="133"/>
      <c r="K10" s="134"/>
      <c r="L10" s="130" t="str">
        <f t="shared" si="0"/>
        <v/>
      </c>
    </row>
    <row r="11" spans="1:16" ht="18.75" customHeight="1">
      <c r="A11" s="34"/>
      <c r="B11" s="122" t="str">
        <f>IF((C11="X"),"1","")</f>
        <v/>
      </c>
      <c r="C11" s="113"/>
      <c r="D11" s="115" t="s">
        <v>1036</v>
      </c>
      <c r="E11" s="121"/>
      <c r="F11" s="34"/>
      <c r="G11" s="36"/>
      <c r="H11" s="135" t="s">
        <v>4601</v>
      </c>
      <c r="I11" s="136"/>
      <c r="J11" s="137"/>
      <c r="K11" s="138"/>
      <c r="L11" s="130" t="str">
        <f t="shared" si="0"/>
        <v/>
      </c>
      <c r="P11" s="100"/>
    </row>
    <row r="12" spans="1:16" s="100" customFormat="1" ht="18.75" customHeight="1">
      <c r="A12" s="34"/>
      <c r="B12" s="122" t="str">
        <f>IF((C12="X"),"2","")</f>
        <v/>
      </c>
      <c r="C12" s="113"/>
      <c r="D12" s="115" t="s">
        <v>1037</v>
      </c>
      <c r="E12" s="121"/>
      <c r="F12" s="34"/>
      <c r="G12" s="36"/>
      <c r="H12" s="139" t="s">
        <v>1034</v>
      </c>
      <c r="I12" s="139"/>
      <c r="J12" s="140">
        <f>+J13+J14+J15</f>
        <v>0</v>
      </c>
      <c r="K12" s="141">
        <f>+K13+K14+K15</f>
        <v>0</v>
      </c>
      <c r="L12" s="130"/>
      <c r="M12" s="30"/>
      <c r="N12" s="30"/>
      <c r="O12" s="30"/>
      <c r="P12" s="30"/>
    </row>
    <row r="13" spans="1:16" ht="18.75" customHeight="1">
      <c r="A13" s="34"/>
      <c r="B13" s="122" t="str">
        <f>IF((C13="X"),"3","")</f>
        <v/>
      </c>
      <c r="C13" s="113"/>
      <c r="D13" s="115" t="s">
        <v>1038</v>
      </c>
      <c r="E13" s="121"/>
      <c r="F13" s="34"/>
      <c r="G13" s="36"/>
      <c r="H13" s="126" t="s">
        <v>4571</v>
      </c>
      <c r="I13" s="127"/>
      <c r="J13" s="128"/>
      <c r="K13" s="129"/>
      <c r="L13" s="130" t="str">
        <f t="shared" si="0"/>
        <v/>
      </c>
    </row>
    <row r="14" spans="1:16" ht="18.75" customHeight="1">
      <c r="A14" s="34"/>
      <c r="B14" s="122" t="str">
        <f>IF((C14="X"),"4","")</f>
        <v/>
      </c>
      <c r="C14" s="113"/>
      <c r="D14" s="115" t="s">
        <v>1039</v>
      </c>
      <c r="E14" s="121"/>
      <c r="F14" s="34"/>
      <c r="G14" s="36"/>
      <c r="H14" s="131" t="s">
        <v>4572</v>
      </c>
      <c r="I14" s="127"/>
      <c r="J14" s="128"/>
      <c r="K14" s="129"/>
      <c r="L14" s="130" t="str">
        <f t="shared" si="0"/>
        <v/>
      </c>
      <c r="P14" s="100"/>
    </row>
    <row r="15" spans="1:16" s="100" customFormat="1" ht="18.75" customHeight="1">
      <c r="A15" s="34" t="s">
        <v>4564</v>
      </c>
      <c r="B15" s="122" t="str">
        <f>IF((C15="X"),"5","")</f>
        <v/>
      </c>
      <c r="C15" s="113"/>
      <c r="D15" s="115" t="s">
        <v>4565</v>
      </c>
      <c r="E15" s="121"/>
      <c r="F15" s="34"/>
      <c r="G15" s="36"/>
      <c r="H15" s="142" t="s">
        <v>4573</v>
      </c>
      <c r="I15" s="143"/>
      <c r="J15" s="144"/>
      <c r="K15" s="145"/>
      <c r="L15" s="130" t="str">
        <f t="shared" si="0"/>
        <v/>
      </c>
      <c r="M15" s="30"/>
      <c r="N15" s="30"/>
      <c r="O15" s="30"/>
      <c r="P15" s="30"/>
    </row>
    <row r="16" spans="1:16" ht="18.75" customHeight="1">
      <c r="A16" s="34"/>
      <c r="B16" s="122" t="str">
        <f>IF((C16="X"),"6","")</f>
        <v/>
      </c>
      <c r="C16" s="113"/>
      <c r="D16" s="115" t="s">
        <v>4566</v>
      </c>
      <c r="E16" s="121"/>
      <c r="F16" s="34"/>
      <c r="G16" s="36"/>
      <c r="H16" s="139" t="s">
        <v>1033</v>
      </c>
      <c r="I16" s="139"/>
      <c r="J16" s="140">
        <f>+J17+J18+J19</f>
        <v>0</v>
      </c>
      <c r="K16" s="141">
        <f>+K17+K18+K19</f>
        <v>0</v>
      </c>
      <c r="L16" s="130" t="str">
        <f t="shared" si="0"/>
        <v/>
      </c>
    </row>
    <row r="17" spans="1:16" ht="18.75" customHeight="1">
      <c r="A17" s="34"/>
      <c r="B17" s="122" t="str">
        <f>IF((C17="X"),"7","")</f>
        <v/>
      </c>
      <c r="C17" s="113"/>
      <c r="D17" s="115" t="s">
        <v>4567</v>
      </c>
      <c r="E17" s="121"/>
      <c r="F17" s="34"/>
      <c r="G17" s="36"/>
      <c r="H17" s="126" t="s">
        <v>4574</v>
      </c>
      <c r="I17" s="127"/>
      <c r="J17" s="128"/>
      <c r="K17" s="129"/>
      <c r="L17" s="130" t="str">
        <f t="shared" si="0"/>
        <v/>
      </c>
    </row>
    <row r="18" spans="1:16" ht="18.75" customHeight="1">
      <c r="A18" s="34"/>
      <c r="B18" s="122" t="str">
        <f>IF((C18="X"),"8","")</f>
        <v/>
      </c>
      <c r="C18" s="113"/>
      <c r="D18" s="115" t="s">
        <v>4568</v>
      </c>
      <c r="E18" s="121"/>
      <c r="F18" s="34"/>
      <c r="G18" s="36"/>
      <c r="H18" s="131" t="s">
        <v>4770</v>
      </c>
      <c r="I18" s="127"/>
      <c r="J18" s="128"/>
      <c r="K18" s="129"/>
      <c r="L18" s="130" t="str">
        <f t="shared" si="0"/>
        <v/>
      </c>
    </row>
    <row r="19" spans="1:16" ht="18.75" customHeight="1">
      <c r="A19" s="34"/>
      <c r="B19" s="122" t="str">
        <f>IF((C19="X"),"9","")</f>
        <v/>
      </c>
      <c r="C19" s="113"/>
      <c r="D19" s="115" t="s">
        <v>4797</v>
      </c>
      <c r="E19" s="121"/>
      <c r="H19" s="142" t="s">
        <v>4575</v>
      </c>
      <c r="I19" s="143"/>
      <c r="J19" s="144"/>
      <c r="K19" s="145"/>
      <c r="L19" s="130" t="str">
        <f t="shared" si="0"/>
        <v/>
      </c>
      <c r="N19" s="100"/>
      <c r="O19" s="100"/>
    </row>
    <row r="20" spans="1:16" ht="18.75" customHeight="1">
      <c r="A20" s="34"/>
      <c r="B20" s="122" t="str">
        <f>IF((C20="X"),"10","")</f>
        <v/>
      </c>
      <c r="C20" s="113"/>
      <c r="D20" s="115" t="s">
        <v>4798</v>
      </c>
      <c r="E20" s="121"/>
      <c r="H20" s="139" t="s">
        <v>4576</v>
      </c>
      <c r="I20" s="139"/>
      <c r="J20" s="140">
        <f>+J21+J22+J23</f>
        <v>0</v>
      </c>
      <c r="K20" s="141">
        <f>+K21+K22+K23</f>
        <v>0</v>
      </c>
      <c r="L20" s="130"/>
    </row>
    <row r="21" spans="1:16" ht="18.75" customHeight="1">
      <c r="A21" s="34"/>
      <c r="B21" s="122" t="str">
        <f>IF((C21="X"),"11","")</f>
        <v/>
      </c>
      <c r="C21" s="113"/>
      <c r="D21" s="115" t="s">
        <v>1040</v>
      </c>
      <c r="E21" s="121"/>
      <c r="H21" s="126" t="s">
        <v>4574</v>
      </c>
      <c r="I21" s="127"/>
      <c r="J21" s="128"/>
      <c r="K21" s="129"/>
      <c r="L21" s="130" t="str">
        <f t="shared" si="0"/>
        <v/>
      </c>
    </row>
    <row r="22" spans="1:16" ht="18.75" customHeight="1">
      <c r="A22" s="34"/>
      <c r="B22" s="36"/>
      <c r="C22" s="123"/>
      <c r="D22" s="146"/>
      <c r="E22" s="121"/>
      <c r="F22" s="36"/>
      <c r="G22" s="36"/>
      <c r="H22" s="131" t="s">
        <v>4770</v>
      </c>
      <c r="I22" s="127"/>
      <c r="J22" s="128"/>
      <c r="K22" s="129"/>
      <c r="L22" s="130" t="str">
        <f t="shared" si="0"/>
        <v/>
      </c>
      <c r="N22" s="100"/>
      <c r="O22" s="100"/>
    </row>
    <row r="23" spans="1:16" ht="18.75" customHeight="1">
      <c r="A23" s="111" t="s">
        <v>980</v>
      </c>
      <c r="B23" s="112" t="s">
        <v>1044</v>
      </c>
      <c r="C23" s="123"/>
      <c r="D23" s="54"/>
      <c r="E23" s="121"/>
      <c r="H23" s="131" t="s">
        <v>4575</v>
      </c>
      <c r="I23" s="132"/>
      <c r="J23" s="133"/>
      <c r="K23" s="134"/>
      <c r="L23" s="130" t="str">
        <f t="shared" si="0"/>
        <v/>
      </c>
    </row>
    <row r="24" spans="1:16" ht="18.75" customHeight="1">
      <c r="A24" s="34"/>
      <c r="B24" s="122" t="str">
        <f>IF((C24="X"),"1","")</f>
        <v/>
      </c>
      <c r="C24" s="113"/>
      <c r="D24" s="115" t="s">
        <v>4799</v>
      </c>
      <c r="E24" s="121"/>
      <c r="G24" s="36"/>
      <c r="H24" s="139" t="s">
        <v>4598</v>
      </c>
      <c r="I24" s="139"/>
      <c r="J24" s="140">
        <f>+J25+J26+J27</f>
        <v>0</v>
      </c>
      <c r="K24" s="141">
        <f>+K25+K26+K27</f>
        <v>0</v>
      </c>
      <c r="L24" s="130"/>
    </row>
    <row r="25" spans="1:16" ht="18.75" customHeight="1">
      <c r="A25" s="34"/>
      <c r="B25" s="122" t="str">
        <f>IF((C25="X"),"2","")</f>
        <v/>
      </c>
      <c r="C25" s="113"/>
      <c r="D25" s="115" t="s">
        <v>1041</v>
      </c>
      <c r="E25" s="121"/>
      <c r="G25" s="36"/>
      <c r="H25" s="126" t="s">
        <v>4571</v>
      </c>
      <c r="I25" s="127"/>
      <c r="J25" s="128"/>
      <c r="K25" s="129"/>
      <c r="L25" s="130" t="str">
        <f t="shared" si="0"/>
        <v/>
      </c>
    </row>
    <row r="26" spans="1:16" ht="18.75" customHeight="1">
      <c r="A26" s="34"/>
      <c r="B26" s="122" t="str">
        <f>IF((C26="X"),"3","")</f>
        <v/>
      </c>
      <c r="C26" s="113"/>
      <c r="D26" s="115" t="s">
        <v>4800</v>
      </c>
      <c r="E26" s="121"/>
      <c r="G26" s="36"/>
      <c r="H26" s="131" t="s">
        <v>4572</v>
      </c>
      <c r="I26" s="127"/>
      <c r="J26" s="128"/>
      <c r="K26" s="129"/>
      <c r="L26" s="130" t="str">
        <f t="shared" si="0"/>
        <v/>
      </c>
    </row>
    <row r="27" spans="1:16" ht="18.75" customHeight="1" thickBot="1">
      <c r="A27" s="34"/>
      <c r="B27" s="122" t="str">
        <f>IF((C27="X"),"4","")</f>
        <v/>
      </c>
      <c r="C27" s="113"/>
      <c r="D27" s="115" t="s">
        <v>1042</v>
      </c>
      <c r="E27" s="121"/>
      <c r="G27" s="36"/>
      <c r="H27" s="149" t="s">
        <v>4573</v>
      </c>
      <c r="I27" s="150"/>
      <c r="J27" s="151"/>
      <c r="K27" s="152"/>
      <c r="L27" s="130" t="str">
        <f t="shared" si="0"/>
        <v/>
      </c>
    </row>
    <row r="28" spans="1:16" ht="18.75" customHeight="1">
      <c r="A28" s="34"/>
      <c r="B28" s="122" t="str">
        <f>IF((C28="X"),"5","")</f>
        <v/>
      </c>
      <c r="C28" s="113"/>
      <c r="D28" s="115" t="s">
        <v>1043</v>
      </c>
      <c r="E28" s="121"/>
      <c r="G28" s="36"/>
    </row>
    <row r="29" spans="1:16" ht="18.75" customHeight="1">
      <c r="A29" s="34"/>
      <c r="B29" s="122" t="str">
        <f>IF((C29="X"),"6","")</f>
        <v/>
      </c>
      <c r="C29" s="113"/>
      <c r="D29" s="115" t="s">
        <v>1035</v>
      </c>
      <c r="E29" s="121"/>
      <c r="H29" s="153" t="s">
        <v>1202</v>
      </c>
      <c r="J29" s="36"/>
    </row>
    <row r="30" spans="1:16" ht="18.75" customHeight="1">
      <c r="A30" s="34"/>
      <c r="C30" s="147"/>
      <c r="D30" s="690"/>
      <c r="E30" s="121"/>
      <c r="H30" s="1032"/>
      <c r="I30" s="1033"/>
      <c r="J30" s="1033"/>
      <c r="K30" s="1034"/>
      <c r="L30" s="691"/>
      <c r="M30" s="691"/>
      <c r="N30" s="691"/>
      <c r="O30" s="36"/>
      <c r="P30" s="36"/>
    </row>
    <row r="31" spans="1:16" ht="18.75" customHeight="1">
      <c r="A31" s="148" t="s">
        <v>981</v>
      </c>
      <c r="B31" s="112" t="s">
        <v>4801</v>
      </c>
      <c r="C31" s="123"/>
      <c r="D31" s="54"/>
      <c r="E31" s="121"/>
      <c r="H31" s="1035"/>
      <c r="I31" s="1036"/>
      <c r="J31" s="1036"/>
      <c r="K31" s="1037"/>
      <c r="L31" s="691"/>
      <c r="M31" s="691"/>
      <c r="N31" s="691"/>
      <c r="O31" s="36"/>
      <c r="P31" s="36"/>
    </row>
    <row r="32" spans="1:16" s="36" customFormat="1" ht="18.75" customHeight="1">
      <c r="A32" s="34"/>
      <c r="B32" s="122" t="str">
        <f>IF((C32="X"),"1","")</f>
        <v/>
      </c>
      <c r="C32" s="113"/>
      <c r="D32" s="115" t="s">
        <v>1045</v>
      </c>
      <c r="E32" s="121"/>
      <c r="H32" s="1035"/>
      <c r="I32" s="1036"/>
      <c r="J32" s="1036"/>
      <c r="K32" s="1037"/>
      <c r="L32" s="691"/>
      <c r="M32" s="691"/>
      <c r="N32" s="691"/>
    </row>
    <row r="33" spans="1:16" s="36" customFormat="1" ht="18.75" customHeight="1">
      <c r="A33" s="34"/>
      <c r="B33" s="122" t="str">
        <f>IF((C33="X"),"2","")</f>
        <v/>
      </c>
      <c r="C33" s="113"/>
      <c r="D33" s="115" t="s">
        <v>1046</v>
      </c>
      <c r="E33" s="121"/>
      <c r="H33" s="1035"/>
      <c r="I33" s="1036"/>
      <c r="J33" s="1036"/>
      <c r="K33" s="1037"/>
      <c r="L33" s="691"/>
      <c r="M33" s="691"/>
      <c r="N33" s="691"/>
    </row>
    <row r="34" spans="1:16" s="36" customFormat="1" ht="18.75" customHeight="1">
      <c r="A34" s="34"/>
      <c r="B34" s="122" t="str">
        <f>IF((C34="X"),"3","")</f>
        <v/>
      </c>
      <c r="C34" s="113"/>
      <c r="D34" s="115" t="s">
        <v>1047</v>
      </c>
      <c r="E34" s="121"/>
      <c r="H34" s="1035"/>
      <c r="I34" s="1036"/>
      <c r="J34" s="1036"/>
      <c r="K34" s="1037"/>
      <c r="L34" s="691"/>
      <c r="M34" s="691"/>
      <c r="N34" s="691"/>
    </row>
    <row r="35" spans="1:16" s="36" customFormat="1" ht="18.75" customHeight="1">
      <c r="A35" s="34"/>
      <c r="B35" s="122" t="str">
        <f>IF((C35="X"),"4","")</f>
        <v/>
      </c>
      <c r="C35" s="113"/>
      <c r="D35" s="115" t="s">
        <v>1048</v>
      </c>
      <c r="E35" s="121"/>
      <c r="H35" s="1035"/>
      <c r="I35" s="1036"/>
      <c r="J35" s="1036"/>
      <c r="K35" s="1037"/>
    </row>
    <row r="36" spans="1:16" s="36" customFormat="1" ht="18.75" customHeight="1">
      <c r="A36" s="34"/>
      <c r="B36" s="122" t="str">
        <f>IF((C36="X"),"5","")</f>
        <v/>
      </c>
      <c r="C36" s="113"/>
      <c r="D36" s="115" t="s">
        <v>4802</v>
      </c>
      <c r="H36" s="1038"/>
      <c r="I36" s="1039"/>
      <c r="J36" s="1039"/>
      <c r="K36" s="1040"/>
    </row>
    <row r="37" spans="1:16" s="36" customFormat="1" ht="18.75" customHeight="1">
      <c r="A37" s="30"/>
      <c r="B37" s="122" t="str">
        <f>IF((C37="X"),"6","")</f>
        <v/>
      </c>
      <c r="C37" s="113"/>
      <c r="D37" s="115" t="s">
        <v>4803</v>
      </c>
      <c r="E37" s="30"/>
    </row>
    <row r="38" spans="1:16" s="36" customFormat="1" ht="18.75" customHeight="1"/>
    <row r="39" spans="1:16" s="36" customFormat="1" ht="18.75" customHeight="1"/>
    <row r="40" spans="1:16" s="36" customFormat="1" ht="18.75" customHeight="1"/>
    <row r="41" spans="1:16" s="36" customFormat="1" ht="18.75" customHeight="1"/>
    <row r="42" spans="1:16" s="36" customFormat="1" ht="18.75" customHeight="1">
      <c r="C42" s="154"/>
      <c r="D42" s="121"/>
      <c r="E42" s="121"/>
    </row>
    <row r="43" spans="1:16" s="36" customFormat="1" ht="18.75" customHeight="1">
      <c r="A43" s="110"/>
      <c r="B43" s="110"/>
      <c r="C43" s="30"/>
      <c r="D43" s="30"/>
      <c r="E43" s="121"/>
    </row>
    <row r="44" spans="1:16" s="36" customFormat="1" ht="18.75" customHeight="1">
      <c r="A44" s="30"/>
      <c r="B44" s="30"/>
      <c r="C44" s="30"/>
      <c r="D44" s="30"/>
      <c r="E44" s="121"/>
    </row>
    <row r="45" spans="1:16" s="36" customFormat="1" ht="18.75" customHeight="1">
      <c r="A45" s="30"/>
      <c r="B45" s="30"/>
      <c r="C45" s="30"/>
      <c r="D45" s="30"/>
      <c r="E45" s="121"/>
    </row>
    <row r="46" spans="1:16" s="36" customFormat="1" ht="18.75" customHeight="1">
      <c r="A46" s="30"/>
      <c r="B46" s="30"/>
      <c r="C46" s="30"/>
      <c r="D46" s="30"/>
      <c r="E46" s="155"/>
    </row>
    <row r="47" spans="1:16" s="36" customFormat="1" ht="18.75" customHeight="1">
      <c r="A47" s="30"/>
      <c r="B47" s="30"/>
      <c r="C47" s="30"/>
      <c r="D47" s="30"/>
      <c r="E47" s="155"/>
      <c r="P47" s="30"/>
    </row>
    <row r="48" spans="1:16" s="36" customFormat="1" ht="18.75" customHeight="1">
      <c r="A48" s="30"/>
      <c r="B48" s="30"/>
      <c r="C48" s="30"/>
      <c r="D48" s="30"/>
      <c r="E48" s="30"/>
      <c r="P48" s="30"/>
    </row>
    <row r="49" spans="7:15" ht="18.75" customHeight="1">
      <c r="G49" s="36"/>
      <c r="H49" s="36"/>
      <c r="I49" s="36"/>
      <c r="J49" s="36"/>
      <c r="K49" s="36"/>
      <c r="L49" s="36"/>
      <c r="M49" s="36"/>
      <c r="N49" s="36"/>
      <c r="O49" s="36"/>
    </row>
    <row r="50" spans="7:15" ht="18.75" customHeight="1">
      <c r="H50" s="36"/>
      <c r="I50" s="36"/>
      <c r="J50" s="36"/>
      <c r="K50" s="36"/>
      <c r="L50" s="36"/>
      <c r="M50" s="36"/>
      <c r="N50" s="36"/>
      <c r="O50" s="36"/>
    </row>
    <row r="51" spans="7:15" ht="18.75" customHeight="1">
      <c r="H51" s="36"/>
      <c r="I51" s="36"/>
      <c r="J51" s="36"/>
      <c r="K51" s="36"/>
      <c r="L51" s="36"/>
      <c r="M51" s="36"/>
      <c r="N51" s="36"/>
      <c r="O51" s="36"/>
    </row>
    <row r="52" spans="7:15" ht="18.75" customHeight="1">
      <c r="H52" s="36"/>
      <c r="I52" s="36"/>
      <c r="J52" s="36"/>
      <c r="K52" s="36"/>
      <c r="L52" s="36"/>
      <c r="M52" s="36"/>
      <c r="N52" s="36"/>
      <c r="O52" s="36"/>
    </row>
    <row r="53" spans="7:15" ht="18.75" customHeight="1">
      <c r="H53" s="36"/>
      <c r="I53" s="36"/>
      <c r="J53" s="36"/>
      <c r="K53" s="36"/>
      <c r="L53" s="36"/>
      <c r="M53" s="36"/>
      <c r="N53" s="36"/>
      <c r="O53" s="36"/>
    </row>
    <row r="54" spans="7:15" ht="18.75" customHeight="1">
      <c r="H54" s="36"/>
      <c r="I54" s="36"/>
      <c r="J54" s="36"/>
      <c r="K54" s="36"/>
      <c r="L54" s="36"/>
      <c r="M54" s="36"/>
      <c r="N54" s="36"/>
      <c r="O54" s="36"/>
    </row>
  </sheetData>
  <sheetProtection algorithmName="SHA-512" hashValue="1hRAd/yhLnbR3kqbZQ5PhD6PRC3Hj2k7y5qQkXKQr35ru85W6fj+OgoQc4r0tpKjFQX+bQrG4cvI2iMvdgMIfg==" saltValue="TgV1KBN6NcDaKj4E8MWTaA==" spinCount="100000" sheet="1" objects="1" scenarios="1"/>
  <mergeCells count="6">
    <mergeCell ref="J1:K1"/>
    <mergeCell ref="H30:K36"/>
    <mergeCell ref="A2:L2"/>
    <mergeCell ref="H5:I6"/>
    <mergeCell ref="J5:J6"/>
    <mergeCell ref="K5:K6"/>
  </mergeCells>
  <conditionalFormatting sqref="L8:L27">
    <cfRule type="cellIs" dxfId="2" priority="8" operator="equal">
      <formula>"Error!"</formula>
    </cfRule>
  </conditionalFormatting>
  <conditionalFormatting sqref="J7:K7 J12:K12 J16:K16 J24:K24">
    <cfRule type="cellIs" dxfId="1" priority="3" operator="equal">
      <formula>0</formula>
    </cfRule>
  </conditionalFormatting>
  <conditionalFormatting sqref="J20:K20">
    <cfRule type="cellIs" dxfId="0" priority="1" operator="equal">
      <formula>0</formula>
    </cfRule>
  </conditionalFormatting>
  <dataValidations count="2">
    <dataValidation type="whole" operator="greaterThanOrEqual" allowBlank="1" showInputMessage="1" showErrorMessage="1" sqref="I21:I23 I25:I27 I17:I19 I8:I10 I13:I15 J7:K27">
      <formula1>0</formula1>
    </dataValidation>
    <dataValidation type="list" allowBlank="1" showInputMessage="1" showErrorMessage="1" sqref="C11:C21 C5:C8 C24:C29 C32:C37">
      <formula1>MARCA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scale="76" orientation="landscape" r:id="rId1"/>
  <headerFooter scaleWithDoc="0">
    <oddFooter>&amp;R&amp;"Goudy,Negrita Cursiva"Académica Diurna&amp;"Goudy,Cursiva", página 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filterMode="1">
    <tabColor rgb="FF3366FF"/>
  </sheetPr>
  <dimension ref="A1:AI233"/>
  <sheetViews>
    <sheetView zoomScale="80" zoomScaleNormal="80" workbookViewId="0">
      <pane ySplit="2" topLeftCell="A3" activePane="bottomLeft" state="frozen"/>
      <selection activeCell="F26" sqref="F26:F27"/>
      <selection pane="bottomLeft" activeCell="F26" sqref="F26:F27"/>
    </sheetView>
  </sheetViews>
  <sheetFormatPr baseColWidth="10" defaultRowHeight="15"/>
  <cols>
    <col min="1" max="1" width="8.28515625" style="5" customWidth="1"/>
    <col min="2" max="2" width="51.42578125" style="5" bestFit="1" customWidth="1"/>
    <col min="3" max="3" width="7.85546875" style="5" bestFit="1" customWidth="1"/>
    <col min="4" max="4" width="11.42578125" style="1"/>
    <col min="5" max="5" width="7.85546875" style="5" bestFit="1" customWidth="1"/>
    <col min="6" max="6" width="8.140625" style="5" bestFit="1" customWidth="1"/>
    <col min="7" max="7" width="52.5703125" style="5" customWidth="1"/>
    <col min="8" max="8" width="19.7109375" style="5" bestFit="1" customWidth="1"/>
    <col min="9" max="9" width="8.140625" style="5" bestFit="1" customWidth="1"/>
    <col min="10" max="10" width="5.5703125" style="5" bestFit="1" customWidth="1"/>
    <col min="11" max="11" width="7.140625" style="5" bestFit="1" customWidth="1"/>
    <col min="12" max="12" width="6.140625" style="5" bestFit="1" customWidth="1"/>
    <col min="13" max="13" width="9.42578125" style="5" customWidth="1"/>
    <col min="14" max="16" width="12.42578125" style="5" customWidth="1"/>
    <col min="17" max="17" width="24.140625" style="5" bestFit="1" customWidth="1"/>
    <col min="18" max="18" width="10" style="5" bestFit="1" customWidth="1"/>
    <col min="19" max="19" width="36" style="5" bestFit="1" customWidth="1"/>
    <col min="20" max="21" width="13.85546875" style="5" customWidth="1"/>
    <col min="22" max="22" width="33.7109375" style="5" bestFit="1" customWidth="1"/>
    <col min="23" max="23" width="50.85546875" style="5" bestFit="1" customWidth="1"/>
    <col min="24" max="24" width="12.42578125" style="5" bestFit="1" customWidth="1"/>
    <col min="25" max="27" width="12.42578125" style="5" customWidth="1"/>
    <col min="28" max="16384" width="11.42578125" style="1"/>
  </cols>
  <sheetData>
    <row r="1" spans="1:35">
      <c r="A1" s="2">
        <v>1</v>
      </c>
      <c r="B1" s="2"/>
      <c r="C1" s="2">
        <v>2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</row>
    <row r="2" spans="1:35" s="4" customFormat="1">
      <c r="A2" s="3" t="s">
        <v>23</v>
      </c>
      <c r="B2" s="3" t="s">
        <v>24</v>
      </c>
      <c r="C2" s="3" t="s">
        <v>22</v>
      </c>
      <c r="E2" s="3" t="s">
        <v>22</v>
      </c>
      <c r="F2" s="3" t="s">
        <v>23</v>
      </c>
      <c r="G2" s="3" t="s">
        <v>24</v>
      </c>
      <c r="H2" s="3" t="s">
        <v>25</v>
      </c>
      <c r="I2" s="3" t="s">
        <v>26</v>
      </c>
      <c r="J2" s="3" t="s">
        <v>27</v>
      </c>
      <c r="K2" s="3" t="s">
        <v>28</v>
      </c>
      <c r="L2" s="3" t="s">
        <v>29</v>
      </c>
      <c r="M2" s="3" t="s">
        <v>1720</v>
      </c>
      <c r="N2" s="3" t="s">
        <v>30</v>
      </c>
      <c r="O2" s="3" t="s">
        <v>31</v>
      </c>
      <c r="P2" s="3" t="s">
        <v>32</v>
      </c>
      <c r="Q2" s="3" t="s">
        <v>33</v>
      </c>
      <c r="R2" s="3" t="s">
        <v>34</v>
      </c>
      <c r="S2" s="3" t="s">
        <v>35</v>
      </c>
      <c r="T2" s="3" t="s">
        <v>36</v>
      </c>
      <c r="U2" s="3" t="s">
        <v>37</v>
      </c>
      <c r="V2" s="3" t="s">
        <v>38</v>
      </c>
      <c r="W2" s="3" t="s">
        <v>39</v>
      </c>
      <c r="X2" s="3" t="s">
        <v>40</v>
      </c>
      <c r="Y2" s="7" t="s">
        <v>2012</v>
      </c>
      <c r="Z2" s="7" t="s">
        <v>2013</v>
      </c>
      <c r="AA2" s="7" t="s">
        <v>2014</v>
      </c>
      <c r="AB2" s="7" t="s">
        <v>2015</v>
      </c>
      <c r="AC2" s="7" t="s">
        <v>2016</v>
      </c>
      <c r="AD2" s="7" t="s">
        <v>2017</v>
      </c>
      <c r="AE2" s="7" t="s">
        <v>2018</v>
      </c>
      <c r="AF2" s="7" t="s">
        <v>2019</v>
      </c>
      <c r="AG2" s="7" t="s">
        <v>2020</v>
      </c>
      <c r="AH2" s="7" t="s">
        <v>2021</v>
      </c>
      <c r="AI2" s="4" t="s">
        <v>4047</v>
      </c>
    </row>
    <row r="3" spans="1:35" ht="15.75">
      <c r="B3" s="5" t="s">
        <v>2646</v>
      </c>
      <c r="C3" s="5" t="s">
        <v>942</v>
      </c>
      <c r="D3" s="9"/>
      <c r="E3" s="692" t="s">
        <v>1731</v>
      </c>
      <c r="F3" s="692" t="s">
        <v>1992</v>
      </c>
      <c r="G3" s="692" t="s">
        <v>5452</v>
      </c>
      <c r="H3" s="692" t="s">
        <v>4395</v>
      </c>
      <c r="I3" s="692" t="s">
        <v>6</v>
      </c>
      <c r="J3" s="692" t="s">
        <v>41</v>
      </c>
      <c r="K3" s="692" t="s">
        <v>12</v>
      </c>
      <c r="L3" s="692" t="s">
        <v>5</v>
      </c>
      <c r="M3" s="692" t="str">
        <f t="shared" ref="M3:M66" si="0">CONCATENATE(J3,"-",K3,"-",L3)</f>
        <v>1-09-03</v>
      </c>
      <c r="N3" s="692"/>
      <c r="O3" s="692"/>
      <c r="P3" s="692"/>
      <c r="Q3" s="762" t="s">
        <v>2026</v>
      </c>
      <c r="R3" s="762" t="s">
        <v>1052</v>
      </c>
      <c r="S3" s="762" t="s">
        <v>5916</v>
      </c>
      <c r="T3" s="762">
        <v>22036474</v>
      </c>
      <c r="U3" s="762">
        <v>22821609</v>
      </c>
      <c r="V3" s="762" t="s">
        <v>2027</v>
      </c>
      <c r="W3" s="762" t="s">
        <v>3699</v>
      </c>
      <c r="X3" s="692"/>
      <c r="Y3" s="761"/>
      <c r="Z3" s="10"/>
      <c r="AA3" s="10"/>
      <c r="AB3" s="10"/>
      <c r="AC3" s="8"/>
      <c r="AD3" s="8"/>
      <c r="AE3" s="8"/>
      <c r="AF3" s="8"/>
      <c r="AG3" s="761" t="s">
        <v>4493</v>
      </c>
      <c r="AH3" s="8"/>
      <c r="AI3" s="10"/>
    </row>
    <row r="4" spans="1:35" ht="15.75" hidden="1">
      <c r="B4" s="5" t="s">
        <v>1784</v>
      </c>
      <c r="C4" s="5" t="s">
        <v>1148</v>
      </c>
      <c r="D4" s="9"/>
      <c r="E4" s="692" t="s">
        <v>44</v>
      </c>
      <c r="F4" s="692" t="s">
        <v>1992</v>
      </c>
      <c r="G4" s="692" t="s">
        <v>1795</v>
      </c>
      <c r="H4" s="692" t="s">
        <v>4394</v>
      </c>
      <c r="I4" s="692" t="s">
        <v>4</v>
      </c>
      <c r="J4" s="692" t="s">
        <v>41</v>
      </c>
      <c r="K4" s="692" t="s">
        <v>3</v>
      </c>
      <c r="L4" s="692" t="s">
        <v>6</v>
      </c>
      <c r="M4" s="692" t="str">
        <f t="shared" si="0"/>
        <v>1-01-04</v>
      </c>
      <c r="N4" s="692"/>
      <c r="O4" s="692"/>
      <c r="P4" s="692"/>
      <c r="Q4" s="762" t="s">
        <v>1796</v>
      </c>
      <c r="R4" s="762" t="s">
        <v>1052</v>
      </c>
      <c r="S4" s="762" t="s">
        <v>2030</v>
      </c>
      <c r="T4" s="762">
        <v>22250029</v>
      </c>
      <c r="U4" s="762">
        <v>22831839</v>
      </c>
      <c r="V4" s="762" t="s">
        <v>1797</v>
      </c>
      <c r="W4" s="762" t="s">
        <v>5917</v>
      </c>
      <c r="X4" s="692"/>
      <c r="Y4" s="761"/>
      <c r="Z4" s="10"/>
      <c r="AA4" s="10"/>
      <c r="AB4" s="10"/>
      <c r="AC4" s="8"/>
      <c r="AD4" s="8"/>
      <c r="AE4" s="8"/>
      <c r="AF4" s="8"/>
      <c r="AG4" s="761"/>
      <c r="AH4" s="8"/>
      <c r="AI4" s="10"/>
    </row>
    <row r="5" spans="1:35" ht="15.75" hidden="1">
      <c r="B5" s="692" t="s">
        <v>1807</v>
      </c>
      <c r="C5" s="692" t="s">
        <v>1104</v>
      </c>
      <c r="D5" s="9"/>
      <c r="E5" s="692" t="s">
        <v>1108</v>
      </c>
      <c r="F5" s="692" t="s">
        <v>1992</v>
      </c>
      <c r="G5" s="692" t="s">
        <v>2031</v>
      </c>
      <c r="H5" s="692" t="s">
        <v>4394</v>
      </c>
      <c r="I5" s="692" t="s">
        <v>4</v>
      </c>
      <c r="J5" s="692" t="s">
        <v>41</v>
      </c>
      <c r="K5" s="692" t="s">
        <v>3</v>
      </c>
      <c r="L5" s="692" t="s">
        <v>6</v>
      </c>
      <c r="M5" s="692" t="str">
        <f t="shared" si="0"/>
        <v>1-01-04</v>
      </c>
      <c r="N5" s="692"/>
      <c r="O5" s="692"/>
      <c r="P5" s="692"/>
      <c r="Q5" s="762" t="s">
        <v>64</v>
      </c>
      <c r="R5" s="762" t="s">
        <v>1052</v>
      </c>
      <c r="S5" s="762" t="s">
        <v>5899</v>
      </c>
      <c r="T5" s="762">
        <v>22264111</v>
      </c>
      <c r="U5" s="762">
        <v>22274321</v>
      </c>
      <c r="V5" s="762" t="s">
        <v>3700</v>
      </c>
      <c r="W5" s="762" t="s">
        <v>2032</v>
      </c>
      <c r="X5" s="692"/>
      <c r="Y5" s="761"/>
      <c r="Z5" s="10"/>
      <c r="AA5" s="10"/>
      <c r="AB5" s="10"/>
      <c r="AC5" s="8"/>
      <c r="AD5" s="8"/>
      <c r="AE5" s="8"/>
      <c r="AF5" s="8"/>
      <c r="AG5" s="761"/>
      <c r="AH5" s="8"/>
      <c r="AI5" s="10"/>
    </row>
    <row r="6" spans="1:35" ht="15.75" hidden="1">
      <c r="B6" s="692" t="s">
        <v>3485</v>
      </c>
      <c r="C6" s="692" t="s">
        <v>346</v>
      </c>
      <c r="D6" s="9"/>
      <c r="E6" s="692" t="s">
        <v>1102</v>
      </c>
      <c r="F6" s="692" t="s">
        <v>1992</v>
      </c>
      <c r="G6" s="692" t="s">
        <v>1798</v>
      </c>
      <c r="H6" s="692" t="s">
        <v>4394</v>
      </c>
      <c r="I6" s="692" t="s">
        <v>5</v>
      </c>
      <c r="J6" s="692" t="s">
        <v>41</v>
      </c>
      <c r="K6" s="692" t="s">
        <v>3</v>
      </c>
      <c r="L6" s="692" t="s">
        <v>7</v>
      </c>
      <c r="M6" s="692" t="str">
        <f t="shared" si="0"/>
        <v>1-01-05</v>
      </c>
      <c r="N6" s="692"/>
      <c r="O6" s="692"/>
      <c r="P6" s="692"/>
      <c r="Q6" s="762" t="s">
        <v>72</v>
      </c>
      <c r="R6" s="762" t="s">
        <v>1052</v>
      </c>
      <c r="S6" s="762" t="s">
        <v>5913</v>
      </c>
      <c r="T6" s="762">
        <v>22530033</v>
      </c>
      <c r="U6" s="762">
        <v>22246205</v>
      </c>
      <c r="V6" s="762" t="s">
        <v>2041</v>
      </c>
      <c r="W6" s="762" t="s">
        <v>1799</v>
      </c>
      <c r="X6" s="692"/>
      <c r="Y6" s="761"/>
      <c r="Z6" s="10"/>
      <c r="AA6" s="10"/>
      <c r="AB6" s="10"/>
      <c r="AC6" s="8"/>
      <c r="AD6" s="8"/>
      <c r="AE6" s="8"/>
      <c r="AF6" s="8"/>
      <c r="AG6" s="761"/>
      <c r="AH6" s="8"/>
      <c r="AI6" s="10"/>
    </row>
    <row r="7" spans="1:35" ht="15.75">
      <c r="B7" s="692" t="s">
        <v>3516</v>
      </c>
      <c r="C7" s="692" t="s">
        <v>266</v>
      </c>
      <c r="D7" s="9"/>
      <c r="E7" s="692" t="s">
        <v>2052</v>
      </c>
      <c r="F7" s="692" t="s">
        <v>1992</v>
      </c>
      <c r="G7" s="692" t="s">
        <v>5453</v>
      </c>
      <c r="H7" s="692" t="s">
        <v>4395</v>
      </c>
      <c r="I7" s="692" t="s">
        <v>3</v>
      </c>
      <c r="J7" s="692" t="s">
        <v>41</v>
      </c>
      <c r="K7" s="692" t="s">
        <v>3</v>
      </c>
      <c r="L7" s="692" t="s">
        <v>11</v>
      </c>
      <c r="M7" s="692" t="str">
        <f t="shared" si="0"/>
        <v>1-01-08</v>
      </c>
      <c r="N7" s="692"/>
      <c r="O7" s="692"/>
      <c r="P7" s="692"/>
      <c r="Q7" s="762" t="s">
        <v>2053</v>
      </c>
      <c r="R7" s="762" t="s">
        <v>1052</v>
      </c>
      <c r="S7" s="762" t="s">
        <v>4902</v>
      </c>
      <c r="T7" s="762">
        <v>22201050</v>
      </c>
      <c r="U7" s="762">
        <v>22917871</v>
      </c>
      <c r="V7" s="762" t="s">
        <v>4903</v>
      </c>
      <c r="W7" s="762" t="s">
        <v>2054</v>
      </c>
      <c r="X7" s="692"/>
      <c r="Y7" s="761"/>
      <c r="Z7" s="10"/>
      <c r="AA7" s="10"/>
      <c r="AB7" s="10"/>
      <c r="AC7" s="8"/>
      <c r="AD7" s="8"/>
      <c r="AE7" s="8"/>
      <c r="AF7" s="8"/>
      <c r="AG7" s="761" t="s">
        <v>4493</v>
      </c>
      <c r="AH7" s="8"/>
      <c r="AI7" s="10"/>
    </row>
    <row r="8" spans="1:35" ht="15.75" hidden="1">
      <c r="B8" s="692" t="s">
        <v>3974</v>
      </c>
      <c r="C8" s="692" t="s">
        <v>242</v>
      </c>
      <c r="D8" s="9"/>
      <c r="E8" s="692" t="s">
        <v>59</v>
      </c>
      <c r="F8" s="692" t="s">
        <v>1992</v>
      </c>
      <c r="G8" s="692" t="s">
        <v>5454</v>
      </c>
      <c r="H8" s="692" t="s">
        <v>4395</v>
      </c>
      <c r="I8" s="692" t="s">
        <v>3</v>
      </c>
      <c r="J8" s="692" t="s">
        <v>41</v>
      </c>
      <c r="K8" s="692" t="s">
        <v>3</v>
      </c>
      <c r="L8" s="692" t="s">
        <v>11</v>
      </c>
      <c r="M8" s="692" t="str">
        <f t="shared" si="0"/>
        <v>1-01-08</v>
      </c>
      <c r="N8" s="692"/>
      <c r="O8" s="692"/>
      <c r="P8" s="692"/>
      <c r="Q8" s="762" t="s">
        <v>105</v>
      </c>
      <c r="R8" s="762" t="s">
        <v>1052</v>
      </c>
      <c r="S8" s="762" t="s">
        <v>5953</v>
      </c>
      <c r="T8" s="762">
        <v>22911633</v>
      </c>
      <c r="U8" s="762">
        <v>22202415</v>
      </c>
      <c r="V8" s="762" t="s">
        <v>4317</v>
      </c>
      <c r="W8" s="762" t="s">
        <v>4318</v>
      </c>
      <c r="X8" s="692"/>
      <c r="Y8" s="761"/>
      <c r="Z8" s="10"/>
      <c r="AA8" s="10"/>
      <c r="AB8" s="10"/>
      <c r="AC8" s="8"/>
      <c r="AD8" s="8"/>
      <c r="AE8" s="8"/>
      <c r="AF8" s="8"/>
      <c r="AG8" s="761"/>
      <c r="AH8" s="8"/>
      <c r="AI8" s="10"/>
    </row>
    <row r="9" spans="1:35" ht="15.75">
      <c r="B9" s="692" t="s">
        <v>3521</v>
      </c>
      <c r="C9" s="692" t="s">
        <v>3519</v>
      </c>
      <c r="D9" s="9"/>
      <c r="E9" s="692" t="s">
        <v>61</v>
      </c>
      <c r="F9" s="692" t="s">
        <v>1992</v>
      </c>
      <c r="G9" s="692" t="s">
        <v>60</v>
      </c>
      <c r="H9" s="692" t="s">
        <v>4395</v>
      </c>
      <c r="I9" s="692" t="s">
        <v>3</v>
      </c>
      <c r="J9" s="692" t="s">
        <v>41</v>
      </c>
      <c r="K9" s="692" t="s">
        <v>3</v>
      </c>
      <c r="L9" s="692" t="s">
        <v>11</v>
      </c>
      <c r="M9" s="692" t="str">
        <f t="shared" si="0"/>
        <v>1-01-08</v>
      </c>
      <c r="N9" s="692"/>
      <c r="O9" s="692"/>
      <c r="P9" s="692"/>
      <c r="Q9" s="762" t="s">
        <v>770</v>
      </c>
      <c r="R9" s="762" t="s">
        <v>1052</v>
      </c>
      <c r="S9" s="762" t="s">
        <v>4319</v>
      </c>
      <c r="T9" s="762">
        <v>22320122</v>
      </c>
      <c r="U9" s="762">
        <v>40700122</v>
      </c>
      <c r="V9" s="762" t="s">
        <v>1801</v>
      </c>
      <c r="W9" s="762" t="s">
        <v>5927</v>
      </c>
      <c r="X9" s="692"/>
      <c r="Y9" s="761"/>
      <c r="Z9" s="10"/>
      <c r="AA9" s="10"/>
      <c r="AB9" s="10"/>
      <c r="AC9" s="8"/>
      <c r="AD9" s="8"/>
      <c r="AE9" s="8"/>
      <c r="AF9" s="8"/>
      <c r="AG9" s="761" t="s">
        <v>4493</v>
      </c>
      <c r="AH9" s="8"/>
      <c r="AI9" s="10"/>
    </row>
    <row r="10" spans="1:35" ht="15.75">
      <c r="B10" s="692" t="s">
        <v>1908</v>
      </c>
      <c r="C10" s="692" t="s">
        <v>561</v>
      </c>
      <c r="D10" s="9"/>
      <c r="E10" s="692" t="s">
        <v>2055</v>
      </c>
      <c r="F10" s="692" t="s">
        <v>1992</v>
      </c>
      <c r="G10" s="692" t="s">
        <v>850</v>
      </c>
      <c r="H10" s="692" t="s">
        <v>4394</v>
      </c>
      <c r="I10" s="692" t="s">
        <v>6</v>
      </c>
      <c r="J10" s="692" t="s">
        <v>41</v>
      </c>
      <c r="K10" s="692" t="s">
        <v>70</v>
      </c>
      <c r="L10" s="692" t="s">
        <v>5</v>
      </c>
      <c r="M10" s="692" t="str">
        <f t="shared" si="0"/>
        <v>1-18-03</v>
      </c>
      <c r="N10" s="692"/>
      <c r="O10" s="692"/>
      <c r="P10" s="692"/>
      <c r="Q10" s="762" t="s">
        <v>1936</v>
      </c>
      <c r="R10" s="762" t="s">
        <v>1052</v>
      </c>
      <c r="S10" s="762" t="s">
        <v>3701</v>
      </c>
      <c r="T10" s="762">
        <v>40008900</v>
      </c>
      <c r="U10" s="762"/>
      <c r="V10" s="762" t="s">
        <v>4320</v>
      </c>
      <c r="W10" s="762" t="s">
        <v>5886</v>
      </c>
      <c r="X10" s="692"/>
      <c r="Y10" s="761"/>
      <c r="Z10" s="10"/>
      <c r="AA10" s="10"/>
      <c r="AB10" s="10"/>
      <c r="AC10" s="8"/>
      <c r="AD10" s="8"/>
      <c r="AE10" s="8"/>
      <c r="AF10" s="8"/>
      <c r="AG10" s="761" t="s">
        <v>4493</v>
      </c>
      <c r="AH10" s="8"/>
      <c r="AI10" s="10"/>
    </row>
    <row r="11" spans="1:35" ht="15.75">
      <c r="B11" s="692" t="s">
        <v>2617</v>
      </c>
      <c r="C11" s="692" t="s">
        <v>409</v>
      </c>
      <c r="D11" s="9"/>
      <c r="E11" s="692" t="s">
        <v>1112</v>
      </c>
      <c r="F11" s="692" t="s">
        <v>1992</v>
      </c>
      <c r="G11" s="692" t="s">
        <v>4291</v>
      </c>
      <c r="H11" s="692" t="s">
        <v>4395</v>
      </c>
      <c r="I11" s="692" t="s">
        <v>4</v>
      </c>
      <c r="J11" s="692" t="s">
        <v>41</v>
      </c>
      <c r="K11" s="692" t="s">
        <v>3</v>
      </c>
      <c r="L11" s="692" t="s">
        <v>12</v>
      </c>
      <c r="M11" s="692" t="str">
        <f t="shared" si="0"/>
        <v>1-01-09</v>
      </c>
      <c r="N11" s="692"/>
      <c r="O11" s="692"/>
      <c r="P11" s="692"/>
      <c r="Q11" s="762" t="s">
        <v>1721</v>
      </c>
      <c r="R11" s="762" t="s">
        <v>1052</v>
      </c>
      <c r="S11" s="762" t="s">
        <v>3702</v>
      </c>
      <c r="T11" s="762">
        <v>22200131</v>
      </c>
      <c r="U11" s="762">
        <v>22327833</v>
      </c>
      <c r="V11" s="762" t="s">
        <v>3703</v>
      </c>
      <c r="W11" s="762" t="s">
        <v>1805</v>
      </c>
      <c r="X11" s="692"/>
      <c r="Y11" s="761"/>
      <c r="Z11" s="10"/>
      <c r="AA11" s="10"/>
      <c r="AB11" s="10"/>
      <c r="AC11" s="8"/>
      <c r="AD11" s="8"/>
      <c r="AE11" s="8"/>
      <c r="AF11" s="8"/>
      <c r="AG11" s="761" t="s">
        <v>4493</v>
      </c>
      <c r="AH11" s="8"/>
      <c r="AI11" s="10"/>
    </row>
    <row r="12" spans="1:35" ht="15.75" hidden="1">
      <c r="B12" s="692" t="s">
        <v>4301</v>
      </c>
      <c r="C12" s="692" t="s">
        <v>715</v>
      </c>
      <c r="D12" s="9"/>
      <c r="E12" s="692" t="s">
        <v>1116</v>
      </c>
      <c r="F12" s="692" t="s">
        <v>1992</v>
      </c>
      <c r="G12" s="692" t="s">
        <v>5455</v>
      </c>
      <c r="H12" s="692" t="s">
        <v>4395</v>
      </c>
      <c r="I12" s="692" t="s">
        <v>4</v>
      </c>
      <c r="J12" s="692" t="s">
        <v>41</v>
      </c>
      <c r="K12" s="692" t="s">
        <v>3</v>
      </c>
      <c r="L12" s="692" t="s">
        <v>12</v>
      </c>
      <c r="M12" s="692" t="str">
        <f t="shared" si="0"/>
        <v>1-01-09</v>
      </c>
      <c r="N12" s="692"/>
      <c r="O12" s="692"/>
      <c r="P12" s="692"/>
      <c r="Q12" s="762" t="s">
        <v>1802</v>
      </c>
      <c r="R12" s="762" t="s">
        <v>1052</v>
      </c>
      <c r="S12" s="762" t="s">
        <v>5954</v>
      </c>
      <c r="T12" s="762">
        <v>22321455</v>
      </c>
      <c r="U12" s="762">
        <v>22969247</v>
      </c>
      <c r="V12" s="762" t="s">
        <v>1803</v>
      </c>
      <c r="W12" s="762" t="s">
        <v>1804</v>
      </c>
      <c r="X12" s="692"/>
      <c r="Y12" s="761"/>
      <c r="Z12" s="10"/>
      <c r="AA12" s="10"/>
      <c r="AB12" s="10"/>
      <c r="AC12" s="8"/>
      <c r="AD12" s="8"/>
      <c r="AE12" s="8"/>
      <c r="AF12" s="8"/>
      <c r="AG12" s="761"/>
      <c r="AH12" s="8"/>
      <c r="AI12" s="10"/>
    </row>
    <row r="13" spans="1:35" ht="15.75" hidden="1">
      <c r="B13" s="692" t="s">
        <v>1916</v>
      </c>
      <c r="C13" s="692" t="s">
        <v>389</v>
      </c>
      <c r="D13" s="9"/>
      <c r="E13" s="692" t="s">
        <v>1104</v>
      </c>
      <c r="F13" s="692" t="s">
        <v>1992</v>
      </c>
      <c r="G13" s="692" t="s">
        <v>1807</v>
      </c>
      <c r="H13" s="692" t="s">
        <v>4394</v>
      </c>
      <c r="I13" s="692" t="s">
        <v>7</v>
      </c>
      <c r="J13" s="692" t="s">
        <v>41</v>
      </c>
      <c r="K13" s="692" t="s">
        <v>3</v>
      </c>
      <c r="L13" s="692" t="s">
        <v>13</v>
      </c>
      <c r="M13" s="692" t="str">
        <f t="shared" si="0"/>
        <v>1-01-10</v>
      </c>
      <c r="N13" s="692"/>
      <c r="O13" s="692"/>
      <c r="P13" s="692"/>
      <c r="Q13" s="762" t="s">
        <v>1722</v>
      </c>
      <c r="R13" s="762" t="s">
        <v>1052</v>
      </c>
      <c r="S13" s="762" t="s">
        <v>4709</v>
      </c>
      <c r="T13" s="762">
        <v>22543555</v>
      </c>
      <c r="U13" s="762">
        <v>22540345</v>
      </c>
      <c r="V13" s="762" t="s">
        <v>4710</v>
      </c>
      <c r="W13" s="762" t="s">
        <v>2060</v>
      </c>
      <c r="X13" s="692"/>
      <c r="Y13" s="761"/>
      <c r="Z13" s="10"/>
      <c r="AA13" s="10"/>
      <c r="AB13" s="10"/>
      <c r="AC13" s="8"/>
      <c r="AD13" s="8"/>
      <c r="AE13" s="8"/>
      <c r="AF13" s="8"/>
      <c r="AG13" s="761"/>
      <c r="AH13" s="8"/>
      <c r="AI13" s="10"/>
    </row>
    <row r="14" spans="1:35" ht="15.75" hidden="1">
      <c r="B14" s="692" t="s">
        <v>3977</v>
      </c>
      <c r="C14" s="692" t="s">
        <v>666</v>
      </c>
      <c r="D14" s="9"/>
      <c r="E14" s="692" t="s">
        <v>1115</v>
      </c>
      <c r="F14" s="692" t="s">
        <v>1992</v>
      </c>
      <c r="G14" s="692" t="s">
        <v>4292</v>
      </c>
      <c r="H14" s="692" t="s">
        <v>66</v>
      </c>
      <c r="I14" s="692" t="s">
        <v>6</v>
      </c>
      <c r="J14" s="692" t="s">
        <v>43</v>
      </c>
      <c r="K14" s="692" t="s">
        <v>3</v>
      </c>
      <c r="L14" s="692" t="s">
        <v>11</v>
      </c>
      <c r="M14" s="692" t="str">
        <f t="shared" si="0"/>
        <v>2-01-08</v>
      </c>
      <c r="N14" s="692"/>
      <c r="O14" s="692"/>
      <c r="P14" s="692"/>
      <c r="Q14" s="762" t="s">
        <v>4321</v>
      </c>
      <c r="R14" s="762" t="s">
        <v>1052</v>
      </c>
      <c r="S14" s="762" t="s">
        <v>4711</v>
      </c>
      <c r="T14" s="762">
        <v>22890919</v>
      </c>
      <c r="U14" s="762">
        <v>22282076</v>
      </c>
      <c r="V14" s="762" t="s">
        <v>4509</v>
      </c>
      <c r="W14" s="762" t="s">
        <v>4510</v>
      </c>
      <c r="X14" s="692"/>
      <c r="Y14" s="761"/>
      <c r="Z14" s="10"/>
      <c r="AA14" s="10"/>
      <c r="AB14" s="10"/>
      <c r="AC14" s="8"/>
      <c r="AD14" s="8"/>
      <c r="AE14" s="8"/>
      <c r="AF14" s="8"/>
      <c r="AG14" s="761"/>
      <c r="AH14" s="8"/>
      <c r="AI14" s="10"/>
    </row>
    <row r="15" spans="1:35" ht="15.75" hidden="1">
      <c r="B15" s="692" t="s">
        <v>4308</v>
      </c>
      <c r="C15" s="692" t="s">
        <v>4307</v>
      </c>
      <c r="D15" s="9"/>
      <c r="E15" s="692" t="s">
        <v>938</v>
      </c>
      <c r="F15" s="692" t="s">
        <v>1992</v>
      </c>
      <c r="G15" s="692" t="s">
        <v>1808</v>
      </c>
      <c r="H15" s="692" t="s">
        <v>4395</v>
      </c>
      <c r="I15" s="692" t="s">
        <v>5</v>
      </c>
      <c r="J15" s="692" t="s">
        <v>41</v>
      </c>
      <c r="K15" s="692" t="s">
        <v>4</v>
      </c>
      <c r="L15" s="692" t="s">
        <v>3</v>
      </c>
      <c r="M15" s="692" t="str">
        <f t="shared" si="0"/>
        <v>1-02-01</v>
      </c>
      <c r="N15" s="692"/>
      <c r="O15" s="692"/>
      <c r="P15" s="692"/>
      <c r="Q15" s="762" t="s">
        <v>166</v>
      </c>
      <c r="R15" s="762" t="s">
        <v>1052</v>
      </c>
      <c r="S15" s="762" t="s">
        <v>4322</v>
      </c>
      <c r="T15" s="762">
        <v>22898889</v>
      </c>
      <c r="U15" s="762"/>
      <c r="V15" s="762" t="s">
        <v>1809</v>
      </c>
      <c r="W15" s="762" t="s">
        <v>4712</v>
      </c>
      <c r="X15" s="692"/>
      <c r="Y15" s="761"/>
      <c r="Z15" s="10"/>
      <c r="AA15" s="10"/>
      <c r="AB15" s="10"/>
      <c r="AC15" s="8"/>
      <c r="AD15" s="8"/>
      <c r="AE15" s="8"/>
      <c r="AF15" s="8"/>
      <c r="AG15" s="761"/>
      <c r="AH15" s="8"/>
      <c r="AI15" s="10"/>
    </row>
    <row r="16" spans="1:35" ht="15.75">
      <c r="B16" s="692" t="s">
        <v>3447</v>
      </c>
      <c r="C16" s="692" t="s">
        <v>585</v>
      </c>
      <c r="D16" s="9"/>
      <c r="E16" s="692" t="s">
        <v>1095</v>
      </c>
      <c r="F16" s="692" t="s">
        <v>1992</v>
      </c>
      <c r="G16" s="692" t="s">
        <v>1928</v>
      </c>
      <c r="H16" s="692" t="s">
        <v>4394</v>
      </c>
      <c r="I16" s="692" t="s">
        <v>5</v>
      </c>
      <c r="J16" s="692" t="s">
        <v>41</v>
      </c>
      <c r="K16" s="692" t="s">
        <v>70</v>
      </c>
      <c r="L16" s="692" t="s">
        <v>5</v>
      </c>
      <c r="M16" s="692" t="str">
        <f t="shared" si="0"/>
        <v>1-18-03</v>
      </c>
      <c r="N16" s="692"/>
      <c r="O16" s="692"/>
      <c r="P16" s="692"/>
      <c r="Q16" s="762" t="s">
        <v>1936</v>
      </c>
      <c r="R16" s="762" t="s">
        <v>1052</v>
      </c>
      <c r="S16" s="762" t="s">
        <v>4713</v>
      </c>
      <c r="T16" s="762">
        <v>40008989</v>
      </c>
      <c r="U16" s="762"/>
      <c r="V16" s="762" t="s">
        <v>4714</v>
      </c>
      <c r="W16" s="762" t="s">
        <v>2111</v>
      </c>
      <c r="X16" s="692"/>
      <c r="Y16" s="761"/>
      <c r="Z16" s="10"/>
      <c r="AA16" s="10"/>
      <c r="AB16" s="10"/>
      <c r="AC16" s="8"/>
      <c r="AD16" s="8"/>
      <c r="AE16" s="8"/>
      <c r="AF16" s="8"/>
      <c r="AG16" s="761" t="s">
        <v>4493</v>
      </c>
      <c r="AH16" s="8"/>
      <c r="AI16" s="10"/>
    </row>
    <row r="17" spans="2:35" ht="15.75">
      <c r="B17" s="692" t="s">
        <v>4697</v>
      </c>
      <c r="C17" s="692" t="s">
        <v>231</v>
      </c>
      <c r="D17" s="9"/>
      <c r="E17" s="692" t="s">
        <v>893</v>
      </c>
      <c r="F17" s="692" t="s">
        <v>1992</v>
      </c>
      <c r="G17" s="692" t="s">
        <v>2129</v>
      </c>
      <c r="H17" s="692" t="s">
        <v>4396</v>
      </c>
      <c r="I17" s="692" t="s">
        <v>7</v>
      </c>
      <c r="J17" s="692" t="s">
        <v>110</v>
      </c>
      <c r="K17" s="692" t="s">
        <v>5</v>
      </c>
      <c r="L17" s="692" t="s">
        <v>5</v>
      </c>
      <c r="M17" s="692" t="str">
        <f t="shared" si="0"/>
        <v>4-03-03</v>
      </c>
      <c r="N17" s="692"/>
      <c r="O17" s="692"/>
      <c r="P17" s="692"/>
      <c r="Q17" s="762" t="s">
        <v>512</v>
      </c>
      <c r="R17" s="762" t="s">
        <v>1052</v>
      </c>
      <c r="S17" s="762" t="s">
        <v>4511</v>
      </c>
      <c r="T17" s="762">
        <v>22476612</v>
      </c>
      <c r="U17" s="762">
        <v>22476686</v>
      </c>
      <c r="V17" s="762" t="s">
        <v>2130</v>
      </c>
      <c r="W17" s="762" t="s">
        <v>169</v>
      </c>
      <c r="X17" s="692"/>
      <c r="Y17" s="761"/>
      <c r="Z17" s="10"/>
      <c r="AA17" s="10"/>
      <c r="AB17" s="10"/>
      <c r="AC17" s="8"/>
      <c r="AD17" s="8"/>
      <c r="AE17" s="8"/>
      <c r="AF17" s="8"/>
      <c r="AG17" s="761" t="s">
        <v>4493</v>
      </c>
      <c r="AH17" s="8"/>
      <c r="AI17" s="10"/>
    </row>
    <row r="18" spans="2:35" ht="15.75" hidden="1">
      <c r="B18" s="692" t="s">
        <v>2562</v>
      </c>
      <c r="C18" s="692" t="s">
        <v>373</v>
      </c>
      <c r="D18" s="9"/>
      <c r="E18" s="692" t="s">
        <v>1113</v>
      </c>
      <c r="F18" s="692" t="s">
        <v>1992</v>
      </c>
      <c r="G18" s="692" t="s">
        <v>4293</v>
      </c>
      <c r="H18" s="692" t="s">
        <v>4396</v>
      </c>
      <c r="I18" s="692" t="s">
        <v>7</v>
      </c>
      <c r="J18" s="692" t="s">
        <v>41</v>
      </c>
      <c r="K18" s="692" t="s">
        <v>118</v>
      </c>
      <c r="L18" s="692" t="s">
        <v>3</v>
      </c>
      <c r="M18" s="692" t="str">
        <f t="shared" si="0"/>
        <v>1-14-01</v>
      </c>
      <c r="N18" s="692"/>
      <c r="O18" s="692"/>
      <c r="P18" s="692"/>
      <c r="Q18" s="762" t="s">
        <v>1741</v>
      </c>
      <c r="R18" s="762" t="s">
        <v>1052</v>
      </c>
      <c r="S18" s="762" t="s">
        <v>4323</v>
      </c>
      <c r="T18" s="762">
        <v>22414151</v>
      </c>
      <c r="U18" s="762">
        <v>22416778</v>
      </c>
      <c r="V18" s="762" t="s">
        <v>1743</v>
      </c>
      <c r="W18" s="762" t="s">
        <v>2131</v>
      </c>
      <c r="X18" s="692"/>
      <c r="Y18" s="761"/>
      <c r="Z18" s="10"/>
      <c r="AA18" s="10"/>
      <c r="AB18" s="10"/>
      <c r="AC18" s="8"/>
      <c r="AD18" s="8"/>
      <c r="AE18" s="8"/>
      <c r="AF18" s="8"/>
      <c r="AG18" s="761"/>
      <c r="AH18" s="8"/>
      <c r="AI18" s="10"/>
    </row>
    <row r="19" spans="2:35" ht="15.75" hidden="1">
      <c r="B19" s="692" t="s">
        <v>4698</v>
      </c>
      <c r="C19" s="692" t="s">
        <v>426</v>
      </c>
      <c r="D19" s="9"/>
      <c r="E19" s="692" t="s">
        <v>2132</v>
      </c>
      <c r="F19" s="692" t="s">
        <v>1992</v>
      </c>
      <c r="G19" s="692" t="s">
        <v>3477</v>
      </c>
      <c r="H19" s="692" t="s">
        <v>4396</v>
      </c>
      <c r="I19" s="692" t="s">
        <v>5</v>
      </c>
      <c r="J19" s="692" t="s">
        <v>56</v>
      </c>
      <c r="K19" s="692" t="s">
        <v>5</v>
      </c>
      <c r="L19" s="692" t="s">
        <v>3</v>
      </c>
      <c r="M19" s="692" t="str">
        <f t="shared" si="0"/>
        <v>3-03-01</v>
      </c>
      <c r="N19" s="692"/>
      <c r="O19" s="692"/>
      <c r="P19" s="692"/>
      <c r="Q19" s="762" t="s">
        <v>1882</v>
      </c>
      <c r="R19" s="762" t="s">
        <v>1052</v>
      </c>
      <c r="S19" s="762" t="s">
        <v>3704</v>
      </c>
      <c r="T19" s="762">
        <v>22798902</v>
      </c>
      <c r="U19" s="762">
        <v>22782607</v>
      </c>
      <c r="V19" s="762" t="s">
        <v>4904</v>
      </c>
      <c r="W19" s="762" t="s">
        <v>2134</v>
      </c>
      <c r="X19" s="692"/>
      <c r="Y19" s="761" t="s">
        <v>252</v>
      </c>
      <c r="Z19" s="10"/>
      <c r="AA19" s="10"/>
      <c r="AB19" s="10"/>
      <c r="AC19" s="8"/>
      <c r="AD19" s="8"/>
      <c r="AE19" s="8"/>
      <c r="AF19" s="8"/>
      <c r="AG19" s="761"/>
      <c r="AH19" s="8"/>
      <c r="AI19" s="10"/>
    </row>
    <row r="20" spans="2:35" ht="15.75">
      <c r="B20" s="692" t="s">
        <v>3515</v>
      </c>
      <c r="C20" s="692" t="s">
        <v>680</v>
      </c>
      <c r="D20" s="9"/>
      <c r="E20" s="692" t="s">
        <v>108</v>
      </c>
      <c r="F20" s="692" t="s">
        <v>1992</v>
      </c>
      <c r="G20" s="692" t="s">
        <v>2135</v>
      </c>
      <c r="H20" s="692" t="s">
        <v>4396</v>
      </c>
      <c r="I20" s="692" t="s">
        <v>7</v>
      </c>
      <c r="J20" s="692" t="s">
        <v>41</v>
      </c>
      <c r="K20" s="692" t="s">
        <v>118</v>
      </c>
      <c r="L20" s="692" t="s">
        <v>3</v>
      </c>
      <c r="M20" s="692" t="str">
        <f t="shared" si="0"/>
        <v>1-14-01</v>
      </c>
      <c r="N20" s="692"/>
      <c r="O20" s="692"/>
      <c r="P20" s="692"/>
      <c r="Q20" s="762" t="s">
        <v>1741</v>
      </c>
      <c r="R20" s="762" t="s">
        <v>1052</v>
      </c>
      <c r="S20" s="762" t="s">
        <v>5950</v>
      </c>
      <c r="T20" s="762">
        <v>22971704</v>
      </c>
      <c r="U20" s="762">
        <v>22409672</v>
      </c>
      <c r="V20" s="762" t="s">
        <v>3705</v>
      </c>
      <c r="W20" s="762" t="s">
        <v>2136</v>
      </c>
      <c r="X20" s="692"/>
      <c r="Y20" s="761"/>
      <c r="Z20" s="10"/>
      <c r="AA20" s="10"/>
      <c r="AB20" s="10"/>
      <c r="AC20" s="8"/>
      <c r="AD20" s="8"/>
      <c r="AE20" s="8"/>
      <c r="AF20" s="8"/>
      <c r="AG20" s="761" t="s">
        <v>4493</v>
      </c>
      <c r="AH20" s="8"/>
      <c r="AI20" s="10"/>
    </row>
    <row r="21" spans="2:35" ht="15.75" hidden="1">
      <c r="B21" s="692" t="s">
        <v>4291</v>
      </c>
      <c r="C21" s="692" t="s">
        <v>1112</v>
      </c>
      <c r="D21" s="9"/>
      <c r="E21" s="692" t="s">
        <v>114</v>
      </c>
      <c r="F21" s="692" t="s">
        <v>1992</v>
      </c>
      <c r="G21" s="692" t="s">
        <v>2147</v>
      </c>
      <c r="H21" s="692" t="s">
        <v>4396</v>
      </c>
      <c r="I21" s="692" t="s">
        <v>5</v>
      </c>
      <c r="J21" s="692" t="s">
        <v>41</v>
      </c>
      <c r="K21" s="692" t="s">
        <v>107</v>
      </c>
      <c r="L21" s="692" t="s">
        <v>3</v>
      </c>
      <c r="M21" s="692" t="str">
        <f t="shared" si="0"/>
        <v>1-15-01</v>
      </c>
      <c r="N21" s="692"/>
      <c r="O21" s="692"/>
      <c r="P21" s="692"/>
      <c r="Q21" s="762" t="s">
        <v>236</v>
      </c>
      <c r="R21" s="762" t="s">
        <v>1052</v>
      </c>
      <c r="S21" s="762" t="s">
        <v>4512</v>
      </c>
      <c r="T21" s="762">
        <v>22834730</v>
      </c>
      <c r="U21" s="762">
        <v>22831890</v>
      </c>
      <c r="V21" s="762" t="s">
        <v>1750</v>
      </c>
      <c r="W21" s="762" t="s">
        <v>5956</v>
      </c>
      <c r="X21" s="692"/>
      <c r="Y21" s="761"/>
      <c r="Z21" s="10"/>
      <c r="AA21" s="10"/>
      <c r="AB21" s="10"/>
      <c r="AC21" s="8"/>
      <c r="AD21" s="8"/>
      <c r="AE21" s="8"/>
      <c r="AF21" s="8"/>
      <c r="AG21" s="761"/>
      <c r="AH21" s="8"/>
      <c r="AI21" s="10"/>
    </row>
    <row r="22" spans="2:35" ht="15.75">
      <c r="B22" s="692" t="s">
        <v>3488</v>
      </c>
      <c r="C22" s="692" t="s">
        <v>2556</v>
      </c>
      <c r="D22" s="9"/>
      <c r="E22" s="692" t="s">
        <v>86</v>
      </c>
      <c r="F22" s="692" t="s">
        <v>1992</v>
      </c>
      <c r="G22" s="692" t="s">
        <v>4905</v>
      </c>
      <c r="H22" s="692" t="s">
        <v>111</v>
      </c>
      <c r="I22" s="692" t="s">
        <v>7</v>
      </c>
      <c r="J22" s="692" t="s">
        <v>110</v>
      </c>
      <c r="K22" s="692" t="s">
        <v>5</v>
      </c>
      <c r="L22" s="692" t="s">
        <v>5</v>
      </c>
      <c r="M22" s="692" t="str">
        <f t="shared" si="0"/>
        <v>4-03-03</v>
      </c>
      <c r="N22" s="692"/>
      <c r="O22" s="692"/>
      <c r="P22" s="692"/>
      <c r="Q22" s="762" t="s">
        <v>49</v>
      </c>
      <c r="R22" s="762" t="s">
        <v>1052</v>
      </c>
      <c r="S22" s="762" t="s">
        <v>4715</v>
      </c>
      <c r="T22" s="762">
        <v>22411445</v>
      </c>
      <c r="U22" s="762">
        <v>22414944</v>
      </c>
      <c r="V22" s="762" t="s">
        <v>4906</v>
      </c>
      <c r="W22" s="762" t="s">
        <v>4716</v>
      </c>
      <c r="X22" s="692"/>
      <c r="Y22" s="761"/>
      <c r="Z22" s="10"/>
      <c r="AA22" s="10"/>
      <c r="AB22" s="10"/>
      <c r="AC22" s="8"/>
      <c r="AD22" s="8"/>
      <c r="AE22" s="8"/>
      <c r="AF22" s="8"/>
      <c r="AG22" s="761" t="s">
        <v>4493</v>
      </c>
      <c r="AH22" s="8"/>
      <c r="AI22" s="10"/>
    </row>
    <row r="23" spans="2:35" ht="15.75">
      <c r="B23" s="692" t="s">
        <v>1892</v>
      </c>
      <c r="C23" s="692" t="s">
        <v>466</v>
      </c>
      <c r="D23" s="9"/>
      <c r="E23" s="692" t="s">
        <v>90</v>
      </c>
      <c r="F23" s="692" t="s">
        <v>1992</v>
      </c>
      <c r="G23" s="692" t="s">
        <v>2148</v>
      </c>
      <c r="H23" s="692" t="s">
        <v>4396</v>
      </c>
      <c r="I23" s="692" t="s">
        <v>5</v>
      </c>
      <c r="J23" s="692" t="s">
        <v>41</v>
      </c>
      <c r="K23" s="692" t="s">
        <v>107</v>
      </c>
      <c r="L23" s="692" t="s">
        <v>4</v>
      </c>
      <c r="M23" s="692" t="str">
        <f t="shared" si="0"/>
        <v>1-15-02</v>
      </c>
      <c r="N23" s="692"/>
      <c r="O23" s="692"/>
      <c r="P23" s="692"/>
      <c r="Q23" s="762" t="s">
        <v>285</v>
      </c>
      <c r="R23" s="762" t="s">
        <v>1052</v>
      </c>
      <c r="S23" s="762" t="s">
        <v>1745</v>
      </c>
      <c r="T23" s="762">
        <v>22801230</v>
      </c>
      <c r="U23" s="762">
        <v>22801230</v>
      </c>
      <c r="V23" s="762" t="s">
        <v>2149</v>
      </c>
      <c r="W23" s="762" t="s">
        <v>1746</v>
      </c>
      <c r="X23" s="692"/>
      <c r="Y23" s="761"/>
      <c r="Z23" s="10"/>
      <c r="AA23" s="10"/>
      <c r="AB23" s="10"/>
      <c r="AC23" s="8"/>
      <c r="AD23" s="8"/>
      <c r="AE23" s="8"/>
      <c r="AF23" s="8"/>
      <c r="AG23" s="761" t="s">
        <v>4493</v>
      </c>
      <c r="AH23" s="8"/>
      <c r="AI23" s="10"/>
    </row>
    <row r="24" spans="2:35" ht="15.75" hidden="1">
      <c r="B24" s="692" t="s">
        <v>4701</v>
      </c>
      <c r="C24" s="692" t="s">
        <v>670</v>
      </c>
      <c r="D24" s="9"/>
      <c r="E24" s="692" t="s">
        <v>120</v>
      </c>
      <c r="F24" s="692" t="s">
        <v>1992</v>
      </c>
      <c r="G24" s="692" t="s">
        <v>4691</v>
      </c>
      <c r="H24" s="692" t="s">
        <v>4396</v>
      </c>
      <c r="I24" s="692" t="s">
        <v>5</v>
      </c>
      <c r="J24" s="692" t="s">
        <v>41</v>
      </c>
      <c r="K24" s="692" t="s">
        <v>107</v>
      </c>
      <c r="L24" s="692" t="s">
        <v>3</v>
      </c>
      <c r="M24" s="692" t="str">
        <f t="shared" si="0"/>
        <v>1-15-01</v>
      </c>
      <c r="N24" s="692"/>
      <c r="O24" s="692"/>
      <c r="P24" s="692"/>
      <c r="Q24" s="762" t="s">
        <v>276</v>
      </c>
      <c r="R24" s="762" t="s">
        <v>1052</v>
      </c>
      <c r="S24" s="762" t="s">
        <v>4717</v>
      </c>
      <c r="T24" s="762">
        <v>22240833</v>
      </c>
      <c r="U24" s="762">
        <v>22243386</v>
      </c>
      <c r="V24" s="762" t="s">
        <v>1748</v>
      </c>
      <c r="W24" s="762" t="s">
        <v>5951</v>
      </c>
      <c r="X24" s="692"/>
      <c r="Y24" s="761"/>
      <c r="Z24" s="10"/>
      <c r="AA24" s="10"/>
      <c r="AB24" s="10"/>
      <c r="AC24" s="8"/>
      <c r="AD24" s="8"/>
      <c r="AE24" s="8"/>
      <c r="AF24" s="8"/>
      <c r="AG24" s="761"/>
      <c r="AH24" s="8"/>
      <c r="AI24" s="10"/>
    </row>
    <row r="25" spans="2:35" ht="15.75" hidden="1">
      <c r="B25" s="692" t="s">
        <v>3501</v>
      </c>
      <c r="C25" s="692" t="s">
        <v>148</v>
      </c>
      <c r="D25" s="9"/>
      <c r="E25" s="692" t="s">
        <v>1139</v>
      </c>
      <c r="F25" s="692" t="s">
        <v>1992</v>
      </c>
      <c r="G25" s="692" t="s">
        <v>2168</v>
      </c>
      <c r="H25" s="692" t="s">
        <v>4395</v>
      </c>
      <c r="I25" s="692" t="s">
        <v>4</v>
      </c>
      <c r="J25" s="692" t="s">
        <v>41</v>
      </c>
      <c r="K25" s="692" t="s">
        <v>3</v>
      </c>
      <c r="L25" s="692" t="s">
        <v>12</v>
      </c>
      <c r="M25" s="692" t="str">
        <f t="shared" si="0"/>
        <v>1-01-09</v>
      </c>
      <c r="N25" s="692"/>
      <c r="O25" s="692"/>
      <c r="P25" s="692"/>
      <c r="Q25" s="762" t="s">
        <v>115</v>
      </c>
      <c r="R25" s="762" t="s">
        <v>1052</v>
      </c>
      <c r="S25" s="762" t="s">
        <v>5919</v>
      </c>
      <c r="T25" s="762">
        <v>22321365</v>
      </c>
      <c r="U25" s="762">
        <v>22913806</v>
      </c>
      <c r="V25" s="762" t="s">
        <v>2169</v>
      </c>
      <c r="W25" s="762" t="s">
        <v>3706</v>
      </c>
      <c r="X25" s="692"/>
      <c r="Y25" s="761"/>
      <c r="Z25" s="10"/>
      <c r="AA25" s="10"/>
      <c r="AB25" s="10"/>
      <c r="AC25" s="8"/>
      <c r="AD25" s="8"/>
      <c r="AE25" s="8"/>
      <c r="AF25" s="8"/>
      <c r="AG25" s="761"/>
      <c r="AH25" s="8"/>
      <c r="AI25" s="10"/>
    </row>
    <row r="26" spans="2:35" ht="15.75" hidden="1">
      <c r="B26" s="692" t="s">
        <v>2560</v>
      </c>
      <c r="C26" s="692" t="s">
        <v>372</v>
      </c>
      <c r="D26" s="9"/>
      <c r="E26" s="692" t="s">
        <v>1123</v>
      </c>
      <c r="F26" s="692" t="s">
        <v>1992</v>
      </c>
      <c r="G26" s="692" t="s">
        <v>2170</v>
      </c>
      <c r="H26" s="692" t="s">
        <v>66</v>
      </c>
      <c r="I26" s="692" t="s">
        <v>4</v>
      </c>
      <c r="J26" s="692" t="s">
        <v>43</v>
      </c>
      <c r="K26" s="692" t="s">
        <v>3</v>
      </c>
      <c r="L26" s="692" t="s">
        <v>3</v>
      </c>
      <c r="M26" s="692" t="str">
        <f t="shared" si="0"/>
        <v>2-01-01</v>
      </c>
      <c r="N26" s="692"/>
      <c r="O26" s="692"/>
      <c r="P26" s="692"/>
      <c r="Q26" s="762" t="s">
        <v>1761</v>
      </c>
      <c r="R26" s="762" t="s">
        <v>1052</v>
      </c>
      <c r="S26" s="762" t="s">
        <v>1762</v>
      </c>
      <c r="T26" s="762">
        <v>24402424</v>
      </c>
      <c r="U26" s="762">
        <v>24423063</v>
      </c>
      <c r="V26" s="762" t="s">
        <v>1763</v>
      </c>
      <c r="W26" s="762" t="s">
        <v>1764</v>
      </c>
      <c r="X26" s="692"/>
      <c r="Y26" s="761" t="s">
        <v>397</v>
      </c>
      <c r="Z26" s="10"/>
      <c r="AA26" s="10"/>
      <c r="AB26" s="10"/>
      <c r="AC26" s="8"/>
      <c r="AD26" s="8"/>
      <c r="AE26" s="8"/>
      <c r="AF26" s="8"/>
      <c r="AG26" s="761"/>
      <c r="AH26" s="8"/>
      <c r="AI26" s="10"/>
    </row>
    <row r="27" spans="2:35" ht="15.75" hidden="1">
      <c r="B27" s="692" t="s">
        <v>1993</v>
      </c>
      <c r="C27" s="692" t="s">
        <v>1740</v>
      </c>
      <c r="D27" s="9"/>
      <c r="E27" s="692" t="s">
        <v>122</v>
      </c>
      <c r="F27" s="692" t="s">
        <v>1992</v>
      </c>
      <c r="G27" s="692" t="s">
        <v>4692</v>
      </c>
      <c r="H27" s="692" t="s">
        <v>66</v>
      </c>
      <c r="I27" s="692" t="s">
        <v>5</v>
      </c>
      <c r="J27" s="692" t="s">
        <v>43</v>
      </c>
      <c r="K27" s="692" t="s">
        <v>3</v>
      </c>
      <c r="L27" s="692" t="s">
        <v>8</v>
      </c>
      <c r="M27" s="692" t="str">
        <f t="shared" si="0"/>
        <v>2-01-06</v>
      </c>
      <c r="N27" s="692"/>
      <c r="O27" s="692"/>
      <c r="P27" s="692"/>
      <c r="Q27" s="762" t="s">
        <v>652</v>
      </c>
      <c r="R27" s="762" t="s">
        <v>1052</v>
      </c>
      <c r="S27" s="762" t="s">
        <v>4324</v>
      </c>
      <c r="T27" s="762">
        <v>24403930</v>
      </c>
      <c r="U27" s="762">
        <v>24301792</v>
      </c>
      <c r="V27" s="762" t="s">
        <v>4907</v>
      </c>
      <c r="W27" s="762" t="s">
        <v>2187</v>
      </c>
      <c r="X27" s="692"/>
      <c r="Y27" s="761"/>
      <c r="Z27" s="10"/>
      <c r="AA27" s="10"/>
      <c r="AB27" s="10"/>
      <c r="AC27" s="8"/>
      <c r="AD27" s="8"/>
      <c r="AE27" s="8"/>
      <c r="AF27" s="8"/>
      <c r="AG27" s="761"/>
      <c r="AH27" s="8"/>
      <c r="AI27" s="10"/>
    </row>
    <row r="28" spans="2:35" ht="15.75">
      <c r="B28" s="692" t="s">
        <v>1753</v>
      </c>
      <c r="C28" s="692" t="s">
        <v>324</v>
      </c>
      <c r="D28" s="9"/>
      <c r="E28" s="692" t="s">
        <v>1120</v>
      </c>
      <c r="F28" s="692" t="s">
        <v>1992</v>
      </c>
      <c r="G28" s="692" t="s">
        <v>2190</v>
      </c>
      <c r="H28" s="692" t="s">
        <v>66</v>
      </c>
      <c r="I28" s="692" t="s">
        <v>6</v>
      </c>
      <c r="J28" s="692" t="s">
        <v>43</v>
      </c>
      <c r="K28" s="692" t="s">
        <v>3</v>
      </c>
      <c r="L28" s="692" t="s">
        <v>11</v>
      </c>
      <c r="M28" s="692" t="str">
        <f t="shared" si="0"/>
        <v>2-01-08</v>
      </c>
      <c r="N28" s="692"/>
      <c r="O28" s="692"/>
      <c r="P28" s="692"/>
      <c r="Q28" s="762" t="s">
        <v>814</v>
      </c>
      <c r="R28" s="762" t="s">
        <v>1052</v>
      </c>
      <c r="S28" s="762" t="s">
        <v>1769</v>
      </c>
      <c r="T28" s="762">
        <v>24380824</v>
      </c>
      <c r="U28" s="762">
        <v>24382122</v>
      </c>
      <c r="V28" s="762" t="s">
        <v>2191</v>
      </c>
      <c r="W28" s="762" t="s">
        <v>2192</v>
      </c>
      <c r="X28" s="692"/>
      <c r="Y28" s="761"/>
      <c r="Z28" s="10"/>
      <c r="AA28" s="10"/>
      <c r="AB28" s="10"/>
      <c r="AC28" s="8"/>
      <c r="AD28" s="8"/>
      <c r="AE28" s="8"/>
      <c r="AF28" s="8"/>
      <c r="AG28" s="761" t="s">
        <v>4493</v>
      </c>
      <c r="AH28" s="8"/>
      <c r="AI28" s="10"/>
    </row>
    <row r="29" spans="2:35" ht="15.75" hidden="1">
      <c r="B29" s="692" t="s">
        <v>3490</v>
      </c>
      <c r="C29" s="692" t="s">
        <v>404</v>
      </c>
      <c r="D29" s="9"/>
      <c r="E29" s="692" t="s">
        <v>190</v>
      </c>
      <c r="F29" s="692" t="s">
        <v>1992</v>
      </c>
      <c r="G29" s="692" t="s">
        <v>1757</v>
      </c>
      <c r="H29" s="692" t="s">
        <v>4397</v>
      </c>
      <c r="I29" s="692" t="s">
        <v>3</v>
      </c>
      <c r="J29" s="692" t="s">
        <v>80</v>
      </c>
      <c r="K29" s="692" t="s">
        <v>5</v>
      </c>
      <c r="L29" s="692" t="s">
        <v>3</v>
      </c>
      <c r="M29" s="692" t="str">
        <f t="shared" si="0"/>
        <v>6-03-01</v>
      </c>
      <c r="N29" s="692"/>
      <c r="O29" s="692"/>
      <c r="P29" s="692"/>
      <c r="Q29" s="762" t="s">
        <v>1758</v>
      </c>
      <c r="R29" s="762" t="s">
        <v>1052</v>
      </c>
      <c r="S29" s="762" t="s">
        <v>1759</v>
      </c>
      <c r="T29" s="762">
        <v>27300097</v>
      </c>
      <c r="U29" s="762">
        <v>27300097</v>
      </c>
      <c r="V29" s="762" t="s">
        <v>4908</v>
      </c>
      <c r="W29" s="762" t="s">
        <v>2242</v>
      </c>
      <c r="X29" s="692"/>
      <c r="Y29" s="761"/>
      <c r="Z29" s="10"/>
      <c r="AA29" s="10"/>
      <c r="AB29" s="10"/>
      <c r="AC29" s="8"/>
      <c r="AD29" s="8"/>
      <c r="AE29" s="8"/>
      <c r="AF29" s="8"/>
      <c r="AG29" s="761"/>
      <c r="AH29" s="8"/>
      <c r="AI29" s="10"/>
    </row>
    <row r="30" spans="2:35" ht="15.75" hidden="1">
      <c r="B30" s="692" t="s">
        <v>4708</v>
      </c>
      <c r="C30" s="692" t="s">
        <v>4707</v>
      </c>
      <c r="D30" s="9"/>
      <c r="E30" s="692" t="s">
        <v>1131</v>
      </c>
      <c r="F30" s="692" t="s">
        <v>1992</v>
      </c>
      <c r="G30" s="692" t="s">
        <v>3973</v>
      </c>
      <c r="H30" s="692" t="s">
        <v>111</v>
      </c>
      <c r="I30" s="692" t="s">
        <v>3</v>
      </c>
      <c r="J30" s="692" t="s">
        <v>110</v>
      </c>
      <c r="K30" s="692" t="s">
        <v>3</v>
      </c>
      <c r="L30" s="692" t="s">
        <v>3</v>
      </c>
      <c r="M30" s="692" t="str">
        <f t="shared" si="0"/>
        <v>4-01-01</v>
      </c>
      <c r="N30" s="692"/>
      <c r="O30" s="692"/>
      <c r="P30" s="692"/>
      <c r="Q30" s="762" t="s">
        <v>54</v>
      </c>
      <c r="R30" s="762" t="s">
        <v>1052</v>
      </c>
      <c r="S30" s="762" t="s">
        <v>5952</v>
      </c>
      <c r="T30" s="762">
        <v>22370296</v>
      </c>
      <c r="U30" s="762">
        <v>22622728</v>
      </c>
      <c r="V30" s="762" t="s">
        <v>3990</v>
      </c>
      <c r="W30" s="762" t="s">
        <v>2255</v>
      </c>
      <c r="X30" s="692"/>
      <c r="Y30" s="761"/>
      <c r="Z30" s="10"/>
      <c r="AA30" s="10"/>
      <c r="AB30" s="10"/>
      <c r="AC30" s="8"/>
      <c r="AD30" s="8"/>
      <c r="AE30" s="8"/>
      <c r="AF30" s="8"/>
      <c r="AG30" s="761"/>
      <c r="AH30" s="8"/>
      <c r="AI30" s="10"/>
    </row>
    <row r="31" spans="2:35" ht="15.75" hidden="1">
      <c r="B31" s="692" t="s">
        <v>5503</v>
      </c>
      <c r="C31" s="692" t="s">
        <v>5502</v>
      </c>
      <c r="D31" s="9"/>
      <c r="E31" s="692" t="s">
        <v>1136</v>
      </c>
      <c r="F31" s="692" t="s">
        <v>1992</v>
      </c>
      <c r="G31" s="692" t="s">
        <v>165</v>
      </c>
      <c r="H31" s="692" t="s">
        <v>298</v>
      </c>
      <c r="I31" s="692" t="s">
        <v>4</v>
      </c>
      <c r="J31" s="692" t="s">
        <v>126</v>
      </c>
      <c r="K31" s="692" t="s">
        <v>3</v>
      </c>
      <c r="L31" s="692" t="s">
        <v>3</v>
      </c>
      <c r="M31" s="692" t="str">
        <f t="shared" si="0"/>
        <v>5-01-01</v>
      </c>
      <c r="N31" s="692"/>
      <c r="O31" s="692"/>
      <c r="P31" s="692"/>
      <c r="Q31" s="762" t="s">
        <v>794</v>
      </c>
      <c r="R31" s="762" t="s">
        <v>1052</v>
      </c>
      <c r="S31" s="762" t="s">
        <v>4513</v>
      </c>
      <c r="T31" s="762">
        <v>26660301</v>
      </c>
      <c r="U31" s="762">
        <v>26660301</v>
      </c>
      <c r="V31" s="762" t="s">
        <v>5907</v>
      </c>
      <c r="W31" s="762" t="s">
        <v>2290</v>
      </c>
      <c r="X31" s="692"/>
      <c r="Y31" s="761"/>
      <c r="Z31" s="10"/>
      <c r="AA31" s="10"/>
      <c r="AB31" s="10"/>
      <c r="AC31" s="8"/>
      <c r="AD31" s="8"/>
      <c r="AE31" s="8"/>
      <c r="AF31" s="8"/>
      <c r="AG31" s="761"/>
      <c r="AH31" s="8"/>
      <c r="AI31" s="10"/>
    </row>
    <row r="32" spans="2:35" ht="15.75" hidden="1">
      <c r="B32" s="692" t="s">
        <v>3978</v>
      </c>
      <c r="C32" s="692" t="s">
        <v>1164</v>
      </c>
      <c r="D32" s="9"/>
      <c r="E32" s="692" t="s">
        <v>220</v>
      </c>
      <c r="F32" s="692" t="s">
        <v>1992</v>
      </c>
      <c r="G32" s="692" t="s">
        <v>2311</v>
      </c>
      <c r="H32" s="692" t="s">
        <v>81</v>
      </c>
      <c r="I32" s="692" t="s">
        <v>7</v>
      </c>
      <c r="J32" s="692" t="s">
        <v>80</v>
      </c>
      <c r="K32" s="692" t="s">
        <v>3</v>
      </c>
      <c r="L32" s="692" t="s">
        <v>3</v>
      </c>
      <c r="M32" s="692" t="str">
        <f t="shared" si="0"/>
        <v>6-01-01</v>
      </c>
      <c r="N32" s="692"/>
      <c r="O32" s="692"/>
      <c r="P32" s="692"/>
      <c r="Q32" s="762" t="s">
        <v>81</v>
      </c>
      <c r="R32" s="762" t="s">
        <v>1052</v>
      </c>
      <c r="S32" s="762" t="s">
        <v>4909</v>
      </c>
      <c r="T32" s="762">
        <v>26611819</v>
      </c>
      <c r="U32" s="762"/>
      <c r="V32" s="762" t="s">
        <v>3991</v>
      </c>
      <c r="W32" s="762" t="s">
        <v>5456</v>
      </c>
      <c r="X32" s="692"/>
      <c r="Y32" s="761"/>
      <c r="Z32" s="10"/>
      <c r="AA32" s="10"/>
      <c r="AB32" s="10"/>
      <c r="AC32" s="8"/>
      <c r="AD32" s="8"/>
      <c r="AE32" s="8"/>
      <c r="AF32" s="8"/>
      <c r="AG32" s="761"/>
      <c r="AH32" s="8"/>
      <c r="AI32" s="10"/>
    </row>
    <row r="33" spans="2:35" ht="15.75" hidden="1">
      <c r="B33" s="692" t="s">
        <v>4316</v>
      </c>
      <c r="C33" s="692" t="s">
        <v>4315</v>
      </c>
      <c r="D33" s="9"/>
      <c r="E33" s="692" t="s">
        <v>1737</v>
      </c>
      <c r="F33" s="692" t="s">
        <v>1992</v>
      </c>
      <c r="G33" s="692" t="s">
        <v>1905</v>
      </c>
      <c r="H33" s="692" t="s">
        <v>4394</v>
      </c>
      <c r="I33" s="692" t="s">
        <v>5</v>
      </c>
      <c r="J33" s="692" t="s">
        <v>41</v>
      </c>
      <c r="K33" s="692" t="s">
        <v>70</v>
      </c>
      <c r="L33" s="692" t="s">
        <v>6</v>
      </c>
      <c r="M33" s="692" t="str">
        <f t="shared" si="0"/>
        <v>1-18-04</v>
      </c>
      <c r="N33" s="692"/>
      <c r="O33" s="692"/>
      <c r="P33" s="692"/>
      <c r="Q33" s="762" t="s">
        <v>839</v>
      </c>
      <c r="R33" s="762" t="s">
        <v>1052</v>
      </c>
      <c r="S33" s="762" t="s">
        <v>4718</v>
      </c>
      <c r="T33" s="762">
        <v>22767639</v>
      </c>
      <c r="U33" s="762">
        <v>22769942</v>
      </c>
      <c r="V33" s="762" t="s">
        <v>1906</v>
      </c>
      <c r="W33" s="762" t="s">
        <v>2323</v>
      </c>
      <c r="X33" s="692"/>
      <c r="Y33" s="761"/>
      <c r="Z33" s="10"/>
      <c r="AA33" s="10"/>
      <c r="AB33" s="10"/>
      <c r="AC33" s="8"/>
      <c r="AD33" s="8"/>
      <c r="AE33" s="8"/>
      <c r="AF33" s="8"/>
      <c r="AG33" s="761"/>
      <c r="AH33" s="8"/>
      <c r="AI33" s="10"/>
    </row>
    <row r="34" spans="2:35" ht="15.75" hidden="1">
      <c r="B34" s="692" t="s">
        <v>4303</v>
      </c>
      <c r="C34" s="692" t="s">
        <v>4302</v>
      </c>
      <c r="D34" s="9"/>
      <c r="E34" s="692" t="s">
        <v>226</v>
      </c>
      <c r="F34" s="692" t="s">
        <v>1992</v>
      </c>
      <c r="G34" s="692" t="s">
        <v>2326</v>
      </c>
      <c r="H34" s="692" t="s">
        <v>387</v>
      </c>
      <c r="I34" s="692" t="s">
        <v>3</v>
      </c>
      <c r="J34" s="692" t="s">
        <v>41</v>
      </c>
      <c r="K34" s="692" t="s">
        <v>388</v>
      </c>
      <c r="L34" s="692" t="s">
        <v>3</v>
      </c>
      <c r="M34" s="692" t="str">
        <f t="shared" si="0"/>
        <v>1-19-01</v>
      </c>
      <c r="N34" s="692"/>
      <c r="O34" s="692"/>
      <c r="P34" s="692"/>
      <c r="Q34" s="762" t="s">
        <v>2644</v>
      </c>
      <c r="R34" s="762" t="s">
        <v>4804</v>
      </c>
      <c r="S34" s="762" t="s">
        <v>2327</v>
      </c>
      <c r="T34" s="762">
        <v>27715141</v>
      </c>
      <c r="U34" s="762">
        <v>27715141</v>
      </c>
      <c r="V34" s="762" t="s">
        <v>5457</v>
      </c>
      <c r="W34" s="762" t="s">
        <v>2328</v>
      </c>
      <c r="X34" s="692"/>
      <c r="Y34" s="761"/>
      <c r="Z34" s="10"/>
      <c r="AA34" s="10"/>
      <c r="AB34" s="10"/>
      <c r="AC34" s="8"/>
      <c r="AD34" s="8"/>
      <c r="AE34" s="8"/>
      <c r="AF34" s="8"/>
      <c r="AG34" s="761"/>
      <c r="AH34" s="8"/>
      <c r="AI34" s="10"/>
    </row>
    <row r="35" spans="2:35" ht="15.75" hidden="1">
      <c r="B35" s="692" t="s">
        <v>5509</v>
      </c>
      <c r="C35" s="692" t="s">
        <v>5508</v>
      </c>
      <c r="D35" s="9"/>
      <c r="E35" s="692" t="s">
        <v>945</v>
      </c>
      <c r="F35" s="692" t="s">
        <v>1992</v>
      </c>
      <c r="G35" s="692" t="s">
        <v>2335</v>
      </c>
      <c r="H35" s="692" t="s">
        <v>81</v>
      </c>
      <c r="I35" s="692" t="s">
        <v>7</v>
      </c>
      <c r="J35" s="692" t="s">
        <v>80</v>
      </c>
      <c r="K35" s="692" t="s">
        <v>3</v>
      </c>
      <c r="L35" s="692" t="s">
        <v>3</v>
      </c>
      <c r="M35" s="692" t="str">
        <f t="shared" si="0"/>
        <v>6-01-01</v>
      </c>
      <c r="N35" s="692"/>
      <c r="O35" s="692"/>
      <c r="P35" s="692"/>
      <c r="Q35" s="762" t="s">
        <v>81</v>
      </c>
      <c r="R35" s="762" t="s">
        <v>1052</v>
      </c>
      <c r="S35" s="762" t="s">
        <v>4719</v>
      </c>
      <c r="T35" s="762">
        <v>26612248</v>
      </c>
      <c r="U35" s="762">
        <v>26612248</v>
      </c>
      <c r="V35" s="762" t="s">
        <v>2336</v>
      </c>
      <c r="W35" s="762" t="s">
        <v>3707</v>
      </c>
      <c r="X35" s="692"/>
      <c r="Y35" s="761"/>
      <c r="Z35" s="10"/>
      <c r="AA35" s="10"/>
      <c r="AB35" s="10"/>
      <c r="AC35" s="8"/>
      <c r="AD35" s="8"/>
      <c r="AE35" s="8"/>
      <c r="AF35" s="8"/>
      <c r="AG35" s="761"/>
      <c r="AH35" s="8"/>
      <c r="AI35" s="10"/>
    </row>
    <row r="36" spans="2:35" ht="15.75">
      <c r="B36" s="692" t="s">
        <v>4502</v>
      </c>
      <c r="C36" s="692" t="s">
        <v>3695</v>
      </c>
      <c r="D36" s="9"/>
      <c r="E36" s="692" t="s">
        <v>1739</v>
      </c>
      <c r="F36" s="692" t="s">
        <v>1992</v>
      </c>
      <c r="G36" s="692" t="s">
        <v>1794</v>
      </c>
      <c r="H36" s="692" t="s">
        <v>4394</v>
      </c>
      <c r="I36" s="692" t="s">
        <v>5</v>
      </c>
      <c r="J36" s="692" t="s">
        <v>41</v>
      </c>
      <c r="K36" s="692" t="s">
        <v>70</v>
      </c>
      <c r="L36" s="692" t="s">
        <v>3</v>
      </c>
      <c r="M36" s="692" t="str">
        <f t="shared" si="0"/>
        <v>1-18-01</v>
      </c>
      <c r="N36" s="692"/>
      <c r="O36" s="692"/>
      <c r="P36" s="692"/>
      <c r="Q36" s="762" t="s">
        <v>78</v>
      </c>
      <c r="R36" s="762" t="s">
        <v>1052</v>
      </c>
      <c r="S36" s="762" t="s">
        <v>4514</v>
      </c>
      <c r="T36" s="762">
        <v>22725664</v>
      </c>
      <c r="U36" s="762">
        <v>22725410</v>
      </c>
      <c r="V36" s="762" t="s">
        <v>3992</v>
      </c>
      <c r="W36" s="762" t="s">
        <v>2342</v>
      </c>
      <c r="X36" s="692"/>
      <c r="Y36" s="761"/>
      <c r="Z36" s="10"/>
      <c r="AA36" s="10"/>
      <c r="AB36" s="10"/>
      <c r="AC36" s="8"/>
      <c r="AD36" s="8"/>
      <c r="AE36" s="8"/>
      <c r="AF36" s="8"/>
      <c r="AG36" s="761" t="s">
        <v>4493</v>
      </c>
      <c r="AH36" s="8"/>
      <c r="AI36" s="10"/>
    </row>
    <row r="37" spans="2:35" ht="15.75" hidden="1">
      <c r="B37" s="692" t="s">
        <v>4498</v>
      </c>
      <c r="C37" s="692" t="s">
        <v>419</v>
      </c>
      <c r="D37" s="9"/>
      <c r="E37" s="692" t="s">
        <v>1127</v>
      </c>
      <c r="F37" s="692" t="s">
        <v>1992</v>
      </c>
      <c r="G37" s="692" t="s">
        <v>1840</v>
      </c>
      <c r="H37" s="692" t="s">
        <v>4395</v>
      </c>
      <c r="I37" s="692" t="s">
        <v>5</v>
      </c>
      <c r="J37" s="692" t="s">
        <v>41</v>
      </c>
      <c r="K37" s="692" t="s">
        <v>4</v>
      </c>
      <c r="L37" s="692" t="s">
        <v>5</v>
      </c>
      <c r="M37" s="692" t="str">
        <f t="shared" si="0"/>
        <v>1-02-03</v>
      </c>
      <c r="N37" s="692"/>
      <c r="O37" s="692"/>
      <c r="P37" s="692"/>
      <c r="Q37" s="762" t="s">
        <v>4325</v>
      </c>
      <c r="R37" s="762" t="s">
        <v>1052</v>
      </c>
      <c r="S37" s="762" t="s">
        <v>1841</v>
      </c>
      <c r="T37" s="762">
        <v>22151016</v>
      </c>
      <c r="U37" s="762">
        <v>22151384</v>
      </c>
      <c r="V37" s="762" t="s">
        <v>1842</v>
      </c>
      <c r="W37" s="762" t="s">
        <v>1843</v>
      </c>
      <c r="X37" s="692"/>
      <c r="Y37" s="761"/>
      <c r="Z37" s="10"/>
      <c r="AA37" s="10"/>
      <c r="AB37" s="10"/>
      <c r="AC37" s="8"/>
      <c r="AD37" s="8"/>
      <c r="AE37" s="8"/>
      <c r="AF37" s="8"/>
      <c r="AG37" s="761"/>
      <c r="AH37" s="8"/>
      <c r="AI37" s="10"/>
    </row>
    <row r="38" spans="2:35" ht="15.75">
      <c r="B38" s="692" t="s">
        <v>4496</v>
      </c>
      <c r="C38" s="692" t="s">
        <v>241</v>
      </c>
      <c r="D38" s="9"/>
      <c r="E38" s="5" t="s">
        <v>1148</v>
      </c>
      <c r="F38" s="5" t="s">
        <v>1992</v>
      </c>
      <c r="G38" s="5" t="s">
        <v>1784</v>
      </c>
      <c r="H38" s="5" t="s">
        <v>298</v>
      </c>
      <c r="I38" s="5" t="s">
        <v>6</v>
      </c>
      <c r="J38" s="5" t="s">
        <v>126</v>
      </c>
      <c r="K38" s="5" t="s">
        <v>3</v>
      </c>
      <c r="L38" s="5" t="s">
        <v>3</v>
      </c>
      <c r="M38" s="692" t="str">
        <f t="shared" si="0"/>
        <v>5-01-01</v>
      </c>
      <c r="Q38" s="762" t="s">
        <v>375</v>
      </c>
      <c r="R38" s="762" t="s">
        <v>1052</v>
      </c>
      <c r="S38" s="762" t="s">
        <v>5976</v>
      </c>
      <c r="T38" s="762">
        <v>26660273</v>
      </c>
      <c r="U38" s="762">
        <v>26662953</v>
      </c>
      <c r="V38" s="762" t="s">
        <v>4910</v>
      </c>
      <c r="W38" s="762" t="s">
        <v>2343</v>
      </c>
      <c r="Y38" s="761"/>
      <c r="AG38" s="761" t="s">
        <v>4493</v>
      </c>
    </row>
    <row r="39" spans="2:35" ht="15.75" hidden="1">
      <c r="B39" s="692" t="s">
        <v>3982</v>
      </c>
      <c r="C39" s="692" t="s">
        <v>3971</v>
      </c>
      <c r="D39" s="9"/>
      <c r="E39" s="692" t="s">
        <v>1742</v>
      </c>
      <c r="F39" s="692" t="s">
        <v>1992</v>
      </c>
      <c r="G39" s="692" t="s">
        <v>3480</v>
      </c>
      <c r="H39" s="692" t="s">
        <v>125</v>
      </c>
      <c r="I39" s="692" t="s">
        <v>3</v>
      </c>
      <c r="J39" s="692" t="s">
        <v>126</v>
      </c>
      <c r="K39" s="692" t="s">
        <v>5</v>
      </c>
      <c r="L39" s="692" t="s">
        <v>3</v>
      </c>
      <c r="M39" s="692" t="str">
        <f t="shared" si="0"/>
        <v>5-03-01</v>
      </c>
      <c r="N39" s="692"/>
      <c r="O39" s="692"/>
      <c r="P39" s="692"/>
      <c r="Q39" s="762" t="s">
        <v>1787</v>
      </c>
      <c r="R39" s="762" t="s">
        <v>1052</v>
      </c>
      <c r="S39" s="762" t="s">
        <v>4326</v>
      </c>
      <c r="T39" s="762">
        <v>26801704</v>
      </c>
      <c r="U39" s="762">
        <v>26801704</v>
      </c>
      <c r="V39" s="762" t="s">
        <v>2347</v>
      </c>
      <c r="W39" s="762" t="s">
        <v>2348</v>
      </c>
      <c r="X39" s="692"/>
      <c r="Y39" s="761"/>
      <c r="Z39" s="10"/>
      <c r="AA39" s="10"/>
      <c r="AB39" s="10"/>
      <c r="AC39" s="8"/>
      <c r="AD39" s="8"/>
      <c r="AE39" s="8"/>
      <c r="AF39" s="8"/>
      <c r="AG39" s="761"/>
      <c r="AH39" s="8"/>
      <c r="AI39" s="10"/>
    </row>
    <row r="40" spans="2:35" ht="15.75" hidden="1">
      <c r="B40" s="692" t="s">
        <v>4295</v>
      </c>
      <c r="C40" s="692" t="s">
        <v>383</v>
      </c>
      <c r="D40" s="9"/>
      <c r="E40" s="692" t="s">
        <v>1740</v>
      </c>
      <c r="F40" s="692" t="s">
        <v>1992</v>
      </c>
      <c r="G40" s="692" t="s">
        <v>1993</v>
      </c>
      <c r="H40" s="692" t="s">
        <v>5729</v>
      </c>
      <c r="I40" s="692" t="s">
        <v>3</v>
      </c>
      <c r="J40" s="692" t="s">
        <v>68</v>
      </c>
      <c r="K40" s="692" t="s">
        <v>3</v>
      </c>
      <c r="L40" s="692" t="s">
        <v>3</v>
      </c>
      <c r="M40" s="692" t="str">
        <f t="shared" si="0"/>
        <v>7-01-01</v>
      </c>
      <c r="N40" s="692"/>
      <c r="O40" s="692"/>
      <c r="P40" s="692"/>
      <c r="Q40" s="762" t="s">
        <v>2349</v>
      </c>
      <c r="R40" s="762" t="s">
        <v>1052</v>
      </c>
      <c r="S40" s="762" t="s">
        <v>4911</v>
      </c>
      <c r="T40" s="762">
        <v>27953621</v>
      </c>
      <c r="U40" s="762">
        <v>27950800</v>
      </c>
      <c r="V40" s="762" t="s">
        <v>4515</v>
      </c>
      <c r="W40" s="762" t="s">
        <v>3708</v>
      </c>
      <c r="X40" s="692"/>
      <c r="Y40" s="761"/>
      <c r="Z40" s="10"/>
      <c r="AA40" s="10"/>
      <c r="AB40" s="10"/>
      <c r="AC40" s="8"/>
      <c r="AD40" s="8"/>
      <c r="AE40" s="8"/>
      <c r="AF40" s="8"/>
      <c r="AG40" s="761"/>
      <c r="AH40" s="8"/>
      <c r="AI40" s="10"/>
    </row>
    <row r="41" spans="2:35" ht="15.75" hidden="1">
      <c r="B41" s="692" t="s">
        <v>4495</v>
      </c>
      <c r="C41" s="692" t="s">
        <v>1158</v>
      </c>
      <c r="D41" s="9"/>
      <c r="E41" s="692" t="s">
        <v>1158</v>
      </c>
      <c r="F41" s="692" t="s">
        <v>1992</v>
      </c>
      <c r="G41" s="692" t="s">
        <v>4495</v>
      </c>
      <c r="H41" s="692" t="s">
        <v>4396</v>
      </c>
      <c r="I41" s="692" t="s">
        <v>5</v>
      </c>
      <c r="J41" s="692" t="s">
        <v>41</v>
      </c>
      <c r="K41" s="692" t="s">
        <v>107</v>
      </c>
      <c r="L41" s="692" t="s">
        <v>3</v>
      </c>
      <c r="M41" s="692" t="str">
        <f t="shared" si="0"/>
        <v>1-15-01</v>
      </c>
      <c r="N41" s="692"/>
      <c r="O41" s="692"/>
      <c r="P41" s="692"/>
      <c r="Q41" s="762" t="s">
        <v>2350</v>
      </c>
      <c r="R41" s="762" t="s">
        <v>4804</v>
      </c>
      <c r="S41" s="762" t="s">
        <v>5959</v>
      </c>
      <c r="T41" s="762">
        <v>22254017</v>
      </c>
      <c r="U41" s="762">
        <v>22830771</v>
      </c>
      <c r="V41" s="762" t="s">
        <v>4720</v>
      </c>
      <c r="W41" s="762" t="s">
        <v>2351</v>
      </c>
      <c r="X41" s="692"/>
      <c r="Y41" s="761"/>
      <c r="Z41" s="10"/>
      <c r="AA41" s="10"/>
      <c r="AB41" s="10"/>
      <c r="AC41" s="8"/>
      <c r="AD41" s="8"/>
      <c r="AE41" s="8"/>
      <c r="AF41" s="8"/>
      <c r="AG41" s="761"/>
      <c r="AH41" s="8"/>
      <c r="AI41" s="10"/>
    </row>
    <row r="42" spans="2:35" ht="15.75" hidden="1">
      <c r="B42" s="692" t="s">
        <v>3317</v>
      </c>
      <c r="C42" s="692" t="s">
        <v>921</v>
      </c>
      <c r="D42" s="9"/>
      <c r="E42" s="692" t="s">
        <v>242</v>
      </c>
      <c r="F42" s="692" t="s">
        <v>1992</v>
      </c>
      <c r="G42" s="692" t="s">
        <v>3974</v>
      </c>
      <c r="H42" s="692" t="s">
        <v>111</v>
      </c>
      <c r="I42" s="692" t="s">
        <v>9</v>
      </c>
      <c r="J42" s="692" t="s">
        <v>110</v>
      </c>
      <c r="K42" s="692" t="s">
        <v>9</v>
      </c>
      <c r="L42" s="692" t="s">
        <v>5</v>
      </c>
      <c r="M42" s="692" t="str">
        <f t="shared" si="0"/>
        <v>4-07-03</v>
      </c>
      <c r="N42" s="692"/>
      <c r="O42" s="692"/>
      <c r="P42" s="692"/>
      <c r="Q42" s="762" t="s">
        <v>1814</v>
      </c>
      <c r="R42" s="762" t="s">
        <v>1052</v>
      </c>
      <c r="S42" s="762" t="s">
        <v>5974</v>
      </c>
      <c r="T42" s="762">
        <v>22932567</v>
      </c>
      <c r="U42" s="762">
        <v>22390625</v>
      </c>
      <c r="V42" s="762" t="s">
        <v>4721</v>
      </c>
      <c r="W42" s="762" t="s">
        <v>2356</v>
      </c>
      <c r="X42" s="692"/>
      <c r="Y42" s="761"/>
      <c r="Z42" s="10"/>
      <c r="AA42" s="10"/>
      <c r="AB42" s="10"/>
      <c r="AC42" s="8"/>
      <c r="AD42" s="8"/>
      <c r="AE42" s="8"/>
      <c r="AF42" s="8"/>
      <c r="AG42" s="761"/>
      <c r="AH42" s="8"/>
      <c r="AI42" s="10"/>
    </row>
    <row r="43" spans="2:35" ht="15.75" hidden="1">
      <c r="B43" s="692" t="s">
        <v>2358</v>
      </c>
      <c r="C43" s="692" t="s">
        <v>244</v>
      </c>
      <c r="D43" s="9"/>
      <c r="E43" s="692" t="s">
        <v>241</v>
      </c>
      <c r="F43" s="692" t="s">
        <v>1992</v>
      </c>
      <c r="G43" s="692" t="s">
        <v>4496</v>
      </c>
      <c r="H43" s="692" t="s">
        <v>5729</v>
      </c>
      <c r="I43" s="692" t="s">
        <v>3</v>
      </c>
      <c r="J43" s="692" t="s">
        <v>68</v>
      </c>
      <c r="K43" s="692" t="s">
        <v>3</v>
      </c>
      <c r="L43" s="692" t="s">
        <v>3</v>
      </c>
      <c r="M43" s="692" t="str">
        <f t="shared" si="0"/>
        <v>7-01-01</v>
      </c>
      <c r="N43" s="692"/>
      <c r="O43" s="692"/>
      <c r="P43" s="692"/>
      <c r="Q43" s="762" t="s">
        <v>292</v>
      </c>
      <c r="R43" s="762" t="s">
        <v>1052</v>
      </c>
      <c r="S43" s="762" t="s">
        <v>5960</v>
      </c>
      <c r="T43" s="762">
        <v>27980530</v>
      </c>
      <c r="U43" s="762">
        <v>27985290</v>
      </c>
      <c r="V43" s="762" t="s">
        <v>3993</v>
      </c>
      <c r="W43" s="762" t="s">
        <v>2357</v>
      </c>
      <c r="X43" s="692"/>
      <c r="Y43" s="761"/>
      <c r="Z43" s="10"/>
      <c r="AA43" s="10"/>
      <c r="AB43" s="10"/>
      <c r="AC43" s="8"/>
      <c r="AD43" s="8"/>
      <c r="AE43" s="8"/>
      <c r="AF43" s="8"/>
      <c r="AG43" s="761"/>
      <c r="AH43" s="8"/>
      <c r="AI43" s="10"/>
    </row>
    <row r="44" spans="2:35" ht="15.75" hidden="1">
      <c r="B44" s="692" t="s">
        <v>2326</v>
      </c>
      <c r="C44" s="692" t="s">
        <v>226</v>
      </c>
      <c r="D44" s="9"/>
      <c r="E44" s="692" t="s">
        <v>244</v>
      </c>
      <c r="F44" s="692" t="s">
        <v>1992</v>
      </c>
      <c r="G44" s="692" t="s">
        <v>2358</v>
      </c>
      <c r="H44" s="692" t="s">
        <v>128</v>
      </c>
      <c r="I44" s="692" t="s">
        <v>3</v>
      </c>
      <c r="J44" s="692" t="s">
        <v>56</v>
      </c>
      <c r="K44" s="692" t="s">
        <v>3</v>
      </c>
      <c r="L44" s="692" t="s">
        <v>3</v>
      </c>
      <c r="M44" s="692" t="str">
        <f t="shared" si="0"/>
        <v>3-01-01</v>
      </c>
      <c r="N44" s="692"/>
      <c r="O44" s="692"/>
      <c r="P44" s="692"/>
      <c r="Q44" s="762" t="s">
        <v>1190</v>
      </c>
      <c r="R44" s="762" t="s">
        <v>4804</v>
      </c>
      <c r="S44" s="762" t="s">
        <v>4722</v>
      </c>
      <c r="T44" s="762">
        <v>25509358</v>
      </c>
      <c r="U44" s="762"/>
      <c r="V44" s="762" t="s">
        <v>5458</v>
      </c>
      <c r="W44" s="762" t="s">
        <v>2359</v>
      </c>
      <c r="X44" s="692"/>
      <c r="Y44" s="761"/>
      <c r="Z44" s="10"/>
      <c r="AA44" s="10"/>
      <c r="AB44" s="10"/>
      <c r="AC44" s="8"/>
      <c r="AD44" s="8"/>
      <c r="AE44" s="8"/>
      <c r="AF44" s="8"/>
      <c r="AG44" s="761"/>
      <c r="AH44" s="8"/>
      <c r="AI44" s="10"/>
    </row>
    <row r="45" spans="2:35" ht="15.75" hidden="1">
      <c r="B45" s="692" t="s">
        <v>2373</v>
      </c>
      <c r="C45" s="692" t="s">
        <v>1154</v>
      </c>
      <c r="D45" s="9"/>
      <c r="E45" s="692" t="s">
        <v>243</v>
      </c>
      <c r="F45" s="692" t="s">
        <v>1992</v>
      </c>
      <c r="G45" s="692" t="s">
        <v>1806</v>
      </c>
      <c r="H45" s="692" t="s">
        <v>4394</v>
      </c>
      <c r="I45" s="692" t="s">
        <v>7</v>
      </c>
      <c r="J45" s="692" t="s">
        <v>41</v>
      </c>
      <c r="K45" s="692" t="s">
        <v>3</v>
      </c>
      <c r="L45" s="692" t="s">
        <v>13</v>
      </c>
      <c r="M45" s="692" t="str">
        <f t="shared" si="0"/>
        <v>1-01-10</v>
      </c>
      <c r="N45" s="692"/>
      <c r="O45" s="692"/>
      <c r="P45" s="692"/>
      <c r="Q45" s="762" t="s">
        <v>1722</v>
      </c>
      <c r="R45" s="762" t="s">
        <v>1052</v>
      </c>
      <c r="S45" s="762" t="s">
        <v>2360</v>
      </c>
      <c r="T45" s="762">
        <v>22543651</v>
      </c>
      <c r="U45" s="762">
        <v>22543651</v>
      </c>
      <c r="V45" s="762" t="s">
        <v>2361</v>
      </c>
      <c r="W45" s="762" t="s">
        <v>2362</v>
      </c>
      <c r="X45" s="692"/>
      <c r="Y45" s="761"/>
      <c r="Z45" s="10"/>
      <c r="AA45" s="10"/>
      <c r="AB45" s="10"/>
      <c r="AC45" s="8"/>
      <c r="AD45" s="8"/>
      <c r="AE45" s="8"/>
      <c r="AF45" s="8"/>
      <c r="AG45" s="761"/>
      <c r="AH45" s="8"/>
      <c r="AI45" s="10"/>
    </row>
    <row r="46" spans="2:35" ht="15.75" hidden="1">
      <c r="B46" s="692" t="s">
        <v>4947</v>
      </c>
      <c r="C46" s="692" t="s">
        <v>4946</v>
      </c>
      <c r="D46" s="9"/>
      <c r="E46" s="692" t="s">
        <v>178</v>
      </c>
      <c r="F46" s="692" t="s">
        <v>1992</v>
      </c>
      <c r="G46" s="692" t="s">
        <v>1765</v>
      </c>
      <c r="H46" s="692" t="s">
        <v>66</v>
      </c>
      <c r="I46" s="692" t="s">
        <v>4</v>
      </c>
      <c r="J46" s="692" t="s">
        <v>43</v>
      </c>
      <c r="K46" s="692" t="s">
        <v>3</v>
      </c>
      <c r="L46" s="692" t="s">
        <v>13</v>
      </c>
      <c r="M46" s="692" t="str">
        <f t="shared" si="0"/>
        <v>2-01-10</v>
      </c>
      <c r="N46" s="692"/>
      <c r="O46" s="692"/>
      <c r="P46" s="692"/>
      <c r="Q46" s="762" t="s">
        <v>47</v>
      </c>
      <c r="R46" s="762" t="s">
        <v>1052</v>
      </c>
      <c r="S46" s="762" t="s">
        <v>1766</v>
      </c>
      <c r="T46" s="762">
        <v>24408200</v>
      </c>
      <c r="U46" s="762">
        <v>24411669</v>
      </c>
      <c r="V46" s="762" t="s">
        <v>3709</v>
      </c>
      <c r="W46" s="762" t="s">
        <v>3710</v>
      </c>
      <c r="X46" s="692"/>
      <c r="Y46" s="761"/>
      <c r="Z46" s="10"/>
      <c r="AA46" s="10"/>
      <c r="AB46" s="10"/>
      <c r="AC46" s="8"/>
      <c r="AD46" s="8"/>
      <c r="AE46" s="8"/>
      <c r="AF46" s="8"/>
      <c r="AG46" s="761"/>
      <c r="AH46" s="8"/>
      <c r="AI46" s="10"/>
    </row>
    <row r="47" spans="2:35" ht="15.75" hidden="1">
      <c r="B47" s="692" t="s">
        <v>2935</v>
      </c>
      <c r="C47" s="692" t="s">
        <v>555</v>
      </c>
      <c r="D47" s="9"/>
      <c r="E47" s="692" t="s">
        <v>252</v>
      </c>
      <c r="F47" s="692" t="s">
        <v>1992</v>
      </c>
      <c r="G47" s="692" t="s">
        <v>2369</v>
      </c>
      <c r="H47" s="692" t="s">
        <v>65</v>
      </c>
      <c r="I47" s="692" t="s">
        <v>5</v>
      </c>
      <c r="J47" s="692" t="s">
        <v>43</v>
      </c>
      <c r="K47" s="692" t="s">
        <v>4</v>
      </c>
      <c r="L47" s="692" t="s">
        <v>12</v>
      </c>
      <c r="M47" s="692" t="str">
        <f t="shared" si="0"/>
        <v>2-02-09</v>
      </c>
      <c r="N47" s="692"/>
      <c r="O47" s="692"/>
      <c r="P47" s="692"/>
      <c r="Q47" s="762" t="s">
        <v>684</v>
      </c>
      <c r="R47" s="762" t="s">
        <v>1052</v>
      </c>
      <c r="S47" s="762" t="s">
        <v>3994</v>
      </c>
      <c r="T47" s="762">
        <v>24456454</v>
      </c>
      <c r="U47" s="762">
        <v>24456454</v>
      </c>
      <c r="V47" s="762" t="s">
        <v>1815</v>
      </c>
      <c r="W47" s="762" t="s">
        <v>2370</v>
      </c>
      <c r="X47" s="692"/>
      <c r="Y47" s="761"/>
      <c r="Z47" s="10"/>
      <c r="AA47" s="10"/>
      <c r="AB47" s="10"/>
      <c r="AC47" s="8"/>
      <c r="AD47" s="8"/>
      <c r="AE47" s="8"/>
      <c r="AF47" s="8"/>
      <c r="AG47" s="761"/>
      <c r="AH47" s="8"/>
      <c r="AI47" s="10"/>
    </row>
    <row r="48" spans="2:35" ht="15.75" hidden="1">
      <c r="B48" s="692" t="s">
        <v>4951</v>
      </c>
      <c r="C48" s="692" t="s">
        <v>726</v>
      </c>
      <c r="D48" s="9"/>
      <c r="E48" s="692" t="s">
        <v>1154</v>
      </c>
      <c r="F48" s="692" t="s">
        <v>1992</v>
      </c>
      <c r="G48" s="692" t="s">
        <v>2373</v>
      </c>
      <c r="H48" s="692" t="s">
        <v>65</v>
      </c>
      <c r="I48" s="692" t="s">
        <v>5</v>
      </c>
      <c r="J48" s="692" t="s">
        <v>43</v>
      </c>
      <c r="K48" s="692" t="s">
        <v>4</v>
      </c>
      <c r="L48" s="692" t="s">
        <v>12</v>
      </c>
      <c r="M48" s="692" t="str">
        <f t="shared" si="0"/>
        <v>2-02-09</v>
      </c>
      <c r="N48" s="692"/>
      <c r="O48" s="692"/>
      <c r="P48" s="692"/>
      <c r="Q48" s="762" t="s">
        <v>236</v>
      </c>
      <c r="R48" s="762" t="s">
        <v>4804</v>
      </c>
      <c r="S48" s="762" t="s">
        <v>5459</v>
      </c>
      <c r="T48" s="762">
        <v>89815397</v>
      </c>
      <c r="U48" s="762">
        <v>25117116</v>
      </c>
      <c r="V48" s="762" t="s">
        <v>2374</v>
      </c>
      <c r="W48" s="762" t="s">
        <v>2375</v>
      </c>
      <c r="X48" s="692"/>
      <c r="Y48" s="761"/>
      <c r="Z48" s="10"/>
      <c r="AA48" s="10"/>
      <c r="AB48" s="10"/>
      <c r="AC48" s="8"/>
      <c r="AD48" s="8"/>
      <c r="AE48" s="8"/>
      <c r="AF48" s="8"/>
      <c r="AG48" s="761"/>
      <c r="AH48" s="8"/>
      <c r="AI48" s="10"/>
    </row>
    <row r="49" spans="2:35" ht="15.75" hidden="1">
      <c r="B49" s="692" t="s">
        <v>2484</v>
      </c>
      <c r="C49" s="692" t="s">
        <v>333</v>
      </c>
      <c r="D49" s="9"/>
      <c r="E49" s="692" t="s">
        <v>895</v>
      </c>
      <c r="F49" s="692" t="s">
        <v>1992</v>
      </c>
      <c r="G49" s="692" t="s">
        <v>2376</v>
      </c>
      <c r="H49" s="692" t="s">
        <v>4395</v>
      </c>
      <c r="I49" s="692" t="s">
        <v>6</v>
      </c>
      <c r="J49" s="692" t="s">
        <v>41</v>
      </c>
      <c r="K49" s="692" t="s">
        <v>12</v>
      </c>
      <c r="L49" s="692" t="s">
        <v>6</v>
      </c>
      <c r="M49" s="692" t="str">
        <f t="shared" si="0"/>
        <v>1-09-04</v>
      </c>
      <c r="N49" s="692"/>
      <c r="O49" s="692"/>
      <c r="P49" s="692"/>
      <c r="Q49" s="762" t="s">
        <v>4114</v>
      </c>
      <c r="R49" s="762" t="s">
        <v>1052</v>
      </c>
      <c r="S49" s="762" t="s">
        <v>3711</v>
      </c>
      <c r="T49" s="762">
        <v>22826683</v>
      </c>
      <c r="U49" s="762">
        <v>22826683</v>
      </c>
      <c r="V49" s="762" t="s">
        <v>3995</v>
      </c>
      <c r="W49" s="762" t="s">
        <v>4327</v>
      </c>
      <c r="X49" s="692"/>
      <c r="Y49" s="761"/>
      <c r="Z49" s="10"/>
      <c r="AA49" s="10"/>
      <c r="AB49" s="10"/>
      <c r="AC49" s="8"/>
      <c r="AD49" s="8"/>
      <c r="AE49" s="8"/>
      <c r="AF49" s="8"/>
      <c r="AG49" s="761"/>
      <c r="AH49" s="8"/>
      <c r="AI49" s="10"/>
    </row>
    <row r="50" spans="2:35" ht="15.75" hidden="1">
      <c r="B50" s="692" t="s">
        <v>5475</v>
      </c>
      <c r="C50" s="692" t="s">
        <v>413</v>
      </c>
      <c r="D50" s="9"/>
      <c r="E50" s="692" t="s">
        <v>949</v>
      </c>
      <c r="F50" s="692" t="s">
        <v>1992</v>
      </c>
      <c r="G50" s="692" t="s">
        <v>2377</v>
      </c>
      <c r="H50" s="692" t="s">
        <v>4396</v>
      </c>
      <c r="I50" s="692" t="s">
        <v>7</v>
      </c>
      <c r="J50" s="692" t="s">
        <v>41</v>
      </c>
      <c r="K50" s="692" t="s">
        <v>118</v>
      </c>
      <c r="L50" s="692" t="s">
        <v>3</v>
      </c>
      <c r="M50" s="692" t="str">
        <f t="shared" si="0"/>
        <v>1-14-01</v>
      </c>
      <c r="N50" s="692"/>
      <c r="O50" s="692"/>
      <c r="P50" s="692"/>
      <c r="Q50" s="762" t="s">
        <v>239</v>
      </c>
      <c r="R50" s="762" t="s">
        <v>1052</v>
      </c>
      <c r="S50" s="762" t="s">
        <v>4912</v>
      </c>
      <c r="T50" s="762">
        <v>22407511</v>
      </c>
      <c r="U50" s="762">
        <v>22369796</v>
      </c>
      <c r="V50" s="762" t="s">
        <v>4516</v>
      </c>
      <c r="W50" s="762" t="s">
        <v>2378</v>
      </c>
      <c r="X50" s="692"/>
      <c r="Y50" s="761"/>
      <c r="Z50" s="10"/>
      <c r="AA50" s="10"/>
      <c r="AB50" s="10"/>
      <c r="AC50" s="8"/>
      <c r="AD50" s="8"/>
      <c r="AE50" s="8"/>
      <c r="AF50" s="8"/>
      <c r="AG50" s="761"/>
      <c r="AH50" s="8"/>
      <c r="AI50" s="10"/>
    </row>
    <row r="51" spans="2:35" ht="15.75" hidden="1">
      <c r="B51" s="692" t="s">
        <v>5484</v>
      </c>
      <c r="C51" s="692" t="s">
        <v>424</v>
      </c>
      <c r="D51" s="9"/>
      <c r="E51" s="692" t="s">
        <v>2379</v>
      </c>
      <c r="F51" s="692" t="s">
        <v>1992</v>
      </c>
      <c r="G51" s="692" t="s">
        <v>1821</v>
      </c>
      <c r="H51" s="692" t="s">
        <v>4396</v>
      </c>
      <c r="I51" s="692" t="s">
        <v>7</v>
      </c>
      <c r="J51" s="692" t="s">
        <v>41</v>
      </c>
      <c r="K51" s="692" t="s">
        <v>118</v>
      </c>
      <c r="L51" s="692" t="s">
        <v>3</v>
      </c>
      <c r="M51" s="692" t="str">
        <f t="shared" si="0"/>
        <v>1-14-01</v>
      </c>
      <c r="N51" s="692"/>
      <c r="O51" s="692"/>
      <c r="P51" s="692"/>
      <c r="Q51" s="762" t="s">
        <v>770</v>
      </c>
      <c r="R51" s="762" t="s">
        <v>1052</v>
      </c>
      <c r="S51" s="762" t="s">
        <v>4723</v>
      </c>
      <c r="T51" s="762">
        <v>25079874</v>
      </c>
      <c r="U51" s="762">
        <v>25079812</v>
      </c>
      <c r="V51" s="762" t="s">
        <v>1822</v>
      </c>
      <c r="W51" s="762" t="s">
        <v>4328</v>
      </c>
      <c r="X51" s="692"/>
      <c r="Y51" s="761"/>
      <c r="Z51" s="10"/>
      <c r="AA51" s="10"/>
      <c r="AB51" s="10"/>
      <c r="AC51" s="8"/>
      <c r="AD51" s="8"/>
      <c r="AE51" s="8"/>
      <c r="AF51" s="8"/>
      <c r="AG51" s="761"/>
      <c r="AH51" s="8"/>
      <c r="AI51" s="10"/>
    </row>
    <row r="52" spans="2:35" ht="15.75" hidden="1">
      <c r="B52" s="692" t="s">
        <v>5462</v>
      </c>
      <c r="C52" s="692" t="s">
        <v>157</v>
      </c>
      <c r="D52" s="9"/>
      <c r="E52" s="692" t="s">
        <v>1065</v>
      </c>
      <c r="F52" s="692" t="s">
        <v>1992</v>
      </c>
      <c r="G52" s="692" t="s">
        <v>1788</v>
      </c>
      <c r="H52" s="692" t="s">
        <v>4396</v>
      </c>
      <c r="I52" s="692" t="s">
        <v>5</v>
      </c>
      <c r="J52" s="692" t="s">
        <v>41</v>
      </c>
      <c r="K52" s="692" t="s">
        <v>107</v>
      </c>
      <c r="L52" s="692" t="s">
        <v>3</v>
      </c>
      <c r="M52" s="692" t="str">
        <f t="shared" si="0"/>
        <v>1-15-01</v>
      </c>
      <c r="N52" s="692"/>
      <c r="O52" s="692"/>
      <c r="P52" s="692"/>
      <c r="Q52" s="762" t="s">
        <v>208</v>
      </c>
      <c r="R52" s="762" t="s">
        <v>1052</v>
      </c>
      <c r="S52" s="762" t="s">
        <v>4517</v>
      </c>
      <c r="T52" s="762">
        <v>22341424</v>
      </c>
      <c r="U52" s="762"/>
      <c r="V52" s="762" t="s">
        <v>1789</v>
      </c>
      <c r="W52" s="762" t="s">
        <v>2380</v>
      </c>
      <c r="X52" s="692"/>
      <c r="Y52" s="761"/>
      <c r="Z52" s="10"/>
      <c r="AA52" s="10"/>
      <c r="AB52" s="10"/>
      <c r="AC52" s="8"/>
      <c r="AD52" s="8"/>
      <c r="AE52" s="8"/>
      <c r="AF52" s="8"/>
      <c r="AG52" s="761"/>
      <c r="AH52" s="8"/>
      <c r="AI52" s="10"/>
    </row>
    <row r="53" spans="2:35" ht="15.75" hidden="1">
      <c r="B53" s="692" t="s">
        <v>5468</v>
      </c>
      <c r="C53" s="692" t="s">
        <v>371</v>
      </c>
      <c r="D53" s="9"/>
      <c r="E53" s="692" t="s">
        <v>898</v>
      </c>
      <c r="F53" s="692" t="s">
        <v>1992</v>
      </c>
      <c r="G53" s="692" t="s">
        <v>3481</v>
      </c>
      <c r="H53" s="692" t="s">
        <v>5729</v>
      </c>
      <c r="I53" s="692" t="s">
        <v>3</v>
      </c>
      <c r="J53" s="692" t="s">
        <v>68</v>
      </c>
      <c r="K53" s="692" t="s">
        <v>3</v>
      </c>
      <c r="L53" s="692" t="s">
        <v>3</v>
      </c>
      <c r="M53" s="692" t="str">
        <f t="shared" si="0"/>
        <v>7-01-01</v>
      </c>
      <c r="N53" s="692"/>
      <c r="O53" s="692"/>
      <c r="P53" s="692"/>
      <c r="Q53" s="762" t="s">
        <v>2398</v>
      </c>
      <c r="R53" s="762" t="s">
        <v>1052</v>
      </c>
      <c r="S53" s="762" t="s">
        <v>5460</v>
      </c>
      <c r="T53" s="762">
        <v>27984544</v>
      </c>
      <c r="U53" s="762">
        <v>27982622</v>
      </c>
      <c r="V53" s="762" t="s">
        <v>1793</v>
      </c>
      <c r="W53" s="762" t="s">
        <v>2399</v>
      </c>
      <c r="X53" s="692"/>
      <c r="Y53" s="761"/>
      <c r="Z53" s="10"/>
      <c r="AA53" s="10"/>
      <c r="AB53" s="10"/>
      <c r="AC53" s="8"/>
      <c r="AD53" s="8"/>
      <c r="AE53" s="8"/>
      <c r="AF53" s="8"/>
      <c r="AG53" s="761"/>
      <c r="AH53" s="8"/>
      <c r="AI53" s="10"/>
    </row>
    <row r="54" spans="2:35" ht="15.75" hidden="1">
      <c r="B54" s="692" t="s">
        <v>2791</v>
      </c>
      <c r="C54" s="692" t="s">
        <v>902</v>
      </c>
      <c r="D54" s="9"/>
      <c r="E54" s="692" t="s">
        <v>267</v>
      </c>
      <c r="F54" s="692" t="s">
        <v>1992</v>
      </c>
      <c r="G54" s="692" t="s">
        <v>5461</v>
      </c>
      <c r="H54" s="692" t="s">
        <v>750</v>
      </c>
      <c r="I54" s="692" t="s">
        <v>3</v>
      </c>
      <c r="J54" s="692" t="s">
        <v>68</v>
      </c>
      <c r="K54" s="692" t="s">
        <v>4</v>
      </c>
      <c r="L54" s="692" t="s">
        <v>3</v>
      </c>
      <c r="M54" s="692" t="str">
        <f t="shared" si="0"/>
        <v>7-02-01</v>
      </c>
      <c r="N54" s="692"/>
      <c r="O54" s="692"/>
      <c r="P54" s="692"/>
      <c r="Q54" s="762" t="s">
        <v>211</v>
      </c>
      <c r="R54" s="762" t="s">
        <v>1052</v>
      </c>
      <c r="S54" s="762" t="s">
        <v>4329</v>
      </c>
      <c r="T54" s="762">
        <v>27100475</v>
      </c>
      <c r="U54" s="762">
        <v>27105646</v>
      </c>
      <c r="V54" s="762" t="s">
        <v>1868</v>
      </c>
      <c r="W54" s="762" t="s">
        <v>4913</v>
      </c>
      <c r="X54" s="692"/>
      <c r="Y54" s="761"/>
      <c r="Z54" s="10"/>
      <c r="AA54" s="10"/>
      <c r="AB54" s="10"/>
      <c r="AC54" s="8"/>
      <c r="AD54" s="8"/>
      <c r="AE54" s="8"/>
      <c r="AF54" s="8"/>
      <c r="AG54" s="761"/>
      <c r="AH54" s="8"/>
      <c r="AI54" s="10"/>
    </row>
    <row r="55" spans="2:35" ht="15.75" hidden="1">
      <c r="B55" s="692" t="s">
        <v>5461</v>
      </c>
      <c r="C55" s="692" t="s">
        <v>267</v>
      </c>
      <c r="D55" s="9"/>
      <c r="E55" s="692" t="s">
        <v>270</v>
      </c>
      <c r="F55" s="692" t="s">
        <v>1992</v>
      </c>
      <c r="G55" s="692" t="s">
        <v>5717</v>
      </c>
      <c r="H55" s="692" t="s">
        <v>65</v>
      </c>
      <c r="I55" s="692" t="s">
        <v>8</v>
      </c>
      <c r="J55" s="692" t="s">
        <v>43</v>
      </c>
      <c r="K55" s="692" t="s">
        <v>9</v>
      </c>
      <c r="L55" s="692" t="s">
        <v>5</v>
      </c>
      <c r="M55" s="692" t="str">
        <f t="shared" si="0"/>
        <v>2-07-03</v>
      </c>
      <c r="N55" s="692"/>
      <c r="O55" s="692"/>
      <c r="P55" s="692"/>
      <c r="Q55" s="762" t="s">
        <v>5897</v>
      </c>
      <c r="R55" s="762" t="s">
        <v>1052</v>
      </c>
      <c r="S55" s="762" t="s">
        <v>1865</v>
      </c>
      <c r="T55" s="762">
        <v>40015939</v>
      </c>
      <c r="U55" s="762"/>
      <c r="V55" s="762" t="s">
        <v>5898</v>
      </c>
      <c r="W55" s="762" t="s">
        <v>1866</v>
      </c>
      <c r="X55" s="692"/>
      <c r="Y55" s="761"/>
      <c r="Z55" s="10"/>
      <c r="AA55" s="10"/>
      <c r="AB55" s="10"/>
      <c r="AC55" s="8"/>
      <c r="AD55" s="8"/>
      <c r="AE55" s="8"/>
      <c r="AF55" s="8"/>
      <c r="AG55" s="761"/>
      <c r="AH55" s="8"/>
      <c r="AI55" s="10"/>
    </row>
    <row r="56" spans="2:35" ht="15.75" hidden="1">
      <c r="B56" s="692" t="s">
        <v>2369</v>
      </c>
      <c r="C56" s="692" t="s">
        <v>252</v>
      </c>
      <c r="D56" s="9"/>
      <c r="E56" s="692" t="s">
        <v>157</v>
      </c>
      <c r="F56" s="692" t="s">
        <v>1992</v>
      </c>
      <c r="G56" s="692" t="s">
        <v>5462</v>
      </c>
      <c r="H56" s="692" t="s">
        <v>4395</v>
      </c>
      <c r="I56" s="692" t="s">
        <v>3</v>
      </c>
      <c r="J56" s="692" t="s">
        <v>41</v>
      </c>
      <c r="K56" s="692" t="s">
        <v>3</v>
      </c>
      <c r="L56" s="692" t="s">
        <v>11</v>
      </c>
      <c r="M56" s="692" t="str">
        <f t="shared" si="0"/>
        <v>1-01-08</v>
      </c>
      <c r="N56" s="692"/>
      <c r="O56" s="692"/>
      <c r="P56" s="692"/>
      <c r="Q56" s="762" t="s">
        <v>105</v>
      </c>
      <c r="R56" s="762" t="s">
        <v>1052</v>
      </c>
      <c r="S56" s="762" t="s">
        <v>2412</v>
      </c>
      <c r="T56" s="762">
        <v>22201324</v>
      </c>
      <c r="U56" s="762"/>
      <c r="V56" s="762" t="s">
        <v>3712</v>
      </c>
      <c r="W56" s="762" t="s">
        <v>3996</v>
      </c>
      <c r="X56" s="692"/>
      <c r="Y56" s="761"/>
      <c r="Z56" s="10"/>
      <c r="AA56" s="10"/>
      <c r="AB56" s="10"/>
      <c r="AC56" s="8"/>
      <c r="AD56" s="8"/>
      <c r="AE56" s="8"/>
      <c r="AF56" s="8"/>
      <c r="AG56" s="761"/>
      <c r="AH56" s="8"/>
      <c r="AI56" s="10"/>
    </row>
    <row r="57" spans="2:35" ht="15.75" hidden="1">
      <c r="B57" s="692" t="s">
        <v>5722</v>
      </c>
      <c r="C57" s="692" t="s">
        <v>640</v>
      </c>
      <c r="D57" s="9"/>
      <c r="E57" s="692" t="s">
        <v>162</v>
      </c>
      <c r="F57" s="692" t="s">
        <v>1992</v>
      </c>
      <c r="G57" s="692" t="s">
        <v>461</v>
      </c>
      <c r="H57" s="692" t="s">
        <v>4396</v>
      </c>
      <c r="I57" s="692" t="s">
        <v>5</v>
      </c>
      <c r="J57" s="692" t="s">
        <v>41</v>
      </c>
      <c r="K57" s="692" t="s">
        <v>107</v>
      </c>
      <c r="L57" s="692" t="s">
        <v>3</v>
      </c>
      <c r="M57" s="692" t="str">
        <f t="shared" si="0"/>
        <v>1-15-01</v>
      </c>
      <c r="N57" s="692"/>
      <c r="O57" s="692"/>
      <c r="P57" s="692"/>
      <c r="Q57" s="762" t="s">
        <v>76</v>
      </c>
      <c r="R57" s="762" t="s">
        <v>1052</v>
      </c>
      <c r="S57" s="762" t="s">
        <v>3997</v>
      </c>
      <c r="T57" s="762">
        <v>22532900</v>
      </c>
      <c r="U57" s="762">
        <v>22342123</v>
      </c>
      <c r="V57" s="762" t="s">
        <v>4518</v>
      </c>
      <c r="W57" s="762" t="s">
        <v>1800</v>
      </c>
      <c r="X57" s="692"/>
      <c r="Y57" s="761"/>
      <c r="Z57" s="10"/>
      <c r="AA57" s="10"/>
      <c r="AB57" s="10"/>
      <c r="AC57" s="8"/>
      <c r="AD57" s="8"/>
      <c r="AE57" s="8"/>
      <c r="AF57" s="8"/>
      <c r="AG57" s="761"/>
      <c r="AH57" s="8"/>
      <c r="AI57" s="10"/>
    </row>
    <row r="58" spans="2:35" ht="15.75">
      <c r="B58" s="692" t="s">
        <v>2147</v>
      </c>
      <c r="C58" s="692" t="s">
        <v>114</v>
      </c>
      <c r="D58" s="9"/>
      <c r="E58" s="692" t="s">
        <v>139</v>
      </c>
      <c r="F58" s="692" t="s">
        <v>1992</v>
      </c>
      <c r="G58" s="692" t="s">
        <v>1816</v>
      </c>
      <c r="H58" s="692" t="s">
        <v>4396</v>
      </c>
      <c r="I58" s="692" t="s">
        <v>5</v>
      </c>
      <c r="J58" s="692" t="s">
        <v>56</v>
      </c>
      <c r="K58" s="692" t="s">
        <v>5</v>
      </c>
      <c r="L58" s="692" t="s">
        <v>5</v>
      </c>
      <c r="M58" s="692" t="str">
        <f t="shared" si="0"/>
        <v>3-03-03</v>
      </c>
      <c r="N58" s="692"/>
      <c r="O58" s="692"/>
      <c r="P58" s="692"/>
      <c r="Q58" s="762" t="s">
        <v>94</v>
      </c>
      <c r="R58" s="762" t="s">
        <v>1052</v>
      </c>
      <c r="S58" s="762" t="s">
        <v>4914</v>
      </c>
      <c r="T58" s="762">
        <v>22794444</v>
      </c>
      <c r="U58" s="762"/>
      <c r="V58" s="762" t="s">
        <v>1817</v>
      </c>
      <c r="W58" s="762" t="s">
        <v>1818</v>
      </c>
      <c r="X58" s="692"/>
      <c r="Y58" s="761"/>
      <c r="Z58" s="10"/>
      <c r="AA58" s="10"/>
      <c r="AB58" s="10"/>
      <c r="AC58" s="8"/>
      <c r="AD58" s="8"/>
      <c r="AE58" s="8"/>
      <c r="AF58" s="8"/>
      <c r="AG58" s="761" t="s">
        <v>4493</v>
      </c>
      <c r="AH58" s="8"/>
      <c r="AI58" s="10"/>
    </row>
    <row r="59" spans="2:35" ht="15.75" hidden="1">
      <c r="B59" s="692" t="s">
        <v>3500</v>
      </c>
      <c r="C59" s="692" t="s">
        <v>479</v>
      </c>
      <c r="D59" s="9"/>
      <c r="E59" s="692" t="s">
        <v>1744</v>
      </c>
      <c r="F59" s="692" t="s">
        <v>1992</v>
      </c>
      <c r="G59" s="692" t="s">
        <v>4693</v>
      </c>
      <c r="H59" s="692" t="s">
        <v>66</v>
      </c>
      <c r="I59" s="692" t="s">
        <v>12</v>
      </c>
      <c r="J59" s="692" t="s">
        <v>43</v>
      </c>
      <c r="K59" s="692" t="s">
        <v>12</v>
      </c>
      <c r="L59" s="692" t="s">
        <v>3</v>
      </c>
      <c r="M59" s="692" t="str">
        <f t="shared" si="0"/>
        <v>2-09-01</v>
      </c>
      <c r="N59" s="692"/>
      <c r="O59" s="692"/>
      <c r="P59" s="692"/>
      <c r="Q59" s="762" t="s">
        <v>1855</v>
      </c>
      <c r="R59" s="762" t="s">
        <v>1052</v>
      </c>
      <c r="S59" s="762" t="s">
        <v>1856</v>
      </c>
      <c r="T59" s="762">
        <v>24289910</v>
      </c>
      <c r="U59" s="762">
        <v>24287436</v>
      </c>
      <c r="V59" s="762" t="s">
        <v>1857</v>
      </c>
      <c r="W59" s="762" t="s">
        <v>2423</v>
      </c>
      <c r="X59" s="692"/>
      <c r="Y59" s="761"/>
      <c r="Z59" s="10"/>
      <c r="AA59" s="10"/>
      <c r="AB59" s="10"/>
      <c r="AC59" s="8"/>
      <c r="AD59" s="8"/>
      <c r="AE59" s="8"/>
      <c r="AF59" s="8"/>
      <c r="AG59" s="761"/>
      <c r="AH59" s="8"/>
      <c r="AI59" s="10"/>
    </row>
    <row r="60" spans="2:35" ht="15.75" hidden="1">
      <c r="B60" s="692" t="s">
        <v>4699</v>
      </c>
      <c r="C60" s="692" t="s">
        <v>245</v>
      </c>
      <c r="D60" s="9"/>
      <c r="E60" s="692" t="s">
        <v>275</v>
      </c>
      <c r="F60" s="692" t="s">
        <v>1992</v>
      </c>
      <c r="G60" s="692" t="s">
        <v>1831</v>
      </c>
      <c r="H60" s="692" t="s">
        <v>4394</v>
      </c>
      <c r="I60" s="692" t="s">
        <v>5</v>
      </c>
      <c r="J60" s="692" t="s">
        <v>41</v>
      </c>
      <c r="K60" s="692" t="s">
        <v>3</v>
      </c>
      <c r="L60" s="692" t="s">
        <v>16</v>
      </c>
      <c r="M60" s="692" t="str">
        <f t="shared" si="0"/>
        <v>1-01-11</v>
      </c>
      <c r="N60" s="692"/>
      <c r="O60" s="692"/>
      <c r="P60" s="692"/>
      <c r="Q60" s="762" t="s">
        <v>1832</v>
      </c>
      <c r="R60" s="762" t="s">
        <v>1052</v>
      </c>
      <c r="S60" s="762" t="s">
        <v>5918</v>
      </c>
      <c r="T60" s="762">
        <v>22272141</v>
      </c>
      <c r="U60" s="762">
        <v>22272141</v>
      </c>
      <c r="V60" s="762" t="s">
        <v>1833</v>
      </c>
      <c r="W60" s="762" t="s">
        <v>2424</v>
      </c>
      <c r="X60" s="692"/>
      <c r="Y60" s="761"/>
      <c r="Z60" s="10"/>
      <c r="AA60" s="10"/>
      <c r="AB60" s="10"/>
      <c r="AC60" s="8"/>
      <c r="AD60" s="8"/>
      <c r="AE60" s="8"/>
      <c r="AF60" s="8"/>
      <c r="AG60" s="761"/>
      <c r="AH60" s="8"/>
      <c r="AI60" s="10"/>
    </row>
    <row r="61" spans="2:35" ht="15.75">
      <c r="B61" s="692" t="s">
        <v>4704</v>
      </c>
      <c r="C61" s="692" t="s">
        <v>313</v>
      </c>
      <c r="D61" s="9"/>
      <c r="E61" s="692" t="s">
        <v>277</v>
      </c>
      <c r="F61" s="692" t="s">
        <v>1992</v>
      </c>
      <c r="G61" s="692" t="s">
        <v>4294</v>
      </c>
      <c r="H61" s="692" t="s">
        <v>4395</v>
      </c>
      <c r="I61" s="692" t="s">
        <v>5</v>
      </c>
      <c r="J61" s="692" t="s">
        <v>41</v>
      </c>
      <c r="K61" s="692" t="s">
        <v>4</v>
      </c>
      <c r="L61" s="692" t="s">
        <v>5</v>
      </c>
      <c r="M61" s="692" t="str">
        <f t="shared" si="0"/>
        <v>1-02-03</v>
      </c>
      <c r="N61" s="692"/>
      <c r="O61" s="692"/>
      <c r="P61" s="692"/>
      <c r="Q61" s="762" t="s">
        <v>4325</v>
      </c>
      <c r="R61" s="762" t="s">
        <v>1052</v>
      </c>
      <c r="S61" s="762" t="s">
        <v>4724</v>
      </c>
      <c r="T61" s="762">
        <v>22152204</v>
      </c>
      <c r="U61" s="762"/>
      <c r="V61" s="762" t="s">
        <v>5889</v>
      </c>
      <c r="W61" s="762" t="s">
        <v>5890</v>
      </c>
      <c r="X61" s="692"/>
      <c r="Y61" s="761"/>
      <c r="Z61" s="10"/>
      <c r="AA61" s="10"/>
      <c r="AB61" s="10"/>
      <c r="AC61" s="8"/>
      <c r="AD61" s="8"/>
      <c r="AE61" s="8"/>
      <c r="AF61" s="8"/>
      <c r="AG61" s="761" t="s">
        <v>4493</v>
      </c>
      <c r="AH61" s="8"/>
      <c r="AI61" s="10"/>
    </row>
    <row r="62" spans="2:35" ht="15.75" hidden="1">
      <c r="B62" s="692" t="s">
        <v>2793</v>
      </c>
      <c r="C62" s="692" t="s">
        <v>503</v>
      </c>
      <c r="D62" s="9"/>
      <c r="E62" s="692" t="s">
        <v>278</v>
      </c>
      <c r="F62" s="692" t="s">
        <v>1992</v>
      </c>
      <c r="G62" s="692" t="s">
        <v>2425</v>
      </c>
      <c r="H62" s="692" t="s">
        <v>4396</v>
      </c>
      <c r="I62" s="692" t="s">
        <v>7</v>
      </c>
      <c r="J62" s="692" t="s">
        <v>41</v>
      </c>
      <c r="K62" s="692" t="s">
        <v>118</v>
      </c>
      <c r="L62" s="692" t="s">
        <v>3</v>
      </c>
      <c r="M62" s="692" t="str">
        <f t="shared" si="0"/>
        <v>1-14-01</v>
      </c>
      <c r="N62" s="692"/>
      <c r="O62" s="692"/>
      <c r="P62" s="692"/>
      <c r="Q62" s="762" t="s">
        <v>83</v>
      </c>
      <c r="R62" s="762" t="s">
        <v>1052</v>
      </c>
      <c r="S62" s="762" t="s">
        <v>3998</v>
      </c>
      <c r="T62" s="762">
        <v>22406034</v>
      </c>
      <c r="U62" s="762">
        <v>22413691</v>
      </c>
      <c r="V62" s="762" t="s">
        <v>4330</v>
      </c>
      <c r="W62" s="762" t="s">
        <v>2426</v>
      </c>
      <c r="X62" s="692"/>
      <c r="Y62" s="761"/>
      <c r="Z62" s="10"/>
      <c r="AA62" s="10"/>
      <c r="AB62" s="10"/>
      <c r="AC62" s="8"/>
      <c r="AD62" s="8"/>
      <c r="AE62" s="8"/>
      <c r="AF62" s="8"/>
      <c r="AG62" s="761"/>
      <c r="AH62" s="8"/>
      <c r="AI62" s="10"/>
    </row>
    <row r="63" spans="2:35" ht="15.75" hidden="1">
      <c r="B63" s="692" t="s">
        <v>4298</v>
      </c>
      <c r="C63" s="692" t="s">
        <v>536</v>
      </c>
      <c r="D63" s="9"/>
      <c r="E63" s="692" t="s">
        <v>287</v>
      </c>
      <c r="F63" s="692" t="s">
        <v>1992</v>
      </c>
      <c r="G63" s="692" t="s">
        <v>2445</v>
      </c>
      <c r="H63" s="692" t="s">
        <v>66</v>
      </c>
      <c r="I63" s="692" t="s">
        <v>7</v>
      </c>
      <c r="J63" s="692" t="s">
        <v>43</v>
      </c>
      <c r="K63" s="692" t="s">
        <v>3</v>
      </c>
      <c r="L63" s="692" t="s">
        <v>6</v>
      </c>
      <c r="M63" s="692" t="str">
        <f t="shared" si="0"/>
        <v>2-01-04</v>
      </c>
      <c r="N63" s="692"/>
      <c r="O63" s="692"/>
      <c r="P63" s="692"/>
      <c r="Q63" s="762" t="s">
        <v>610</v>
      </c>
      <c r="R63" s="762" t="s">
        <v>1052</v>
      </c>
      <c r="S63" s="762" t="s">
        <v>4915</v>
      </c>
      <c r="T63" s="762">
        <v>24428703</v>
      </c>
      <c r="U63" s="762"/>
      <c r="V63" s="762" t="s">
        <v>1917</v>
      </c>
      <c r="W63" s="762" t="s">
        <v>2446</v>
      </c>
      <c r="X63" s="692"/>
      <c r="Y63" s="761"/>
      <c r="Z63" s="10"/>
      <c r="AA63" s="10"/>
      <c r="AB63" s="10"/>
      <c r="AC63" s="8"/>
      <c r="AD63" s="8"/>
      <c r="AE63" s="8"/>
      <c r="AF63" s="8"/>
      <c r="AG63" s="761"/>
      <c r="AH63" s="8"/>
      <c r="AI63" s="10"/>
    </row>
    <row r="64" spans="2:35" ht="15.75" hidden="1">
      <c r="B64" s="692" t="s">
        <v>2473</v>
      </c>
      <c r="C64" s="692" t="s">
        <v>327</v>
      </c>
      <c r="D64" s="9"/>
      <c r="E64" s="692" t="s">
        <v>288</v>
      </c>
      <c r="F64" s="692" t="s">
        <v>1992</v>
      </c>
      <c r="G64" s="692" t="s">
        <v>1836</v>
      </c>
      <c r="H64" s="692" t="s">
        <v>47</v>
      </c>
      <c r="I64" s="692" t="s">
        <v>4</v>
      </c>
      <c r="J64" s="692" t="s">
        <v>41</v>
      </c>
      <c r="K64" s="692" t="s">
        <v>5</v>
      </c>
      <c r="L64" s="692" t="s">
        <v>4</v>
      </c>
      <c r="M64" s="692" t="str">
        <f t="shared" si="0"/>
        <v>1-03-02</v>
      </c>
      <c r="N64" s="692"/>
      <c r="O64" s="692"/>
      <c r="P64" s="692"/>
      <c r="Q64" s="762" t="s">
        <v>49</v>
      </c>
      <c r="R64" s="762" t="s">
        <v>1052</v>
      </c>
      <c r="S64" s="762" t="s">
        <v>2450</v>
      </c>
      <c r="T64" s="762">
        <v>40361290</v>
      </c>
      <c r="U64" s="762"/>
      <c r="V64" s="762" t="s">
        <v>5909</v>
      </c>
      <c r="W64" s="762" t="s">
        <v>5910</v>
      </c>
      <c r="X64" s="692"/>
      <c r="Y64" s="761"/>
      <c r="Z64" s="10"/>
      <c r="AA64" s="10"/>
      <c r="AB64" s="10"/>
      <c r="AC64" s="8"/>
      <c r="AD64" s="8"/>
      <c r="AE64" s="8"/>
      <c r="AF64" s="8"/>
      <c r="AG64" s="761"/>
      <c r="AH64" s="8"/>
      <c r="AI64" s="10"/>
    </row>
    <row r="65" spans="2:35" ht="15.75">
      <c r="B65" s="692" t="s">
        <v>4504</v>
      </c>
      <c r="C65" s="692" t="s">
        <v>4503</v>
      </c>
      <c r="D65" s="9"/>
      <c r="E65" s="692" t="s">
        <v>293</v>
      </c>
      <c r="F65" s="692" t="s">
        <v>1992</v>
      </c>
      <c r="G65" s="692" t="s">
        <v>4916</v>
      </c>
      <c r="H65" s="692" t="s">
        <v>4395</v>
      </c>
      <c r="I65" s="692" t="s">
        <v>6</v>
      </c>
      <c r="J65" s="692" t="s">
        <v>110</v>
      </c>
      <c r="K65" s="692" t="s">
        <v>9</v>
      </c>
      <c r="L65" s="692" t="s">
        <v>3</v>
      </c>
      <c r="M65" s="692" t="str">
        <f t="shared" si="0"/>
        <v>4-07-01</v>
      </c>
      <c r="N65" s="692"/>
      <c r="O65" s="692"/>
      <c r="P65" s="692"/>
      <c r="Q65" s="762" t="s">
        <v>132</v>
      </c>
      <c r="R65" s="762" t="s">
        <v>1052</v>
      </c>
      <c r="S65" s="762" t="s">
        <v>5463</v>
      </c>
      <c r="T65" s="762">
        <v>22985755</v>
      </c>
      <c r="U65" s="762">
        <v>22937392</v>
      </c>
      <c r="V65" s="762" t="s">
        <v>5464</v>
      </c>
      <c r="W65" s="762" t="s">
        <v>5465</v>
      </c>
      <c r="X65" s="692"/>
      <c r="Y65" s="761"/>
      <c r="Z65" s="10"/>
      <c r="AA65" s="10"/>
      <c r="AB65" s="10"/>
      <c r="AC65" s="8"/>
      <c r="AD65" s="8"/>
      <c r="AE65" s="8"/>
      <c r="AF65" s="8"/>
      <c r="AG65" s="761" t="s">
        <v>4493</v>
      </c>
      <c r="AH65" s="8"/>
      <c r="AI65" s="10"/>
    </row>
    <row r="66" spans="2:35" ht="15.75" hidden="1">
      <c r="B66" s="692" t="s">
        <v>5455</v>
      </c>
      <c r="C66" s="692" t="s">
        <v>1116</v>
      </c>
      <c r="D66" s="9"/>
      <c r="E66" s="692" t="s">
        <v>296</v>
      </c>
      <c r="F66" s="692" t="s">
        <v>1992</v>
      </c>
      <c r="G66" s="692" t="s">
        <v>1838</v>
      </c>
      <c r="H66" s="692" t="s">
        <v>4394</v>
      </c>
      <c r="I66" s="692" t="s">
        <v>5</v>
      </c>
      <c r="J66" s="692" t="s">
        <v>41</v>
      </c>
      <c r="K66" s="692" t="s">
        <v>70</v>
      </c>
      <c r="L66" s="692" t="s">
        <v>3</v>
      </c>
      <c r="M66" s="692" t="str">
        <f t="shared" si="0"/>
        <v>1-18-01</v>
      </c>
      <c r="N66" s="692"/>
      <c r="O66" s="692"/>
      <c r="P66" s="692"/>
      <c r="Q66" s="762" t="s">
        <v>1849</v>
      </c>
      <c r="R66" s="762" t="s">
        <v>1052</v>
      </c>
      <c r="S66" s="762" t="s">
        <v>5930</v>
      </c>
      <c r="T66" s="762">
        <v>22727097</v>
      </c>
      <c r="U66" s="762">
        <v>22726634</v>
      </c>
      <c r="V66" s="762" t="s">
        <v>1839</v>
      </c>
      <c r="W66" s="762" t="s">
        <v>3713</v>
      </c>
      <c r="X66" s="692"/>
      <c r="Y66" s="761"/>
      <c r="Z66" s="10"/>
      <c r="AA66" s="10"/>
      <c r="AB66" s="10"/>
      <c r="AC66" s="8"/>
      <c r="AD66" s="8"/>
      <c r="AE66" s="8"/>
      <c r="AF66" s="8"/>
      <c r="AG66" s="761"/>
      <c r="AH66" s="8"/>
      <c r="AI66" s="10"/>
    </row>
    <row r="67" spans="2:35" ht="15.75" hidden="1">
      <c r="B67" s="692" t="s">
        <v>2425</v>
      </c>
      <c r="C67" s="692" t="s">
        <v>278</v>
      </c>
      <c r="D67" s="9"/>
      <c r="E67" s="692" t="s">
        <v>297</v>
      </c>
      <c r="F67" s="692" t="s">
        <v>1992</v>
      </c>
      <c r="G67" s="692" t="s">
        <v>1852</v>
      </c>
      <c r="H67" s="692" t="s">
        <v>4396</v>
      </c>
      <c r="I67" s="692" t="s">
        <v>7</v>
      </c>
      <c r="J67" s="692" t="s">
        <v>41</v>
      </c>
      <c r="K67" s="692" t="s">
        <v>118</v>
      </c>
      <c r="L67" s="692" t="s">
        <v>3</v>
      </c>
      <c r="M67" s="692" t="str">
        <f t="shared" ref="M67:M130" si="1">CONCATENATE(J67,"-",K67,"-",L67)</f>
        <v>1-14-01</v>
      </c>
      <c r="N67" s="692"/>
      <c r="O67" s="692"/>
      <c r="P67" s="692"/>
      <c r="Q67" s="762" t="s">
        <v>89</v>
      </c>
      <c r="R67" s="762" t="s">
        <v>1052</v>
      </c>
      <c r="S67" s="762" t="s">
        <v>4331</v>
      </c>
      <c r="T67" s="762">
        <v>22363886</v>
      </c>
      <c r="U67" s="762">
        <v>22977533</v>
      </c>
      <c r="V67" s="762" t="s">
        <v>4332</v>
      </c>
      <c r="W67" s="762" t="s">
        <v>2457</v>
      </c>
      <c r="X67" s="692"/>
      <c r="Y67" s="761"/>
      <c r="Z67" s="10"/>
      <c r="AA67" s="10"/>
      <c r="AB67" s="10"/>
      <c r="AC67" s="8"/>
      <c r="AD67" s="8"/>
      <c r="AE67" s="8"/>
      <c r="AF67" s="8"/>
      <c r="AG67" s="761"/>
      <c r="AH67" s="8"/>
      <c r="AI67" s="10"/>
    </row>
    <row r="68" spans="2:35" ht="15.75" hidden="1">
      <c r="B68" s="692" t="s">
        <v>5454</v>
      </c>
      <c r="C68" s="692" t="s">
        <v>59</v>
      </c>
      <c r="D68" s="9"/>
      <c r="E68" s="692" t="s">
        <v>87</v>
      </c>
      <c r="F68" s="692" t="s">
        <v>1992</v>
      </c>
      <c r="G68" s="692" t="s">
        <v>1823</v>
      </c>
      <c r="H68" s="692" t="s">
        <v>387</v>
      </c>
      <c r="I68" s="692" t="s">
        <v>3</v>
      </c>
      <c r="J68" s="692" t="s">
        <v>41</v>
      </c>
      <c r="K68" s="692" t="s">
        <v>388</v>
      </c>
      <c r="L68" s="692" t="s">
        <v>3</v>
      </c>
      <c r="M68" s="692" t="str">
        <f t="shared" si="1"/>
        <v>1-19-01</v>
      </c>
      <c r="N68" s="692"/>
      <c r="O68" s="692"/>
      <c r="P68" s="692"/>
      <c r="Q68" s="762" t="s">
        <v>2469</v>
      </c>
      <c r="R68" s="762" t="s">
        <v>1052</v>
      </c>
      <c r="S68" s="762" t="s">
        <v>3999</v>
      </c>
      <c r="T68" s="762">
        <v>27710212</v>
      </c>
      <c r="U68" s="762">
        <v>27710212</v>
      </c>
      <c r="V68" s="762" t="s">
        <v>1824</v>
      </c>
      <c r="W68" s="762" t="s">
        <v>2470</v>
      </c>
      <c r="X68" s="692"/>
      <c r="Y68" s="761"/>
      <c r="Z68" s="10"/>
      <c r="AA68" s="10"/>
      <c r="AB68" s="10"/>
      <c r="AC68" s="8"/>
      <c r="AD68" s="8"/>
      <c r="AE68" s="8"/>
      <c r="AF68" s="8"/>
      <c r="AG68" s="761"/>
      <c r="AH68" s="8"/>
      <c r="AI68" s="10"/>
    </row>
    <row r="69" spans="2:35" ht="15.75" hidden="1">
      <c r="B69" s="692" t="s">
        <v>2377</v>
      </c>
      <c r="C69" s="692" t="s">
        <v>949</v>
      </c>
      <c r="D69" s="9"/>
      <c r="E69" s="692" t="s">
        <v>327</v>
      </c>
      <c r="F69" s="692" t="s">
        <v>1992</v>
      </c>
      <c r="G69" s="692" t="s">
        <v>2473</v>
      </c>
      <c r="H69" s="692" t="s">
        <v>4396</v>
      </c>
      <c r="I69" s="692" t="s">
        <v>8</v>
      </c>
      <c r="J69" s="692" t="s">
        <v>41</v>
      </c>
      <c r="K69" s="692" t="s">
        <v>16</v>
      </c>
      <c r="L69" s="692" t="s">
        <v>3</v>
      </c>
      <c r="M69" s="692" t="str">
        <f t="shared" si="1"/>
        <v>1-11-01</v>
      </c>
      <c r="N69" s="692"/>
      <c r="O69" s="692"/>
      <c r="P69" s="692"/>
      <c r="Q69" s="762" t="s">
        <v>211</v>
      </c>
      <c r="R69" s="762" t="s">
        <v>1052</v>
      </c>
      <c r="S69" s="762" t="s">
        <v>4725</v>
      </c>
      <c r="T69" s="762">
        <v>22922049</v>
      </c>
      <c r="U69" s="762">
        <v>22299257</v>
      </c>
      <c r="V69" s="762" t="s">
        <v>2474</v>
      </c>
      <c r="W69" s="762" t="s">
        <v>2475</v>
      </c>
      <c r="X69" s="692"/>
      <c r="Y69" s="761"/>
      <c r="Z69" s="10"/>
      <c r="AA69" s="10"/>
      <c r="AB69" s="10"/>
      <c r="AC69" s="8"/>
      <c r="AD69" s="8"/>
      <c r="AE69" s="8"/>
      <c r="AF69" s="8"/>
      <c r="AG69" s="761"/>
      <c r="AH69" s="8"/>
      <c r="AI69" s="10"/>
    </row>
    <row r="70" spans="2:35" ht="15.75">
      <c r="B70" s="692" t="s">
        <v>2129</v>
      </c>
      <c r="C70" s="692" t="s">
        <v>893</v>
      </c>
      <c r="D70" s="9"/>
      <c r="E70" s="692" t="s">
        <v>333</v>
      </c>
      <c r="F70" s="692" t="s">
        <v>1992</v>
      </c>
      <c r="G70" s="692" t="s">
        <v>2484</v>
      </c>
      <c r="H70" s="692" t="s">
        <v>4396</v>
      </c>
      <c r="I70" s="692" t="s">
        <v>5</v>
      </c>
      <c r="J70" s="692" t="s">
        <v>56</v>
      </c>
      <c r="K70" s="692" t="s">
        <v>5</v>
      </c>
      <c r="L70" s="692" t="s">
        <v>7</v>
      </c>
      <c r="M70" s="692" t="str">
        <f t="shared" si="1"/>
        <v>3-03-05</v>
      </c>
      <c r="N70" s="692"/>
      <c r="O70" s="692"/>
      <c r="P70" s="692"/>
      <c r="Q70" s="762" t="s">
        <v>1820</v>
      </c>
      <c r="R70" s="762" t="s">
        <v>1052</v>
      </c>
      <c r="S70" s="762" t="s">
        <v>5958</v>
      </c>
      <c r="T70" s="762">
        <v>22792626</v>
      </c>
      <c r="U70" s="762">
        <v>22794821</v>
      </c>
      <c r="V70" s="762" t="s">
        <v>3714</v>
      </c>
      <c r="W70" s="762" t="s">
        <v>2485</v>
      </c>
      <c r="X70" s="692"/>
      <c r="Y70" s="761"/>
      <c r="Z70" s="10"/>
      <c r="AA70" s="10"/>
      <c r="AB70" s="10"/>
      <c r="AC70" s="8"/>
      <c r="AD70" s="8"/>
      <c r="AE70" s="8"/>
      <c r="AF70" s="8"/>
      <c r="AG70" s="761" t="s">
        <v>4493</v>
      </c>
      <c r="AH70" s="8"/>
      <c r="AI70" s="10"/>
    </row>
    <row r="71" spans="2:35" ht="15.75" hidden="1">
      <c r="B71" s="692" t="s">
        <v>3973</v>
      </c>
      <c r="C71" s="692" t="s">
        <v>1131</v>
      </c>
      <c r="D71" s="9"/>
      <c r="E71" s="692" t="s">
        <v>198</v>
      </c>
      <c r="F71" s="692" t="s">
        <v>1992</v>
      </c>
      <c r="G71" s="692" t="s">
        <v>4694</v>
      </c>
      <c r="H71" s="692" t="s">
        <v>66</v>
      </c>
      <c r="I71" s="692" t="s">
        <v>6</v>
      </c>
      <c r="J71" s="692" t="s">
        <v>43</v>
      </c>
      <c r="K71" s="692" t="s">
        <v>3</v>
      </c>
      <c r="L71" s="692" t="s">
        <v>11</v>
      </c>
      <c r="M71" s="692" t="str">
        <f t="shared" si="1"/>
        <v>2-01-08</v>
      </c>
      <c r="N71" s="692"/>
      <c r="O71" s="692"/>
      <c r="P71" s="692"/>
      <c r="Q71" s="762" t="s">
        <v>89</v>
      </c>
      <c r="R71" s="762" t="s">
        <v>1052</v>
      </c>
      <c r="S71" s="762" t="s">
        <v>4519</v>
      </c>
      <c r="T71" s="762">
        <v>22390282</v>
      </c>
      <c r="U71" s="762">
        <v>22930440</v>
      </c>
      <c r="V71" s="762" t="s">
        <v>4917</v>
      </c>
      <c r="W71" s="762" t="s">
        <v>2493</v>
      </c>
      <c r="X71" s="692"/>
      <c r="Y71" s="761"/>
      <c r="Z71" s="10"/>
      <c r="AA71" s="10"/>
      <c r="AB71" s="10"/>
      <c r="AC71" s="8"/>
      <c r="AD71" s="8"/>
      <c r="AE71" s="8"/>
      <c r="AF71" s="8"/>
      <c r="AG71" s="761"/>
      <c r="AH71" s="8"/>
      <c r="AI71" s="10"/>
    </row>
    <row r="72" spans="2:35" ht="15.75" hidden="1">
      <c r="B72" s="692" t="s">
        <v>2170</v>
      </c>
      <c r="C72" s="692" t="s">
        <v>1123</v>
      </c>
      <c r="D72" s="9"/>
      <c r="E72" s="692" t="s">
        <v>337</v>
      </c>
      <c r="F72" s="692" t="s">
        <v>1992</v>
      </c>
      <c r="G72" s="692" t="s">
        <v>2494</v>
      </c>
      <c r="H72" s="692" t="s">
        <v>111</v>
      </c>
      <c r="I72" s="692" t="s">
        <v>8</v>
      </c>
      <c r="J72" s="692" t="s">
        <v>110</v>
      </c>
      <c r="K72" s="692" t="s">
        <v>8</v>
      </c>
      <c r="L72" s="692" t="s">
        <v>3</v>
      </c>
      <c r="M72" s="692" t="str">
        <f t="shared" si="1"/>
        <v>4-06-01</v>
      </c>
      <c r="N72" s="692"/>
      <c r="O72" s="692"/>
      <c r="P72" s="692"/>
      <c r="Q72" s="762" t="s">
        <v>3984</v>
      </c>
      <c r="R72" s="762" t="s">
        <v>1052</v>
      </c>
      <c r="S72" s="762" t="s">
        <v>5888</v>
      </c>
      <c r="T72" s="762">
        <v>22682683</v>
      </c>
      <c r="U72" s="762">
        <v>22682683</v>
      </c>
      <c r="V72" s="762" t="s">
        <v>4918</v>
      </c>
      <c r="W72" s="762" t="s">
        <v>4000</v>
      </c>
      <c r="X72" s="692"/>
      <c r="Y72" s="761"/>
      <c r="Z72" s="10"/>
      <c r="AA72" s="10"/>
      <c r="AB72" s="10"/>
      <c r="AC72" s="8"/>
      <c r="AD72" s="8"/>
      <c r="AE72" s="8"/>
      <c r="AF72" s="8"/>
      <c r="AG72" s="761"/>
      <c r="AH72" s="8"/>
      <c r="AI72" s="10"/>
    </row>
    <row r="73" spans="2:35" ht="15.75">
      <c r="B73" s="692" t="s">
        <v>2148</v>
      </c>
      <c r="C73" s="692" t="s">
        <v>90</v>
      </c>
      <c r="D73" s="9"/>
      <c r="E73" s="692" t="s">
        <v>338</v>
      </c>
      <c r="F73" s="692" t="s">
        <v>1992</v>
      </c>
      <c r="G73" s="692" t="s">
        <v>1858</v>
      </c>
      <c r="H73" s="692" t="s">
        <v>111</v>
      </c>
      <c r="I73" s="692" t="s">
        <v>8</v>
      </c>
      <c r="J73" s="692" t="s">
        <v>110</v>
      </c>
      <c r="K73" s="692" t="s">
        <v>12</v>
      </c>
      <c r="L73" s="692" t="s">
        <v>3</v>
      </c>
      <c r="M73" s="692" t="str">
        <f t="shared" si="1"/>
        <v>4-09-01</v>
      </c>
      <c r="N73" s="692"/>
      <c r="O73" s="692"/>
      <c r="P73" s="692"/>
      <c r="Q73" s="762" t="s">
        <v>775</v>
      </c>
      <c r="R73" s="762" t="s">
        <v>1052</v>
      </c>
      <c r="S73" s="762" t="s">
        <v>1859</v>
      </c>
      <c r="T73" s="762">
        <v>22610717</v>
      </c>
      <c r="U73" s="762">
        <v>22635593</v>
      </c>
      <c r="V73" s="762" t="s">
        <v>1860</v>
      </c>
      <c r="W73" s="762" t="s">
        <v>2495</v>
      </c>
      <c r="X73" s="692"/>
      <c r="Y73" s="761"/>
      <c r="Z73" s="10"/>
      <c r="AA73" s="10"/>
      <c r="AB73" s="10"/>
      <c r="AC73" s="8"/>
      <c r="AD73" s="8"/>
      <c r="AE73" s="8"/>
      <c r="AF73" s="8"/>
      <c r="AG73" s="761" t="s">
        <v>4493</v>
      </c>
      <c r="AH73" s="8"/>
      <c r="AI73" s="10"/>
    </row>
    <row r="74" spans="2:35" ht="15.75" hidden="1">
      <c r="B74" s="692" t="s">
        <v>2311</v>
      </c>
      <c r="C74" s="692" t="s">
        <v>220</v>
      </c>
      <c r="D74" s="9"/>
      <c r="E74" s="692" t="s">
        <v>341</v>
      </c>
      <c r="F74" s="692" t="s">
        <v>1992</v>
      </c>
      <c r="G74" s="692" t="s">
        <v>3975</v>
      </c>
      <c r="H74" s="692" t="s">
        <v>111</v>
      </c>
      <c r="I74" s="692" t="s">
        <v>4</v>
      </c>
      <c r="J74" s="692" t="s">
        <v>110</v>
      </c>
      <c r="K74" s="692" t="s">
        <v>3</v>
      </c>
      <c r="L74" s="692" t="s">
        <v>4</v>
      </c>
      <c r="M74" s="692" t="str">
        <f t="shared" si="1"/>
        <v>4-01-02</v>
      </c>
      <c r="N74" s="692"/>
      <c r="O74" s="692"/>
      <c r="P74" s="692"/>
      <c r="Q74" s="762" t="s">
        <v>294</v>
      </c>
      <c r="R74" s="762" t="s">
        <v>1052</v>
      </c>
      <c r="S74" s="762" t="s">
        <v>5903</v>
      </c>
      <c r="T74" s="762">
        <v>22615368</v>
      </c>
      <c r="U74" s="762">
        <v>22604227</v>
      </c>
      <c r="V74" s="762" t="s">
        <v>4520</v>
      </c>
      <c r="W74" s="762" t="s">
        <v>2496</v>
      </c>
      <c r="X74" s="692"/>
      <c r="Y74" s="761"/>
      <c r="Z74" s="10"/>
      <c r="AA74" s="10"/>
      <c r="AB74" s="10"/>
      <c r="AC74" s="8"/>
      <c r="AD74" s="8"/>
      <c r="AE74" s="8"/>
      <c r="AF74" s="8"/>
      <c r="AG74" s="761"/>
      <c r="AH74" s="8"/>
      <c r="AI74" s="10"/>
    </row>
    <row r="75" spans="2:35" ht="15.75" hidden="1">
      <c r="B75" s="692" t="s">
        <v>1788</v>
      </c>
      <c r="C75" s="692" t="s">
        <v>1065</v>
      </c>
      <c r="D75" s="9"/>
      <c r="E75" s="692" t="s">
        <v>343</v>
      </c>
      <c r="F75" s="692" t="s">
        <v>1992</v>
      </c>
      <c r="G75" s="692" t="s">
        <v>2497</v>
      </c>
      <c r="H75" s="692" t="s">
        <v>4394</v>
      </c>
      <c r="I75" s="692" t="s">
        <v>3</v>
      </c>
      <c r="J75" s="692" t="s">
        <v>41</v>
      </c>
      <c r="K75" s="692" t="s">
        <v>3</v>
      </c>
      <c r="L75" s="692" t="s">
        <v>11</v>
      </c>
      <c r="M75" s="692" t="str">
        <f t="shared" si="1"/>
        <v>1-01-08</v>
      </c>
      <c r="N75" s="692"/>
      <c r="O75" s="692"/>
      <c r="P75" s="692"/>
      <c r="Q75" s="762" t="s">
        <v>104</v>
      </c>
      <c r="R75" s="762" t="s">
        <v>1052</v>
      </c>
      <c r="S75" s="762" t="s">
        <v>3715</v>
      </c>
      <c r="T75" s="762">
        <v>22960384</v>
      </c>
      <c r="U75" s="762">
        <v>22960373</v>
      </c>
      <c r="V75" s="762" t="s">
        <v>2498</v>
      </c>
      <c r="W75" s="762" t="s">
        <v>2499</v>
      </c>
      <c r="X75" s="692"/>
      <c r="Y75" s="761"/>
      <c r="Z75" s="10"/>
      <c r="AA75" s="10"/>
      <c r="AB75" s="10"/>
      <c r="AC75" s="8"/>
      <c r="AD75" s="8"/>
      <c r="AE75" s="8"/>
      <c r="AF75" s="8"/>
      <c r="AG75" s="761"/>
      <c r="AH75" s="8"/>
      <c r="AI75" s="10"/>
    </row>
    <row r="76" spans="2:35" ht="15.75">
      <c r="B76" s="692" t="s">
        <v>4691</v>
      </c>
      <c r="C76" s="692" t="s">
        <v>120</v>
      </c>
      <c r="D76" s="9"/>
      <c r="E76" s="692" t="s">
        <v>1137</v>
      </c>
      <c r="F76" s="692" t="s">
        <v>1992</v>
      </c>
      <c r="G76" s="692" t="s">
        <v>2500</v>
      </c>
      <c r="H76" s="692" t="s">
        <v>128</v>
      </c>
      <c r="I76" s="692" t="s">
        <v>3</v>
      </c>
      <c r="J76" s="692" t="s">
        <v>56</v>
      </c>
      <c r="K76" s="692" t="s">
        <v>3</v>
      </c>
      <c r="L76" s="692" t="s">
        <v>3</v>
      </c>
      <c r="M76" s="692" t="str">
        <f t="shared" si="1"/>
        <v>3-01-01</v>
      </c>
      <c r="N76" s="692"/>
      <c r="O76" s="692"/>
      <c r="P76" s="692"/>
      <c r="Q76" s="762" t="s">
        <v>803</v>
      </c>
      <c r="R76" s="762" t="s">
        <v>1052</v>
      </c>
      <c r="S76" s="762" t="s">
        <v>4919</v>
      </c>
      <c r="T76" s="762">
        <v>25527378</v>
      </c>
      <c r="U76" s="762">
        <v>25517626</v>
      </c>
      <c r="V76" s="762" t="s">
        <v>1876</v>
      </c>
      <c r="W76" s="762" t="s">
        <v>5466</v>
      </c>
      <c r="X76" s="692"/>
      <c r="Y76" s="761"/>
      <c r="Z76" s="10"/>
      <c r="AA76" s="10"/>
      <c r="AB76" s="10"/>
      <c r="AC76" s="8"/>
      <c r="AD76" s="8"/>
      <c r="AE76" s="8"/>
      <c r="AF76" s="8"/>
      <c r="AG76" s="761" t="s">
        <v>4493</v>
      </c>
      <c r="AH76" s="8"/>
      <c r="AI76" s="10"/>
    </row>
    <row r="77" spans="2:35" ht="15.75" hidden="1">
      <c r="B77" s="692" t="s">
        <v>4293</v>
      </c>
      <c r="C77" s="692" t="s">
        <v>1113</v>
      </c>
      <c r="D77" s="9"/>
      <c r="E77" s="692" t="s">
        <v>346</v>
      </c>
      <c r="F77" s="692" t="s">
        <v>1992</v>
      </c>
      <c r="G77" s="692" t="s">
        <v>3485</v>
      </c>
      <c r="H77" s="692" t="s">
        <v>5729</v>
      </c>
      <c r="I77" s="692" t="s">
        <v>3</v>
      </c>
      <c r="J77" s="692" t="s">
        <v>68</v>
      </c>
      <c r="K77" s="692" t="s">
        <v>3</v>
      </c>
      <c r="L77" s="692" t="s">
        <v>3</v>
      </c>
      <c r="M77" s="692" t="str">
        <f t="shared" si="1"/>
        <v>7-01-01</v>
      </c>
      <c r="N77" s="692"/>
      <c r="O77" s="692"/>
      <c r="P77" s="692"/>
      <c r="Q77" s="762" t="s">
        <v>3484</v>
      </c>
      <c r="R77" s="762" t="s">
        <v>1052</v>
      </c>
      <c r="S77" s="762" t="s">
        <v>5975</v>
      </c>
      <c r="T77" s="762">
        <v>27983804</v>
      </c>
      <c r="U77" s="762">
        <v>27583786</v>
      </c>
      <c r="V77" s="762" t="s">
        <v>1792</v>
      </c>
      <c r="W77" s="762" t="s">
        <v>2501</v>
      </c>
      <c r="X77" s="692"/>
      <c r="Y77" s="761"/>
      <c r="Z77" s="10"/>
      <c r="AA77" s="10"/>
      <c r="AB77" s="10"/>
      <c r="AC77" s="8"/>
      <c r="AD77" s="8"/>
      <c r="AE77" s="8"/>
      <c r="AF77" s="8"/>
      <c r="AG77" s="761"/>
      <c r="AH77" s="8"/>
      <c r="AI77" s="10"/>
    </row>
    <row r="78" spans="2:35" ht="15.75" hidden="1">
      <c r="B78" s="692" t="s">
        <v>2135</v>
      </c>
      <c r="C78" s="692" t="s">
        <v>108</v>
      </c>
      <c r="D78" s="9"/>
      <c r="E78" s="692" t="s">
        <v>352</v>
      </c>
      <c r="F78" s="692" t="s">
        <v>1992</v>
      </c>
      <c r="G78" s="692" t="s">
        <v>1177</v>
      </c>
      <c r="H78" s="692" t="s">
        <v>767</v>
      </c>
      <c r="I78" s="692" t="s">
        <v>4</v>
      </c>
      <c r="J78" s="692" t="s">
        <v>56</v>
      </c>
      <c r="K78" s="692" t="s">
        <v>7</v>
      </c>
      <c r="L78" s="692" t="s">
        <v>3</v>
      </c>
      <c r="M78" s="692" t="str">
        <f t="shared" si="1"/>
        <v>3-05-01</v>
      </c>
      <c r="N78" s="692"/>
      <c r="O78" s="692"/>
      <c r="P78" s="692"/>
      <c r="Q78" s="762" t="s">
        <v>1779</v>
      </c>
      <c r="R78" s="762" t="s">
        <v>1052</v>
      </c>
      <c r="S78" s="762" t="s">
        <v>4920</v>
      </c>
      <c r="T78" s="762">
        <v>25569962</v>
      </c>
      <c r="U78" s="762"/>
      <c r="V78" s="762" t="s">
        <v>5467</v>
      </c>
      <c r="W78" s="762" t="s">
        <v>2506</v>
      </c>
      <c r="X78" s="692"/>
      <c r="Y78" s="761"/>
      <c r="Z78" s="10"/>
      <c r="AA78" s="10"/>
      <c r="AB78" s="10"/>
      <c r="AC78" s="8"/>
      <c r="AD78" s="8"/>
      <c r="AE78" s="8"/>
      <c r="AF78" s="8"/>
      <c r="AG78" s="761"/>
      <c r="AH78" s="8"/>
      <c r="AI78" s="10"/>
    </row>
    <row r="79" spans="2:35" ht="15.75" hidden="1">
      <c r="B79" s="692" t="s">
        <v>3371</v>
      </c>
      <c r="C79" s="692" t="s">
        <v>681</v>
      </c>
      <c r="D79" s="9"/>
      <c r="E79" s="692" t="s">
        <v>356</v>
      </c>
      <c r="F79" s="692" t="s">
        <v>1992</v>
      </c>
      <c r="G79" s="692" t="s">
        <v>1810</v>
      </c>
      <c r="H79" s="692" t="s">
        <v>750</v>
      </c>
      <c r="I79" s="692" t="s">
        <v>3</v>
      </c>
      <c r="J79" s="692" t="s">
        <v>68</v>
      </c>
      <c r="K79" s="692" t="s">
        <v>4</v>
      </c>
      <c r="L79" s="692" t="s">
        <v>3</v>
      </c>
      <c r="M79" s="692" t="str">
        <f t="shared" si="1"/>
        <v>7-02-01</v>
      </c>
      <c r="N79" s="692"/>
      <c r="O79" s="692"/>
      <c r="P79" s="692"/>
      <c r="Q79" s="762" t="s">
        <v>1811</v>
      </c>
      <c r="R79" s="762" t="s">
        <v>1052</v>
      </c>
      <c r="S79" s="762" t="s">
        <v>1812</v>
      </c>
      <c r="T79" s="762">
        <v>27104827</v>
      </c>
      <c r="U79" s="762">
        <v>27103043</v>
      </c>
      <c r="V79" s="762" t="s">
        <v>1813</v>
      </c>
      <c r="W79" s="762" t="s">
        <v>2511</v>
      </c>
      <c r="X79" s="692"/>
      <c r="Y79" s="761"/>
      <c r="Z79" s="10"/>
      <c r="AA79" s="10"/>
      <c r="AB79" s="10"/>
      <c r="AC79" s="8"/>
      <c r="AD79" s="8"/>
      <c r="AE79" s="8"/>
      <c r="AF79" s="8"/>
      <c r="AG79" s="761"/>
      <c r="AH79" s="8"/>
      <c r="AI79" s="10"/>
    </row>
    <row r="80" spans="2:35" ht="15.75" hidden="1">
      <c r="B80" s="692" t="s">
        <v>2729</v>
      </c>
      <c r="C80" s="692" t="s">
        <v>469</v>
      </c>
      <c r="D80" s="9"/>
      <c r="E80" s="692" t="s">
        <v>364</v>
      </c>
      <c r="F80" s="692" t="s">
        <v>1992</v>
      </c>
      <c r="G80" s="692" t="s">
        <v>484</v>
      </c>
      <c r="H80" s="692" t="s">
        <v>66</v>
      </c>
      <c r="I80" s="692" t="s">
        <v>5</v>
      </c>
      <c r="J80" s="692" t="s">
        <v>43</v>
      </c>
      <c r="K80" s="692" t="s">
        <v>3</v>
      </c>
      <c r="L80" s="692" t="s">
        <v>4</v>
      </c>
      <c r="M80" s="692" t="str">
        <f t="shared" si="1"/>
        <v>2-01-02</v>
      </c>
      <c r="N80" s="692"/>
      <c r="O80" s="692"/>
      <c r="P80" s="692"/>
      <c r="Q80" s="762" t="s">
        <v>3486</v>
      </c>
      <c r="R80" s="762" t="s">
        <v>1052</v>
      </c>
      <c r="S80" s="762" t="s">
        <v>4333</v>
      </c>
      <c r="T80" s="762">
        <v>24416880</v>
      </c>
      <c r="U80" s="762"/>
      <c r="V80" s="762" t="s">
        <v>4001</v>
      </c>
      <c r="W80" s="762" t="s">
        <v>4521</v>
      </c>
      <c r="X80" s="692"/>
      <c r="Y80" s="761"/>
      <c r="Z80" s="10"/>
      <c r="AA80" s="10"/>
      <c r="AB80" s="10"/>
      <c r="AC80" s="8"/>
      <c r="AD80" s="8"/>
      <c r="AE80" s="8"/>
      <c r="AF80" s="8"/>
      <c r="AG80" s="761"/>
      <c r="AH80" s="8"/>
      <c r="AI80" s="10"/>
    </row>
    <row r="81" spans="2:35" ht="15.75" hidden="1">
      <c r="B81" s="692" t="s">
        <v>2651</v>
      </c>
      <c r="C81" s="692" t="s">
        <v>900</v>
      </c>
      <c r="D81" s="9"/>
      <c r="E81" s="692" t="s">
        <v>366</v>
      </c>
      <c r="F81" s="692" t="s">
        <v>1992</v>
      </c>
      <c r="G81" s="692" t="s">
        <v>2530</v>
      </c>
      <c r="H81" s="692" t="s">
        <v>66</v>
      </c>
      <c r="I81" s="692" t="s">
        <v>3</v>
      </c>
      <c r="J81" s="692" t="s">
        <v>43</v>
      </c>
      <c r="K81" s="692" t="s">
        <v>3</v>
      </c>
      <c r="L81" s="692" t="s">
        <v>3</v>
      </c>
      <c r="M81" s="692" t="str">
        <f t="shared" si="1"/>
        <v>2-01-01</v>
      </c>
      <c r="N81" s="692"/>
      <c r="O81" s="692"/>
      <c r="P81" s="692"/>
      <c r="Q81" s="762" t="s">
        <v>1726</v>
      </c>
      <c r="R81" s="762" t="s">
        <v>1052</v>
      </c>
      <c r="S81" s="762" t="s">
        <v>4726</v>
      </c>
      <c r="T81" s="762">
        <v>24417541</v>
      </c>
      <c r="U81" s="762">
        <v>24423963</v>
      </c>
      <c r="V81" s="762" t="s">
        <v>1827</v>
      </c>
      <c r="W81" s="762" t="s">
        <v>2531</v>
      </c>
      <c r="X81" s="692"/>
      <c r="Y81" s="761"/>
      <c r="Z81" s="10"/>
      <c r="AA81" s="10"/>
      <c r="AB81" s="10"/>
      <c r="AC81" s="8"/>
      <c r="AD81" s="8"/>
      <c r="AE81" s="8"/>
      <c r="AF81" s="8"/>
      <c r="AG81" s="761"/>
      <c r="AH81" s="8"/>
      <c r="AI81" s="10"/>
    </row>
    <row r="82" spans="2:35" ht="15.75" hidden="1">
      <c r="B82" s="692" t="s">
        <v>2445</v>
      </c>
      <c r="C82" s="692" t="s">
        <v>287</v>
      </c>
      <c r="D82" s="9"/>
      <c r="E82" s="692" t="s">
        <v>146</v>
      </c>
      <c r="F82" s="692" t="s">
        <v>1992</v>
      </c>
      <c r="G82" s="692" t="s">
        <v>3487</v>
      </c>
      <c r="H82" s="692" t="s">
        <v>111</v>
      </c>
      <c r="I82" s="692" t="s">
        <v>7</v>
      </c>
      <c r="J82" s="692" t="s">
        <v>110</v>
      </c>
      <c r="K82" s="692" t="s">
        <v>5</v>
      </c>
      <c r="L82" s="692" t="s">
        <v>8</v>
      </c>
      <c r="M82" s="692" t="str">
        <f t="shared" si="1"/>
        <v>4-03-06</v>
      </c>
      <c r="N82" s="692"/>
      <c r="O82" s="692"/>
      <c r="P82" s="692"/>
      <c r="Q82" s="762" t="s">
        <v>402</v>
      </c>
      <c r="R82" s="762" t="s">
        <v>1052</v>
      </c>
      <c r="S82" s="762" t="s">
        <v>5921</v>
      </c>
      <c r="T82" s="762">
        <v>22440084</v>
      </c>
      <c r="U82" s="762"/>
      <c r="V82" s="762" t="s">
        <v>4921</v>
      </c>
      <c r="W82" s="762" t="s">
        <v>4522</v>
      </c>
      <c r="X82" s="692"/>
      <c r="Y82" s="761"/>
      <c r="Z82" s="10"/>
      <c r="AA82" s="10"/>
      <c r="AB82" s="10"/>
      <c r="AC82" s="8"/>
      <c r="AD82" s="8"/>
      <c r="AE82" s="8"/>
      <c r="AF82" s="8"/>
      <c r="AG82" s="761"/>
      <c r="AH82" s="8"/>
      <c r="AI82" s="10"/>
    </row>
    <row r="83" spans="2:35" ht="15.75" hidden="1">
      <c r="B83" s="692" t="s">
        <v>2574</v>
      </c>
      <c r="C83" s="692" t="s">
        <v>384</v>
      </c>
      <c r="D83" s="9"/>
      <c r="E83" s="692" t="s">
        <v>371</v>
      </c>
      <c r="F83" s="692" t="s">
        <v>1992</v>
      </c>
      <c r="G83" s="692" t="s">
        <v>5468</v>
      </c>
      <c r="H83" s="692" t="s">
        <v>4395</v>
      </c>
      <c r="I83" s="692" t="s">
        <v>4</v>
      </c>
      <c r="J83" s="692" t="s">
        <v>41</v>
      </c>
      <c r="K83" s="692" t="s">
        <v>3</v>
      </c>
      <c r="L83" s="692" t="s">
        <v>12</v>
      </c>
      <c r="M83" s="692" t="str">
        <f t="shared" si="1"/>
        <v>1-01-09</v>
      </c>
      <c r="N83" s="692"/>
      <c r="O83" s="692"/>
      <c r="P83" s="692"/>
      <c r="Q83" s="762" t="s">
        <v>1802</v>
      </c>
      <c r="R83" s="762" t="s">
        <v>1052</v>
      </c>
      <c r="S83" s="762" t="s">
        <v>4334</v>
      </c>
      <c r="T83" s="762">
        <v>22901174</v>
      </c>
      <c r="U83" s="762">
        <v>22327835</v>
      </c>
      <c r="V83" s="762" t="s">
        <v>1872</v>
      </c>
      <c r="W83" s="762" t="s">
        <v>2555</v>
      </c>
      <c r="X83" s="692"/>
      <c r="Y83" s="761"/>
      <c r="Z83" s="10"/>
      <c r="AA83" s="10"/>
      <c r="AB83" s="10"/>
      <c r="AC83" s="8"/>
      <c r="AD83" s="8"/>
      <c r="AE83" s="8"/>
      <c r="AF83" s="8"/>
      <c r="AG83" s="761"/>
      <c r="AH83" s="8"/>
      <c r="AI83" s="10"/>
    </row>
    <row r="84" spans="2:35" ht="15.75" hidden="1">
      <c r="B84" s="692" t="s">
        <v>3976</v>
      </c>
      <c r="C84" s="692" t="s">
        <v>101</v>
      </c>
      <c r="D84" s="9"/>
      <c r="E84" s="692" t="s">
        <v>2556</v>
      </c>
      <c r="F84" s="692" t="s">
        <v>1992</v>
      </c>
      <c r="G84" s="692" t="s">
        <v>3488</v>
      </c>
      <c r="H84" s="692" t="s">
        <v>4396</v>
      </c>
      <c r="I84" s="692" t="s">
        <v>3</v>
      </c>
      <c r="J84" s="692" t="s">
        <v>41</v>
      </c>
      <c r="K84" s="692" t="s">
        <v>11</v>
      </c>
      <c r="L84" s="692" t="s">
        <v>3</v>
      </c>
      <c r="M84" s="692" t="str">
        <f t="shared" si="1"/>
        <v>1-08-01</v>
      </c>
      <c r="N84" s="692"/>
      <c r="O84" s="692"/>
      <c r="P84" s="692"/>
      <c r="Q84" s="762" t="s">
        <v>2557</v>
      </c>
      <c r="R84" s="762" t="s">
        <v>1052</v>
      </c>
      <c r="S84" s="762" t="s">
        <v>2558</v>
      </c>
      <c r="T84" s="762">
        <v>22253237</v>
      </c>
      <c r="U84" s="762">
        <v>22534260</v>
      </c>
      <c r="V84" s="762" t="s">
        <v>1940</v>
      </c>
      <c r="W84" s="762" t="s">
        <v>2559</v>
      </c>
      <c r="X84" s="692"/>
      <c r="Y84" s="761"/>
      <c r="Z84" s="10"/>
      <c r="AA84" s="10"/>
      <c r="AB84" s="10"/>
      <c r="AC84" s="8"/>
      <c r="AD84" s="8"/>
      <c r="AE84" s="8"/>
      <c r="AF84" s="8"/>
      <c r="AG84" s="761"/>
      <c r="AH84" s="8"/>
      <c r="AI84" s="10"/>
    </row>
    <row r="85" spans="2:35" ht="15.75" hidden="1">
      <c r="B85" s="692" t="s">
        <v>5514</v>
      </c>
      <c r="C85" s="692" t="s">
        <v>5513</v>
      </c>
      <c r="D85" s="9"/>
      <c r="E85" s="692" t="s">
        <v>372</v>
      </c>
      <c r="F85" s="692" t="s">
        <v>1992</v>
      </c>
      <c r="G85" s="692" t="s">
        <v>2560</v>
      </c>
      <c r="H85" s="692" t="s">
        <v>4396</v>
      </c>
      <c r="I85" s="692" t="s">
        <v>5</v>
      </c>
      <c r="J85" s="692" t="s">
        <v>41</v>
      </c>
      <c r="K85" s="692" t="s">
        <v>107</v>
      </c>
      <c r="L85" s="692" t="s">
        <v>4</v>
      </c>
      <c r="M85" s="692" t="str">
        <f t="shared" si="1"/>
        <v>1-15-02</v>
      </c>
      <c r="N85" s="692"/>
      <c r="O85" s="692"/>
      <c r="P85" s="692"/>
      <c r="Q85" s="762" t="s">
        <v>1837</v>
      </c>
      <c r="R85" s="762" t="s">
        <v>1052</v>
      </c>
      <c r="S85" s="762" t="s">
        <v>4523</v>
      </c>
      <c r="T85" s="762">
        <v>22245080</v>
      </c>
      <c r="U85" s="762">
        <v>22346329</v>
      </c>
      <c r="V85" s="762" t="s">
        <v>4335</v>
      </c>
      <c r="W85" s="762" t="s">
        <v>2561</v>
      </c>
      <c r="X85" s="692"/>
      <c r="Y85" s="761"/>
      <c r="Z85" s="10"/>
      <c r="AA85" s="10"/>
      <c r="AB85" s="10"/>
      <c r="AC85" s="8"/>
      <c r="AD85" s="8"/>
      <c r="AE85" s="8"/>
      <c r="AF85" s="8"/>
      <c r="AG85" s="761"/>
      <c r="AH85" s="8"/>
      <c r="AI85" s="10"/>
    </row>
    <row r="86" spans="2:35" ht="15.75" hidden="1">
      <c r="B86" s="692" t="s">
        <v>5727</v>
      </c>
      <c r="C86" s="692" t="s">
        <v>5713</v>
      </c>
      <c r="D86" s="9"/>
      <c r="E86" s="692" t="s">
        <v>373</v>
      </c>
      <c r="F86" s="692" t="s">
        <v>1992</v>
      </c>
      <c r="G86" s="692" t="s">
        <v>2562</v>
      </c>
      <c r="H86" s="692" t="s">
        <v>128</v>
      </c>
      <c r="I86" s="692" t="s">
        <v>3</v>
      </c>
      <c r="J86" s="692" t="s">
        <v>56</v>
      </c>
      <c r="K86" s="692" t="s">
        <v>3</v>
      </c>
      <c r="L86" s="692" t="s">
        <v>4</v>
      </c>
      <c r="M86" s="692" t="str">
        <f t="shared" si="1"/>
        <v>3-01-02</v>
      </c>
      <c r="N86" s="692"/>
      <c r="O86" s="692"/>
      <c r="P86" s="692"/>
      <c r="Q86" s="762" t="s">
        <v>707</v>
      </c>
      <c r="R86" s="762" t="s">
        <v>1052</v>
      </c>
      <c r="S86" s="762" t="s">
        <v>3716</v>
      </c>
      <c r="T86" s="762">
        <v>25944540</v>
      </c>
      <c r="U86" s="762">
        <v>25924540</v>
      </c>
      <c r="V86" s="762" t="s">
        <v>2563</v>
      </c>
      <c r="W86" s="762" t="s">
        <v>5469</v>
      </c>
      <c r="X86" s="692"/>
      <c r="Y86" s="761"/>
      <c r="Z86" s="10"/>
      <c r="AA86" s="10"/>
      <c r="AB86" s="10"/>
      <c r="AC86" s="8"/>
      <c r="AD86" s="8"/>
      <c r="AE86" s="8"/>
      <c r="AF86" s="8"/>
      <c r="AG86" s="761"/>
      <c r="AH86" s="8"/>
      <c r="AI86" s="10"/>
    </row>
    <row r="87" spans="2:35" ht="15.75" hidden="1">
      <c r="B87" s="692" t="s">
        <v>1905</v>
      </c>
      <c r="C87" s="692" t="s">
        <v>1737</v>
      </c>
      <c r="D87" s="9"/>
      <c r="E87" s="692" t="s">
        <v>379</v>
      </c>
      <c r="F87" s="692" t="s">
        <v>1992</v>
      </c>
      <c r="G87" s="692" t="s">
        <v>1930</v>
      </c>
      <c r="H87" s="692" t="s">
        <v>66</v>
      </c>
      <c r="I87" s="692" t="s">
        <v>8</v>
      </c>
      <c r="J87" s="692" t="s">
        <v>43</v>
      </c>
      <c r="K87" s="692" t="s">
        <v>5</v>
      </c>
      <c r="L87" s="692" t="s">
        <v>3</v>
      </c>
      <c r="M87" s="692" t="str">
        <f t="shared" si="1"/>
        <v>2-03-01</v>
      </c>
      <c r="N87" s="692"/>
      <c r="O87" s="692"/>
      <c r="P87" s="692"/>
      <c r="Q87" s="762" t="s">
        <v>292</v>
      </c>
      <c r="R87" s="762" t="s">
        <v>1052</v>
      </c>
      <c r="S87" s="762" t="s">
        <v>1941</v>
      </c>
      <c r="T87" s="762">
        <v>24941533</v>
      </c>
      <c r="U87" s="762">
        <v>24946663</v>
      </c>
      <c r="V87" s="762" t="s">
        <v>5939</v>
      </c>
      <c r="W87" s="762" t="s">
        <v>2568</v>
      </c>
      <c r="X87" s="692"/>
      <c r="Y87" s="761"/>
      <c r="Z87" s="10"/>
      <c r="AA87" s="10"/>
      <c r="AB87" s="10"/>
      <c r="AC87" s="8"/>
      <c r="AD87" s="8"/>
      <c r="AE87" s="8"/>
      <c r="AF87" s="8"/>
      <c r="AG87" s="761"/>
      <c r="AH87" s="8"/>
      <c r="AI87" s="10"/>
    </row>
    <row r="88" spans="2:35" ht="15.75" hidden="1">
      <c r="B88" s="692" t="s">
        <v>1850</v>
      </c>
      <c r="C88" s="692" t="s">
        <v>1725</v>
      </c>
      <c r="D88" s="9"/>
      <c r="E88" s="692" t="s">
        <v>381</v>
      </c>
      <c r="F88" s="692" t="s">
        <v>1992</v>
      </c>
      <c r="G88" s="692" t="s">
        <v>2572</v>
      </c>
      <c r="H88" s="692" t="s">
        <v>4394</v>
      </c>
      <c r="I88" s="692" t="s">
        <v>5</v>
      </c>
      <c r="J88" s="692" t="s">
        <v>41</v>
      </c>
      <c r="K88" s="692" t="s">
        <v>70</v>
      </c>
      <c r="L88" s="692" t="s">
        <v>5</v>
      </c>
      <c r="M88" s="692" t="str">
        <f t="shared" si="1"/>
        <v>1-18-03</v>
      </c>
      <c r="N88" s="692"/>
      <c r="O88" s="692"/>
      <c r="P88" s="692"/>
      <c r="Q88" s="762" t="s">
        <v>2573</v>
      </c>
      <c r="R88" s="762" t="s">
        <v>1052</v>
      </c>
      <c r="S88" s="762" t="s">
        <v>4002</v>
      </c>
      <c r="T88" s="762">
        <v>22726564</v>
      </c>
      <c r="U88" s="762"/>
      <c r="V88" s="762" t="s">
        <v>5914</v>
      </c>
      <c r="W88" s="762" t="s">
        <v>3717</v>
      </c>
      <c r="X88" s="692"/>
      <c r="Y88" s="761"/>
      <c r="Z88" s="10"/>
      <c r="AA88" s="10"/>
      <c r="AB88" s="10"/>
      <c r="AC88" s="8"/>
      <c r="AD88" s="8"/>
      <c r="AE88" s="8"/>
      <c r="AF88" s="8"/>
      <c r="AG88" s="761"/>
      <c r="AH88" s="8"/>
      <c r="AI88" s="10"/>
    </row>
    <row r="89" spans="2:35" ht="15.75" hidden="1">
      <c r="B89" s="692" t="s">
        <v>1894</v>
      </c>
      <c r="C89" s="692" t="s">
        <v>690</v>
      </c>
      <c r="D89" s="9"/>
      <c r="E89" s="692" t="s">
        <v>382</v>
      </c>
      <c r="F89" s="692" t="s">
        <v>1992</v>
      </c>
      <c r="G89" s="692" t="s">
        <v>4695</v>
      </c>
      <c r="H89" s="692" t="s">
        <v>4394</v>
      </c>
      <c r="I89" s="692" t="s">
        <v>7</v>
      </c>
      <c r="J89" s="692" t="s">
        <v>41</v>
      </c>
      <c r="K89" s="692" t="s">
        <v>3</v>
      </c>
      <c r="L89" s="692" t="s">
        <v>13</v>
      </c>
      <c r="M89" s="692" t="str">
        <f t="shared" si="1"/>
        <v>1-01-10</v>
      </c>
      <c r="N89" s="692"/>
      <c r="O89" s="692"/>
      <c r="P89" s="692"/>
      <c r="Q89" s="762" t="s">
        <v>149</v>
      </c>
      <c r="R89" s="762" t="s">
        <v>1052</v>
      </c>
      <c r="S89" s="762" t="s">
        <v>5470</v>
      </c>
      <c r="T89" s="762">
        <v>40019261</v>
      </c>
      <c r="U89" s="762">
        <v>22140674</v>
      </c>
      <c r="V89" s="762" t="s">
        <v>4727</v>
      </c>
      <c r="W89" s="762" t="s">
        <v>5908</v>
      </c>
      <c r="X89" s="692"/>
      <c r="Y89" s="761"/>
      <c r="Z89" s="10"/>
      <c r="AA89" s="10"/>
      <c r="AB89" s="10"/>
      <c r="AC89" s="8"/>
      <c r="AD89" s="8"/>
      <c r="AE89" s="8"/>
      <c r="AF89" s="8"/>
      <c r="AG89" s="761"/>
      <c r="AH89" s="8"/>
      <c r="AI89" s="10"/>
    </row>
    <row r="90" spans="2:35" ht="15.75" hidden="1">
      <c r="B90" s="692" t="s">
        <v>3980</v>
      </c>
      <c r="C90" s="692" t="s">
        <v>3968</v>
      </c>
      <c r="D90" s="9"/>
      <c r="E90" s="692" t="s">
        <v>383</v>
      </c>
      <c r="F90" s="692" t="s">
        <v>1992</v>
      </c>
      <c r="G90" s="692" t="s">
        <v>4295</v>
      </c>
      <c r="H90" s="692" t="s">
        <v>111</v>
      </c>
      <c r="I90" s="692" t="s">
        <v>9</v>
      </c>
      <c r="J90" s="692" t="s">
        <v>110</v>
      </c>
      <c r="K90" s="692" t="s">
        <v>9</v>
      </c>
      <c r="L90" s="692" t="s">
        <v>4</v>
      </c>
      <c r="M90" s="692" t="str">
        <f t="shared" si="1"/>
        <v>4-07-02</v>
      </c>
      <c r="N90" s="692"/>
      <c r="O90" s="692"/>
      <c r="P90" s="692"/>
      <c r="Q90" s="762" t="s">
        <v>3985</v>
      </c>
      <c r="R90" s="762" t="s">
        <v>1052</v>
      </c>
      <c r="S90" s="762" t="s">
        <v>4003</v>
      </c>
      <c r="T90" s="762">
        <v>22396293</v>
      </c>
      <c r="U90" s="762">
        <v>22390457</v>
      </c>
      <c r="V90" s="762" t="s">
        <v>4004</v>
      </c>
      <c r="W90" s="762" t="s">
        <v>4336</v>
      </c>
      <c r="X90" s="692"/>
      <c r="Y90" s="761"/>
      <c r="Z90" s="10"/>
      <c r="AA90" s="10"/>
      <c r="AB90" s="10"/>
      <c r="AC90" s="8"/>
      <c r="AD90" s="8"/>
      <c r="AE90" s="8"/>
      <c r="AF90" s="8"/>
      <c r="AG90" s="761"/>
      <c r="AH90" s="8"/>
      <c r="AI90" s="10"/>
    </row>
    <row r="91" spans="2:35" ht="15.75" hidden="1">
      <c r="B91" s="692" t="s">
        <v>5525</v>
      </c>
      <c r="C91" s="692" t="s">
        <v>5524</v>
      </c>
      <c r="D91" s="9"/>
      <c r="E91" s="692" t="s">
        <v>384</v>
      </c>
      <c r="F91" s="692" t="s">
        <v>1992</v>
      </c>
      <c r="G91" s="692" t="s">
        <v>2574</v>
      </c>
      <c r="H91" s="692" t="s">
        <v>4396</v>
      </c>
      <c r="I91" s="692" t="s">
        <v>5</v>
      </c>
      <c r="J91" s="692" t="s">
        <v>56</v>
      </c>
      <c r="K91" s="692" t="s">
        <v>5</v>
      </c>
      <c r="L91" s="692" t="s">
        <v>7</v>
      </c>
      <c r="M91" s="692" t="str">
        <f t="shared" si="1"/>
        <v>3-03-05</v>
      </c>
      <c r="N91" s="692"/>
      <c r="O91" s="692"/>
      <c r="P91" s="692"/>
      <c r="Q91" s="762" t="s">
        <v>1820</v>
      </c>
      <c r="R91" s="762" t="s">
        <v>1052</v>
      </c>
      <c r="S91" s="762" t="s">
        <v>4524</v>
      </c>
      <c r="T91" s="762">
        <v>22782537</v>
      </c>
      <c r="U91" s="762">
        <v>22782536</v>
      </c>
      <c r="V91" s="762" t="s">
        <v>2575</v>
      </c>
      <c r="W91" s="762" t="s">
        <v>1730</v>
      </c>
      <c r="X91" s="692"/>
      <c r="Y91" s="761"/>
      <c r="Z91" s="10"/>
      <c r="AA91" s="10"/>
      <c r="AB91" s="10"/>
      <c r="AC91" s="8"/>
      <c r="AD91" s="8"/>
      <c r="AE91" s="8"/>
      <c r="AF91" s="8"/>
      <c r="AG91" s="761"/>
      <c r="AH91" s="8"/>
      <c r="AI91" s="10"/>
    </row>
    <row r="92" spans="2:35" ht="15.75" hidden="1">
      <c r="B92" s="692" t="s">
        <v>1883</v>
      </c>
      <c r="C92" s="692" t="s">
        <v>570</v>
      </c>
      <c r="D92" s="9"/>
      <c r="E92" s="692" t="s">
        <v>389</v>
      </c>
      <c r="F92" s="692" t="s">
        <v>1992</v>
      </c>
      <c r="G92" s="692" t="s">
        <v>1916</v>
      </c>
      <c r="H92" s="692" t="s">
        <v>5729</v>
      </c>
      <c r="I92" s="692" t="s">
        <v>7</v>
      </c>
      <c r="J92" s="692" t="s">
        <v>68</v>
      </c>
      <c r="K92" s="692" t="s">
        <v>5</v>
      </c>
      <c r="L92" s="692" t="s">
        <v>3</v>
      </c>
      <c r="M92" s="692" t="str">
        <f t="shared" si="1"/>
        <v>7-03-01</v>
      </c>
      <c r="N92" s="692"/>
      <c r="O92" s="692"/>
      <c r="P92" s="692"/>
      <c r="Q92" s="762" t="s">
        <v>4337</v>
      </c>
      <c r="R92" s="762" t="s">
        <v>1052</v>
      </c>
      <c r="S92" s="762" t="s">
        <v>3718</v>
      </c>
      <c r="T92" s="762">
        <v>27682847</v>
      </c>
      <c r="U92" s="762"/>
      <c r="V92" s="762" t="s">
        <v>4525</v>
      </c>
      <c r="W92" s="762" t="s">
        <v>4526</v>
      </c>
      <c r="X92" s="692"/>
      <c r="Y92" s="761"/>
      <c r="Z92" s="10"/>
      <c r="AA92" s="10"/>
      <c r="AB92" s="10"/>
      <c r="AC92" s="8"/>
      <c r="AD92" s="8"/>
      <c r="AE92" s="8"/>
      <c r="AF92" s="8"/>
      <c r="AG92" s="761"/>
      <c r="AH92" s="8"/>
      <c r="AI92" s="10"/>
    </row>
    <row r="93" spans="2:35" ht="15.75" hidden="1">
      <c r="B93" s="692" t="s">
        <v>3694</v>
      </c>
      <c r="C93" s="692" t="s">
        <v>320</v>
      </c>
      <c r="D93" s="9"/>
      <c r="E93" s="692" t="s">
        <v>394</v>
      </c>
      <c r="F93" s="692" t="s">
        <v>1992</v>
      </c>
      <c r="G93" s="692" t="s">
        <v>5471</v>
      </c>
      <c r="H93" s="692" t="s">
        <v>81</v>
      </c>
      <c r="I93" s="692" t="s">
        <v>9</v>
      </c>
      <c r="J93" s="692" t="s">
        <v>80</v>
      </c>
      <c r="K93" s="692" t="s">
        <v>4</v>
      </c>
      <c r="L93" s="692" t="s">
        <v>5</v>
      </c>
      <c r="M93" s="692" t="str">
        <f t="shared" si="1"/>
        <v>6-02-03</v>
      </c>
      <c r="N93" s="692"/>
      <c r="O93" s="692"/>
      <c r="P93" s="692"/>
      <c r="Q93" s="762" t="s">
        <v>827</v>
      </c>
      <c r="R93" s="762" t="s">
        <v>1052</v>
      </c>
      <c r="S93" s="762" t="s">
        <v>1881</v>
      </c>
      <c r="T93" s="762">
        <v>26367771</v>
      </c>
      <c r="U93" s="762">
        <v>26352379</v>
      </c>
      <c r="V93" s="762" t="s">
        <v>4005</v>
      </c>
      <c r="W93" s="762" t="s">
        <v>4006</v>
      </c>
      <c r="X93" s="692"/>
      <c r="Y93" s="761"/>
      <c r="Z93" s="10"/>
      <c r="AA93" s="10"/>
      <c r="AB93" s="10"/>
      <c r="AC93" s="8"/>
      <c r="AD93" s="8"/>
      <c r="AE93" s="8"/>
      <c r="AF93" s="8"/>
      <c r="AG93" s="761"/>
      <c r="AH93" s="8"/>
      <c r="AI93" s="10"/>
    </row>
    <row r="94" spans="2:35" ht="15.75" hidden="1">
      <c r="B94" s="692" t="s">
        <v>4292</v>
      </c>
      <c r="C94" s="692" t="s">
        <v>1115</v>
      </c>
      <c r="D94" s="9"/>
      <c r="E94" s="692" t="s">
        <v>401</v>
      </c>
      <c r="F94" s="692" t="s">
        <v>1992</v>
      </c>
      <c r="G94" s="692" t="s">
        <v>4696</v>
      </c>
      <c r="H94" s="692" t="s">
        <v>111</v>
      </c>
      <c r="I94" s="692" t="s">
        <v>6</v>
      </c>
      <c r="J94" s="692" t="s">
        <v>110</v>
      </c>
      <c r="K94" s="692" t="s">
        <v>7</v>
      </c>
      <c r="L94" s="692" t="s">
        <v>3</v>
      </c>
      <c r="M94" s="692" t="str">
        <f t="shared" si="1"/>
        <v>4-05-01</v>
      </c>
      <c r="N94" s="692"/>
      <c r="O94" s="692"/>
      <c r="P94" s="692"/>
      <c r="Q94" s="762" t="s">
        <v>89</v>
      </c>
      <c r="R94" s="762" t="s">
        <v>1052</v>
      </c>
      <c r="S94" s="762" t="s">
        <v>1782</v>
      </c>
      <c r="T94" s="762">
        <v>22631414</v>
      </c>
      <c r="U94" s="762">
        <v>22633070</v>
      </c>
      <c r="V94" s="762" t="s">
        <v>5472</v>
      </c>
      <c r="W94" s="762" t="s">
        <v>2605</v>
      </c>
      <c r="X94" s="692"/>
      <c r="Y94" s="761"/>
      <c r="Z94" s="10"/>
      <c r="AA94" s="10"/>
      <c r="AB94" s="10"/>
      <c r="AC94" s="8"/>
      <c r="AD94" s="8"/>
      <c r="AE94" s="8"/>
      <c r="AF94" s="8"/>
      <c r="AG94" s="761"/>
      <c r="AH94" s="8"/>
      <c r="AI94" s="10"/>
    </row>
    <row r="95" spans="2:35" ht="15.75" hidden="1">
      <c r="B95" s="692" t="s">
        <v>4703</v>
      </c>
      <c r="C95" s="692" t="s">
        <v>673</v>
      </c>
      <c r="D95" s="9"/>
      <c r="E95" s="692" t="s">
        <v>101</v>
      </c>
      <c r="F95" s="692" t="s">
        <v>1992</v>
      </c>
      <c r="G95" s="692" t="s">
        <v>3976</v>
      </c>
      <c r="H95" s="692" t="s">
        <v>111</v>
      </c>
      <c r="I95" s="692" t="s">
        <v>7</v>
      </c>
      <c r="J95" s="692" t="s">
        <v>110</v>
      </c>
      <c r="K95" s="692" t="s">
        <v>5</v>
      </c>
      <c r="L95" s="692" t="s">
        <v>4</v>
      </c>
      <c r="M95" s="692" t="str">
        <f t="shared" si="1"/>
        <v>4-03-02</v>
      </c>
      <c r="N95" s="692"/>
      <c r="O95" s="692"/>
      <c r="P95" s="692"/>
      <c r="Q95" s="762" t="s">
        <v>4728</v>
      </c>
      <c r="R95" s="762" t="s">
        <v>1052</v>
      </c>
      <c r="S95" s="762" t="s">
        <v>4729</v>
      </c>
      <c r="T95" s="762">
        <v>22442900</v>
      </c>
      <c r="U95" s="762">
        <v>22448686</v>
      </c>
      <c r="V95" s="762" t="s">
        <v>5473</v>
      </c>
      <c r="W95" s="762" t="s">
        <v>4730</v>
      </c>
      <c r="X95" s="692"/>
      <c r="Y95" s="761"/>
      <c r="Z95" s="10"/>
      <c r="AA95" s="10"/>
      <c r="AB95" s="10"/>
      <c r="AC95" s="8"/>
      <c r="AD95" s="8"/>
      <c r="AE95" s="8"/>
      <c r="AF95" s="8"/>
      <c r="AG95" s="761"/>
      <c r="AH95" s="8"/>
      <c r="AI95" s="10"/>
    </row>
    <row r="96" spans="2:35" ht="15.75" hidden="1">
      <c r="B96" s="692" t="s">
        <v>1852</v>
      </c>
      <c r="C96" s="692" t="s">
        <v>297</v>
      </c>
      <c r="D96" s="9"/>
      <c r="E96" s="692" t="s">
        <v>404</v>
      </c>
      <c r="F96" s="692" t="s">
        <v>1992</v>
      </c>
      <c r="G96" s="692" t="s">
        <v>3490</v>
      </c>
      <c r="H96" s="692" t="s">
        <v>798</v>
      </c>
      <c r="I96" s="692" t="s">
        <v>3</v>
      </c>
      <c r="J96" s="692" t="s">
        <v>126</v>
      </c>
      <c r="K96" s="692" t="s">
        <v>4</v>
      </c>
      <c r="L96" s="692" t="s">
        <v>3</v>
      </c>
      <c r="M96" s="692" t="str">
        <f t="shared" si="1"/>
        <v>5-02-01</v>
      </c>
      <c r="N96" s="692"/>
      <c r="O96" s="692"/>
      <c r="P96" s="692"/>
      <c r="Q96" s="762" t="s">
        <v>305</v>
      </c>
      <c r="R96" s="762" t="s">
        <v>3543</v>
      </c>
      <c r="S96" s="762" t="s">
        <v>5964</v>
      </c>
      <c r="T96" s="762">
        <v>26855221</v>
      </c>
      <c r="U96" s="762"/>
      <c r="V96" s="762" t="s">
        <v>1844</v>
      </c>
      <c r="W96" s="762" t="s">
        <v>2614</v>
      </c>
      <c r="X96" s="692"/>
      <c r="Y96" s="761"/>
      <c r="Z96" s="10"/>
      <c r="AA96" s="10"/>
      <c r="AB96" s="10"/>
      <c r="AC96" s="8"/>
      <c r="AD96" s="8"/>
      <c r="AE96" s="8"/>
      <c r="AF96" s="8"/>
      <c r="AG96" s="761"/>
      <c r="AH96" s="8"/>
      <c r="AI96" s="10"/>
    </row>
    <row r="97" spans="2:35" ht="15.75" hidden="1">
      <c r="B97" s="692" t="s">
        <v>4694</v>
      </c>
      <c r="C97" s="692" t="s">
        <v>198</v>
      </c>
      <c r="D97" s="9"/>
      <c r="E97" s="692" t="s">
        <v>409</v>
      </c>
      <c r="F97" s="692" t="s">
        <v>1992</v>
      </c>
      <c r="G97" s="692" t="s">
        <v>2617</v>
      </c>
      <c r="H97" s="692" t="s">
        <v>4394</v>
      </c>
      <c r="I97" s="692" t="s">
        <v>5</v>
      </c>
      <c r="J97" s="692" t="s">
        <v>41</v>
      </c>
      <c r="K97" s="692" t="s">
        <v>3</v>
      </c>
      <c r="L97" s="692" t="s">
        <v>3</v>
      </c>
      <c r="M97" s="692" t="str">
        <f t="shared" si="1"/>
        <v>1-01-01</v>
      </c>
      <c r="N97" s="692"/>
      <c r="O97" s="692"/>
      <c r="P97" s="692"/>
      <c r="Q97" s="762" t="s">
        <v>175</v>
      </c>
      <c r="R97" s="762" t="s">
        <v>1052</v>
      </c>
      <c r="S97" s="762" t="s">
        <v>2618</v>
      </c>
      <c r="T97" s="762">
        <v>22722222</v>
      </c>
      <c r="U97" s="762">
        <v>40806181</v>
      </c>
      <c r="V97" s="762" t="s">
        <v>5970</v>
      </c>
      <c r="W97" s="762" t="s">
        <v>4007</v>
      </c>
      <c r="X97" s="692"/>
      <c r="Y97" s="761"/>
      <c r="Z97" s="10"/>
      <c r="AA97" s="10"/>
      <c r="AB97" s="10"/>
      <c r="AC97" s="8"/>
      <c r="AD97" s="8"/>
      <c r="AE97" s="8"/>
      <c r="AF97" s="8"/>
      <c r="AG97" s="761"/>
      <c r="AH97" s="8"/>
      <c r="AI97" s="10"/>
    </row>
    <row r="98" spans="2:35" ht="15.75" hidden="1">
      <c r="B98" s="692" t="s">
        <v>1848</v>
      </c>
      <c r="C98" s="692" t="s">
        <v>501</v>
      </c>
      <c r="D98" s="9"/>
      <c r="E98" s="692" t="s">
        <v>410</v>
      </c>
      <c r="F98" s="692" t="s">
        <v>1992</v>
      </c>
      <c r="G98" s="692" t="s">
        <v>5474</v>
      </c>
      <c r="H98" s="692" t="s">
        <v>4395</v>
      </c>
      <c r="I98" s="692" t="s">
        <v>5</v>
      </c>
      <c r="J98" s="692" t="s">
        <v>41</v>
      </c>
      <c r="K98" s="692" t="s">
        <v>4</v>
      </c>
      <c r="L98" s="692" t="s">
        <v>5</v>
      </c>
      <c r="M98" s="692" t="str">
        <f t="shared" si="1"/>
        <v>1-02-03</v>
      </c>
      <c r="N98" s="692"/>
      <c r="O98" s="692"/>
      <c r="P98" s="692"/>
      <c r="Q98" s="762" t="s">
        <v>4325</v>
      </c>
      <c r="R98" s="762" t="s">
        <v>1052</v>
      </c>
      <c r="S98" s="762" t="s">
        <v>1873</v>
      </c>
      <c r="T98" s="762">
        <v>22151742</v>
      </c>
      <c r="U98" s="762">
        <v>22151126</v>
      </c>
      <c r="V98" s="762" t="s">
        <v>1874</v>
      </c>
      <c r="W98" s="762" t="s">
        <v>1875</v>
      </c>
      <c r="X98" s="692"/>
      <c r="Y98" s="761"/>
      <c r="Z98" s="10"/>
      <c r="AA98" s="10"/>
      <c r="AB98" s="10"/>
      <c r="AC98" s="8"/>
      <c r="AD98" s="8"/>
      <c r="AE98" s="8"/>
      <c r="AF98" s="8"/>
      <c r="AG98" s="761"/>
      <c r="AH98" s="8"/>
      <c r="AI98" s="10"/>
    </row>
    <row r="99" spans="2:35" ht="15.75" hidden="1">
      <c r="B99" s="692" t="s">
        <v>3983</v>
      </c>
      <c r="C99" s="692" t="s">
        <v>3972</v>
      </c>
      <c r="D99" s="9"/>
      <c r="E99" s="692" t="s">
        <v>413</v>
      </c>
      <c r="F99" s="692" t="s">
        <v>1992</v>
      </c>
      <c r="G99" s="692" t="s">
        <v>5475</v>
      </c>
      <c r="H99" s="692" t="s">
        <v>111</v>
      </c>
      <c r="I99" s="692" t="s">
        <v>6</v>
      </c>
      <c r="J99" s="692" t="s">
        <v>110</v>
      </c>
      <c r="K99" s="692" t="s">
        <v>3</v>
      </c>
      <c r="L99" s="692" t="s">
        <v>3</v>
      </c>
      <c r="M99" s="692" t="str">
        <f t="shared" si="1"/>
        <v>4-01-01</v>
      </c>
      <c r="N99" s="692"/>
      <c r="O99" s="692"/>
      <c r="P99" s="692"/>
      <c r="Q99" s="762" t="s">
        <v>111</v>
      </c>
      <c r="R99" s="762" t="s">
        <v>1052</v>
      </c>
      <c r="S99" s="762" t="s">
        <v>2626</v>
      </c>
      <c r="T99" s="762">
        <v>22624245</v>
      </c>
      <c r="U99" s="762">
        <v>22624245</v>
      </c>
      <c r="V99" s="762" t="s">
        <v>2627</v>
      </c>
      <c r="W99" s="762" t="s">
        <v>4731</v>
      </c>
      <c r="X99" s="692"/>
      <c r="Y99" s="761"/>
      <c r="Z99" s="10"/>
      <c r="AA99" s="10"/>
      <c r="AB99" s="10"/>
      <c r="AC99" s="8"/>
      <c r="AD99" s="8"/>
      <c r="AE99" s="8"/>
      <c r="AF99" s="8"/>
      <c r="AG99" s="761"/>
      <c r="AH99" s="8"/>
      <c r="AI99" s="10"/>
    </row>
    <row r="100" spans="2:35" ht="15.75" hidden="1">
      <c r="B100" s="692" t="s">
        <v>1823</v>
      </c>
      <c r="C100" s="692" t="s">
        <v>87</v>
      </c>
      <c r="D100" s="9"/>
      <c r="E100" s="692" t="s">
        <v>414</v>
      </c>
      <c r="F100" s="692" t="s">
        <v>1992</v>
      </c>
      <c r="G100" s="692" t="s">
        <v>4497</v>
      </c>
      <c r="H100" s="692" t="s">
        <v>66</v>
      </c>
      <c r="I100" s="692" t="s">
        <v>4</v>
      </c>
      <c r="J100" s="692" t="s">
        <v>43</v>
      </c>
      <c r="K100" s="692" t="s">
        <v>3</v>
      </c>
      <c r="L100" s="692" t="s">
        <v>13</v>
      </c>
      <c r="M100" s="692" t="str">
        <f t="shared" si="1"/>
        <v>2-01-10</v>
      </c>
      <c r="N100" s="692"/>
      <c r="O100" s="692"/>
      <c r="P100" s="692"/>
      <c r="Q100" s="762" t="s">
        <v>47</v>
      </c>
      <c r="R100" s="762" t="s">
        <v>1052</v>
      </c>
      <c r="S100" s="762" t="s">
        <v>1942</v>
      </c>
      <c r="T100" s="762">
        <v>24400185</v>
      </c>
      <c r="U100" s="762">
        <v>85640641</v>
      </c>
      <c r="V100" s="762" t="s">
        <v>1943</v>
      </c>
      <c r="W100" s="762" t="s">
        <v>2628</v>
      </c>
      <c r="X100" s="692"/>
      <c r="Y100" s="761"/>
      <c r="Z100" s="10"/>
      <c r="AA100" s="10"/>
      <c r="AB100" s="10"/>
      <c r="AC100" s="8"/>
      <c r="AD100" s="8"/>
      <c r="AE100" s="8"/>
      <c r="AF100" s="8"/>
      <c r="AG100" s="761"/>
      <c r="AH100" s="8"/>
      <c r="AI100" s="10"/>
    </row>
    <row r="101" spans="2:35" ht="15.75" hidden="1">
      <c r="B101" s="692" t="s">
        <v>3092</v>
      </c>
      <c r="C101" s="692" t="s">
        <v>367</v>
      </c>
      <c r="D101" s="9"/>
      <c r="E101" s="692" t="s">
        <v>1076</v>
      </c>
      <c r="F101" s="692" t="s">
        <v>1992</v>
      </c>
      <c r="G101" s="692" t="s">
        <v>3491</v>
      </c>
      <c r="H101" s="692" t="s">
        <v>798</v>
      </c>
      <c r="I101" s="692" t="s">
        <v>3</v>
      </c>
      <c r="J101" s="692" t="s">
        <v>126</v>
      </c>
      <c r="K101" s="692" t="s">
        <v>4</v>
      </c>
      <c r="L101" s="692" t="s">
        <v>3</v>
      </c>
      <c r="M101" s="692" t="str">
        <f t="shared" si="1"/>
        <v>5-02-01</v>
      </c>
      <c r="N101" s="692"/>
      <c r="O101" s="692"/>
      <c r="P101" s="692"/>
      <c r="Q101" s="762" t="s">
        <v>175</v>
      </c>
      <c r="R101" s="762" t="s">
        <v>1052</v>
      </c>
      <c r="S101" s="762" t="s">
        <v>3719</v>
      </c>
      <c r="T101" s="762">
        <v>26866561</v>
      </c>
      <c r="U101" s="762">
        <v>26866561</v>
      </c>
      <c r="V101" s="762" t="s">
        <v>1785</v>
      </c>
      <c r="W101" s="762" t="s">
        <v>2632</v>
      </c>
      <c r="X101" s="692"/>
      <c r="Y101" s="761"/>
      <c r="Z101" s="10"/>
      <c r="AA101" s="10"/>
      <c r="AB101" s="10"/>
      <c r="AC101" s="8"/>
      <c r="AD101" s="8"/>
      <c r="AE101" s="8"/>
      <c r="AF101" s="8"/>
      <c r="AG101" s="761"/>
      <c r="AH101" s="8"/>
      <c r="AI101" s="10"/>
    </row>
    <row r="102" spans="2:35" ht="15.75" hidden="1">
      <c r="B102" s="692" t="s">
        <v>3542</v>
      </c>
      <c r="C102" s="692" t="s">
        <v>3540</v>
      </c>
      <c r="D102" s="9"/>
      <c r="E102" s="692" t="s">
        <v>231</v>
      </c>
      <c r="F102" s="692" t="s">
        <v>1992</v>
      </c>
      <c r="G102" s="692" t="s">
        <v>4697</v>
      </c>
      <c r="H102" s="692" t="s">
        <v>450</v>
      </c>
      <c r="I102" s="692" t="s">
        <v>7</v>
      </c>
      <c r="J102" s="692" t="s">
        <v>80</v>
      </c>
      <c r="K102" s="692" t="s">
        <v>16</v>
      </c>
      <c r="L102" s="692" t="s">
        <v>3</v>
      </c>
      <c r="M102" s="692" t="str">
        <f t="shared" si="1"/>
        <v>6-11-01</v>
      </c>
      <c r="N102" s="692"/>
      <c r="O102" s="692"/>
      <c r="P102" s="692"/>
      <c r="Q102" s="762" t="s">
        <v>2634</v>
      </c>
      <c r="R102" s="762" t="s">
        <v>1052</v>
      </c>
      <c r="S102" s="762" t="s">
        <v>5967</v>
      </c>
      <c r="T102" s="762">
        <v>26433836</v>
      </c>
      <c r="U102" s="762">
        <v>26432657</v>
      </c>
      <c r="V102" s="762" t="s">
        <v>1828</v>
      </c>
      <c r="W102" s="762" t="s">
        <v>2635</v>
      </c>
      <c r="X102" s="692"/>
      <c r="Y102" s="761"/>
      <c r="Z102" s="10"/>
      <c r="AA102" s="10"/>
      <c r="AB102" s="10"/>
      <c r="AC102" s="8"/>
      <c r="AD102" s="8"/>
      <c r="AE102" s="8"/>
      <c r="AF102" s="8"/>
      <c r="AG102" s="761"/>
      <c r="AH102" s="8"/>
      <c r="AI102" s="10"/>
    </row>
    <row r="103" spans="2:35" ht="15.75" hidden="1">
      <c r="B103" s="692" t="s">
        <v>2530</v>
      </c>
      <c r="C103" s="692" t="s">
        <v>366</v>
      </c>
      <c r="D103" s="9"/>
      <c r="E103" s="692" t="s">
        <v>419</v>
      </c>
      <c r="F103" s="692" t="s">
        <v>1992</v>
      </c>
      <c r="G103" s="692" t="s">
        <v>4498</v>
      </c>
      <c r="H103" s="692" t="s">
        <v>117</v>
      </c>
      <c r="I103" s="692" t="s">
        <v>5</v>
      </c>
      <c r="J103" s="692" t="s">
        <v>43</v>
      </c>
      <c r="K103" s="692" t="s">
        <v>13</v>
      </c>
      <c r="L103" s="692" t="s">
        <v>3</v>
      </c>
      <c r="M103" s="692" t="str">
        <f t="shared" si="1"/>
        <v>2-10-01</v>
      </c>
      <c r="N103" s="692"/>
      <c r="O103" s="692"/>
      <c r="P103" s="692"/>
      <c r="Q103" s="762" t="s">
        <v>132</v>
      </c>
      <c r="R103" s="762" t="s">
        <v>1052</v>
      </c>
      <c r="S103" s="762" t="s">
        <v>4922</v>
      </c>
      <c r="T103" s="762">
        <v>24623410</v>
      </c>
      <c r="U103" s="762">
        <v>24613410</v>
      </c>
      <c r="V103" s="762" t="s">
        <v>4732</v>
      </c>
      <c r="W103" s="762" t="s">
        <v>2640</v>
      </c>
      <c r="X103" s="692"/>
      <c r="Y103" s="761"/>
      <c r="Z103" s="10"/>
      <c r="AA103" s="10"/>
      <c r="AB103" s="10"/>
      <c r="AC103" s="8"/>
      <c r="AD103" s="8"/>
      <c r="AE103" s="8"/>
      <c r="AF103" s="8"/>
      <c r="AG103" s="761"/>
      <c r="AH103" s="8"/>
      <c r="AI103" s="10"/>
    </row>
    <row r="104" spans="2:35" ht="15.75" hidden="1">
      <c r="B104" s="692" t="s">
        <v>5719</v>
      </c>
      <c r="C104" s="692" t="s">
        <v>946</v>
      </c>
      <c r="D104" s="9"/>
      <c r="E104" s="692" t="s">
        <v>1138</v>
      </c>
      <c r="F104" s="692" t="s">
        <v>1992</v>
      </c>
      <c r="G104" s="692" t="s">
        <v>1830</v>
      </c>
      <c r="H104" s="692" t="s">
        <v>4394</v>
      </c>
      <c r="I104" s="692" t="s">
        <v>5</v>
      </c>
      <c r="J104" s="692" t="s">
        <v>41</v>
      </c>
      <c r="K104" s="692" t="s">
        <v>70</v>
      </c>
      <c r="L104" s="692" t="s">
        <v>3</v>
      </c>
      <c r="M104" s="692" t="str">
        <f t="shared" si="1"/>
        <v>1-18-01</v>
      </c>
      <c r="N104" s="692"/>
      <c r="O104" s="692"/>
      <c r="P104" s="692"/>
      <c r="Q104" s="762" t="s">
        <v>71</v>
      </c>
      <c r="R104" s="762" t="s">
        <v>1052</v>
      </c>
      <c r="S104" s="762" t="s">
        <v>1829</v>
      </c>
      <c r="T104" s="762">
        <v>22721524</v>
      </c>
      <c r="U104" s="762">
        <v>22723969</v>
      </c>
      <c r="V104" s="762" t="s">
        <v>5912</v>
      </c>
      <c r="W104" s="762" t="s">
        <v>2641</v>
      </c>
      <c r="X104" s="692"/>
      <c r="Y104" s="761"/>
      <c r="Z104" s="10"/>
      <c r="AA104" s="10"/>
      <c r="AB104" s="10"/>
      <c r="AC104" s="8"/>
      <c r="AD104" s="8"/>
      <c r="AE104" s="8"/>
      <c r="AF104" s="8"/>
      <c r="AG104" s="761"/>
      <c r="AH104" s="8"/>
      <c r="AI104" s="10"/>
    </row>
    <row r="105" spans="2:35" ht="15.75" hidden="1">
      <c r="B105" s="692" t="s">
        <v>3367</v>
      </c>
      <c r="C105" s="692" t="s">
        <v>342</v>
      </c>
      <c r="D105" s="9"/>
      <c r="E105" s="692" t="s">
        <v>899</v>
      </c>
      <c r="F105" s="692" t="s">
        <v>1992</v>
      </c>
      <c r="G105" s="692" t="s">
        <v>732</v>
      </c>
      <c r="H105" s="692" t="s">
        <v>66</v>
      </c>
      <c r="I105" s="692" t="s">
        <v>4</v>
      </c>
      <c r="J105" s="692" t="s">
        <v>43</v>
      </c>
      <c r="K105" s="692" t="s">
        <v>3</v>
      </c>
      <c r="L105" s="692" t="s">
        <v>13</v>
      </c>
      <c r="M105" s="692" t="str">
        <f t="shared" si="1"/>
        <v>2-01-10</v>
      </c>
      <c r="N105" s="692"/>
      <c r="O105" s="692"/>
      <c r="P105" s="692"/>
      <c r="Q105" s="762" t="s">
        <v>1825</v>
      </c>
      <c r="R105" s="762" t="s">
        <v>1052</v>
      </c>
      <c r="S105" s="762" t="s">
        <v>1826</v>
      </c>
      <c r="T105" s="762">
        <v>24435050</v>
      </c>
      <c r="U105" s="762">
        <v>24435050</v>
      </c>
      <c r="V105" s="762" t="s">
        <v>4527</v>
      </c>
      <c r="W105" s="762" t="s">
        <v>2642</v>
      </c>
      <c r="X105" s="692"/>
      <c r="Y105" s="761"/>
      <c r="Z105" s="10"/>
      <c r="AA105" s="10"/>
      <c r="AB105" s="10"/>
      <c r="AC105" s="8"/>
      <c r="AD105" s="8"/>
      <c r="AE105" s="8"/>
      <c r="AF105" s="8"/>
      <c r="AG105" s="761"/>
      <c r="AH105" s="8"/>
      <c r="AI105" s="10"/>
    </row>
    <row r="106" spans="2:35" ht="15.75" hidden="1">
      <c r="B106" s="692" t="s">
        <v>3514</v>
      </c>
      <c r="C106" s="692" t="s">
        <v>677</v>
      </c>
      <c r="D106" s="9"/>
      <c r="E106" s="5" t="s">
        <v>942</v>
      </c>
      <c r="F106" s="5" t="s">
        <v>1992</v>
      </c>
      <c r="G106" s="5" t="s">
        <v>2646</v>
      </c>
      <c r="H106" s="5" t="s">
        <v>66</v>
      </c>
      <c r="I106" s="5" t="s">
        <v>7</v>
      </c>
      <c r="J106" s="5" t="s">
        <v>43</v>
      </c>
      <c r="K106" s="5" t="s">
        <v>3</v>
      </c>
      <c r="L106" s="5" t="s">
        <v>3</v>
      </c>
      <c r="M106" s="692" t="str">
        <f t="shared" si="1"/>
        <v>2-01-01</v>
      </c>
      <c r="Q106" s="762" t="s">
        <v>42</v>
      </c>
      <c r="R106" s="762" t="s">
        <v>1052</v>
      </c>
      <c r="S106" s="762" t="s">
        <v>1879</v>
      </c>
      <c r="T106" s="762">
        <v>24333210</v>
      </c>
      <c r="U106" s="762">
        <v>24333225</v>
      </c>
      <c r="V106" s="762" t="s">
        <v>5977</v>
      </c>
      <c r="W106" s="762" t="s">
        <v>2647</v>
      </c>
      <c r="Y106" s="761"/>
      <c r="AG106" s="761"/>
    </row>
    <row r="107" spans="2:35" ht="15.75" hidden="1">
      <c r="B107" s="692" t="s">
        <v>3480</v>
      </c>
      <c r="C107" s="692" t="s">
        <v>1742</v>
      </c>
      <c r="D107" s="9"/>
      <c r="E107" s="692" t="s">
        <v>426</v>
      </c>
      <c r="F107" s="692" t="s">
        <v>1992</v>
      </c>
      <c r="G107" s="692" t="s">
        <v>4698</v>
      </c>
      <c r="H107" s="692" t="s">
        <v>66</v>
      </c>
      <c r="I107" s="692" t="s">
        <v>8</v>
      </c>
      <c r="J107" s="692" t="s">
        <v>43</v>
      </c>
      <c r="K107" s="692" t="s">
        <v>5</v>
      </c>
      <c r="L107" s="692" t="s">
        <v>3</v>
      </c>
      <c r="M107" s="692" t="str">
        <f t="shared" si="1"/>
        <v>2-03-01</v>
      </c>
      <c r="N107" s="692"/>
      <c r="O107" s="692"/>
      <c r="P107" s="692"/>
      <c r="Q107" s="762" t="s">
        <v>237</v>
      </c>
      <c r="R107" s="762" t="s">
        <v>1052</v>
      </c>
      <c r="S107" s="762" t="s">
        <v>4338</v>
      </c>
      <c r="T107" s="762">
        <v>24945665</v>
      </c>
      <c r="U107" s="762"/>
      <c r="V107" s="762" t="s">
        <v>1863</v>
      </c>
      <c r="W107" s="762" t="s">
        <v>5966</v>
      </c>
      <c r="X107" s="692"/>
      <c r="Y107" s="761"/>
      <c r="Z107" s="10"/>
      <c r="AA107" s="10"/>
      <c r="AB107" s="10"/>
      <c r="AC107" s="8"/>
      <c r="AD107" s="8"/>
      <c r="AE107" s="8"/>
      <c r="AF107" s="8"/>
      <c r="AG107" s="761"/>
      <c r="AH107" s="8"/>
      <c r="AI107" s="10"/>
    </row>
    <row r="108" spans="2:35" ht="15.75" hidden="1">
      <c r="B108" s="692" t="s">
        <v>3491</v>
      </c>
      <c r="C108" s="692" t="s">
        <v>1076</v>
      </c>
      <c r="D108" s="9"/>
      <c r="E108" s="692" t="s">
        <v>900</v>
      </c>
      <c r="F108" s="692" t="s">
        <v>1992</v>
      </c>
      <c r="G108" s="692" t="s">
        <v>2651</v>
      </c>
      <c r="H108" s="692" t="s">
        <v>66</v>
      </c>
      <c r="I108" s="692" t="s">
        <v>11</v>
      </c>
      <c r="J108" s="692" t="s">
        <v>43</v>
      </c>
      <c r="K108" s="692" t="s">
        <v>7</v>
      </c>
      <c r="L108" s="692" t="s">
        <v>3</v>
      </c>
      <c r="M108" s="692" t="str">
        <f t="shared" si="1"/>
        <v>2-05-01</v>
      </c>
      <c r="N108" s="692"/>
      <c r="O108" s="692"/>
      <c r="P108" s="692"/>
      <c r="Q108" s="762" t="s">
        <v>664</v>
      </c>
      <c r="R108" s="762" t="s">
        <v>1052</v>
      </c>
      <c r="S108" s="762" t="s">
        <v>2652</v>
      </c>
      <c r="T108" s="762">
        <v>24468558</v>
      </c>
      <c r="U108" s="762">
        <v>24468558</v>
      </c>
      <c r="V108" s="762" t="s">
        <v>2653</v>
      </c>
      <c r="W108" s="762" t="s">
        <v>2654</v>
      </c>
      <c r="X108" s="692"/>
      <c r="Y108" s="761"/>
      <c r="Z108" s="10"/>
      <c r="AA108" s="10"/>
      <c r="AB108" s="10"/>
      <c r="AC108" s="8"/>
      <c r="AD108" s="8"/>
      <c r="AE108" s="8"/>
      <c r="AF108" s="8"/>
      <c r="AG108" s="761"/>
      <c r="AH108" s="8"/>
      <c r="AI108" s="10"/>
    </row>
    <row r="109" spans="2:35" ht="15.75" hidden="1">
      <c r="B109" s="692" t="s">
        <v>1858</v>
      </c>
      <c r="C109" s="692" t="s">
        <v>338</v>
      </c>
      <c r="D109" s="9"/>
      <c r="E109" s="692" t="s">
        <v>324</v>
      </c>
      <c r="F109" s="692" t="s">
        <v>1992</v>
      </c>
      <c r="G109" s="692" t="s">
        <v>1753</v>
      </c>
      <c r="H109" s="692" t="s">
        <v>558</v>
      </c>
      <c r="I109" s="692" t="s">
        <v>3</v>
      </c>
      <c r="J109" s="692" t="s">
        <v>126</v>
      </c>
      <c r="K109" s="692" t="s">
        <v>8</v>
      </c>
      <c r="L109" s="692" t="s">
        <v>3</v>
      </c>
      <c r="M109" s="692" t="str">
        <f t="shared" si="1"/>
        <v>5-06-01</v>
      </c>
      <c r="N109" s="692"/>
      <c r="O109" s="692"/>
      <c r="P109" s="692"/>
      <c r="Q109" s="762" t="s">
        <v>2517</v>
      </c>
      <c r="R109" s="762" t="s">
        <v>1052</v>
      </c>
      <c r="S109" s="762" t="s">
        <v>1754</v>
      </c>
      <c r="T109" s="762">
        <v>26690904</v>
      </c>
      <c r="U109" s="762"/>
      <c r="V109" s="762" t="s">
        <v>1755</v>
      </c>
      <c r="W109" s="762" t="s">
        <v>4339</v>
      </c>
      <c r="X109" s="692"/>
      <c r="Y109" s="761"/>
      <c r="Z109" s="10"/>
      <c r="AA109" s="10"/>
      <c r="AB109" s="10"/>
      <c r="AC109" s="8"/>
      <c r="AD109" s="8"/>
      <c r="AE109" s="8"/>
      <c r="AF109" s="8"/>
      <c r="AG109" s="761"/>
      <c r="AH109" s="8"/>
      <c r="AI109" s="10"/>
    </row>
    <row r="110" spans="2:35" ht="15.75">
      <c r="B110" s="692" t="s">
        <v>1930</v>
      </c>
      <c r="C110" s="692" t="s">
        <v>379</v>
      </c>
      <c r="D110" s="9"/>
      <c r="E110" s="692" t="s">
        <v>430</v>
      </c>
      <c r="F110" s="692" t="s">
        <v>1992</v>
      </c>
      <c r="G110" s="692" t="s">
        <v>3493</v>
      </c>
      <c r="H110" s="692" t="s">
        <v>111</v>
      </c>
      <c r="I110" s="692" t="s">
        <v>6</v>
      </c>
      <c r="J110" s="692" t="s">
        <v>110</v>
      </c>
      <c r="K110" s="692" t="s">
        <v>7</v>
      </c>
      <c r="L110" s="692" t="s">
        <v>6</v>
      </c>
      <c r="M110" s="692" t="str">
        <f t="shared" si="1"/>
        <v>4-05-04</v>
      </c>
      <c r="N110" s="692"/>
      <c r="O110" s="692"/>
      <c r="P110" s="692"/>
      <c r="Q110" s="762" t="s">
        <v>60</v>
      </c>
      <c r="R110" s="762" t="s">
        <v>1052</v>
      </c>
      <c r="S110" s="762" t="s">
        <v>2655</v>
      </c>
      <c r="T110" s="762">
        <v>22378927</v>
      </c>
      <c r="U110" s="762">
        <v>22606137</v>
      </c>
      <c r="V110" s="762" t="s">
        <v>1903</v>
      </c>
      <c r="W110" s="762" t="s">
        <v>2656</v>
      </c>
      <c r="X110" s="692"/>
      <c r="Y110" s="761"/>
      <c r="Z110" s="10"/>
      <c r="AA110" s="10"/>
      <c r="AB110" s="10"/>
      <c r="AC110" s="8"/>
      <c r="AD110" s="8"/>
      <c r="AE110" s="8"/>
      <c r="AF110" s="8"/>
      <c r="AG110" s="761" t="s">
        <v>4493</v>
      </c>
      <c r="AH110" s="8"/>
      <c r="AI110" s="10"/>
    </row>
    <row r="111" spans="2:35" ht="15.75" hidden="1">
      <c r="B111" s="692" t="s">
        <v>5494</v>
      </c>
      <c r="C111" s="692" t="s">
        <v>714</v>
      </c>
      <c r="D111" s="9"/>
      <c r="E111" s="692" t="s">
        <v>147</v>
      </c>
      <c r="F111" s="692" t="s">
        <v>1992</v>
      </c>
      <c r="G111" s="692" t="s">
        <v>1931</v>
      </c>
      <c r="H111" s="692" t="s">
        <v>4394</v>
      </c>
      <c r="I111" s="692" t="s">
        <v>4</v>
      </c>
      <c r="J111" s="692" t="s">
        <v>41</v>
      </c>
      <c r="K111" s="692" t="s">
        <v>3</v>
      </c>
      <c r="L111" s="692" t="s">
        <v>3</v>
      </c>
      <c r="M111" s="692" t="str">
        <f t="shared" si="1"/>
        <v>1-01-01</v>
      </c>
      <c r="N111" s="692"/>
      <c r="O111" s="692"/>
      <c r="P111" s="692"/>
      <c r="Q111" s="762" t="s">
        <v>1727</v>
      </c>
      <c r="R111" s="762" t="s">
        <v>1052</v>
      </c>
      <c r="S111" s="762" t="s">
        <v>2666</v>
      </c>
      <c r="T111" s="762">
        <v>22332789</v>
      </c>
      <c r="U111" s="762">
        <v>22226150</v>
      </c>
      <c r="V111" s="762" t="s">
        <v>4924</v>
      </c>
      <c r="W111" s="762" t="s">
        <v>5937</v>
      </c>
      <c r="X111" s="692"/>
      <c r="Y111" s="761"/>
      <c r="Z111" s="10"/>
      <c r="AA111" s="10"/>
      <c r="AB111" s="10"/>
      <c r="AC111" s="8"/>
      <c r="AD111" s="8"/>
      <c r="AE111" s="8"/>
      <c r="AF111" s="8"/>
      <c r="AG111" s="761"/>
      <c r="AH111" s="8"/>
      <c r="AI111" s="10"/>
    </row>
    <row r="112" spans="2:35" ht="15.75" hidden="1">
      <c r="B112" s="692" t="s">
        <v>1935</v>
      </c>
      <c r="C112" s="692" t="s">
        <v>700</v>
      </c>
      <c r="D112" s="9"/>
      <c r="E112" s="692" t="s">
        <v>1725</v>
      </c>
      <c r="F112" s="692" t="s">
        <v>1992</v>
      </c>
      <c r="G112" s="692" t="s">
        <v>1850</v>
      </c>
      <c r="H112" s="692" t="s">
        <v>5729</v>
      </c>
      <c r="I112" s="692" t="s">
        <v>11</v>
      </c>
      <c r="J112" s="692" t="s">
        <v>68</v>
      </c>
      <c r="K112" s="692" t="s">
        <v>6</v>
      </c>
      <c r="L112" s="692" t="s">
        <v>5</v>
      </c>
      <c r="M112" s="692" t="str">
        <f t="shared" si="1"/>
        <v>7-04-03</v>
      </c>
      <c r="N112" s="692"/>
      <c r="O112" s="692"/>
      <c r="P112" s="692"/>
      <c r="Q112" s="762" t="s">
        <v>853</v>
      </c>
      <c r="R112" s="762" t="s">
        <v>1052</v>
      </c>
      <c r="S112" s="762" t="s">
        <v>4733</v>
      </c>
      <c r="T112" s="762">
        <v>27550129</v>
      </c>
      <c r="U112" s="762">
        <v>27550075</v>
      </c>
      <c r="V112" s="762" t="s">
        <v>1851</v>
      </c>
      <c r="W112" s="762" t="s">
        <v>3720</v>
      </c>
      <c r="X112" s="692"/>
      <c r="Y112" s="761"/>
      <c r="Z112" s="10"/>
      <c r="AA112" s="10"/>
      <c r="AB112" s="10"/>
      <c r="AC112" s="8"/>
      <c r="AD112" s="8"/>
      <c r="AE112" s="8"/>
      <c r="AF112" s="8"/>
      <c r="AG112" s="761"/>
      <c r="AH112" s="8"/>
      <c r="AI112" s="10"/>
    </row>
    <row r="113" spans="2:35" ht="15.75" hidden="1">
      <c r="B113" s="692" t="s">
        <v>1904</v>
      </c>
      <c r="C113" s="692" t="s">
        <v>257</v>
      </c>
      <c r="D113" s="9"/>
      <c r="E113" s="692" t="s">
        <v>464</v>
      </c>
      <c r="F113" s="692" t="s">
        <v>1992</v>
      </c>
      <c r="G113" s="692" t="s">
        <v>223</v>
      </c>
      <c r="H113" s="692" t="s">
        <v>79</v>
      </c>
      <c r="I113" s="692" t="s">
        <v>12</v>
      </c>
      <c r="J113" s="692" t="s">
        <v>80</v>
      </c>
      <c r="K113" s="692" t="s">
        <v>13</v>
      </c>
      <c r="L113" s="692" t="s">
        <v>5</v>
      </c>
      <c r="M113" s="692" t="str">
        <f t="shared" si="1"/>
        <v>6-10-03</v>
      </c>
      <c r="N113" s="692"/>
      <c r="O113" s="692"/>
      <c r="P113" s="692"/>
      <c r="Q113" s="762" t="s">
        <v>3986</v>
      </c>
      <c r="R113" s="762" t="s">
        <v>1052</v>
      </c>
      <c r="S113" s="762" t="s">
        <v>4528</v>
      </c>
      <c r="T113" s="762">
        <v>27836239</v>
      </c>
      <c r="U113" s="762"/>
      <c r="V113" s="762" t="s">
        <v>2718</v>
      </c>
      <c r="W113" s="762" t="s">
        <v>2719</v>
      </c>
      <c r="X113" s="692"/>
      <c r="Y113" s="761"/>
      <c r="Z113" s="10"/>
      <c r="AA113" s="10"/>
      <c r="AB113" s="10"/>
      <c r="AC113" s="8"/>
      <c r="AD113" s="8"/>
      <c r="AE113" s="8"/>
      <c r="AF113" s="8"/>
      <c r="AG113" s="761"/>
      <c r="AH113" s="8"/>
      <c r="AI113" s="10"/>
    </row>
    <row r="114" spans="2:35" ht="15.75" hidden="1">
      <c r="B114" s="692" t="s">
        <v>5724</v>
      </c>
      <c r="C114" s="692" t="s">
        <v>323</v>
      </c>
      <c r="D114" s="9"/>
      <c r="E114" s="692" t="s">
        <v>468</v>
      </c>
      <c r="F114" s="692" t="s">
        <v>1992</v>
      </c>
      <c r="G114" s="692" t="s">
        <v>4499</v>
      </c>
      <c r="H114" s="692" t="s">
        <v>4396</v>
      </c>
      <c r="I114" s="692" t="s">
        <v>6</v>
      </c>
      <c r="J114" s="692" t="s">
        <v>41</v>
      </c>
      <c r="K114" s="692" t="s">
        <v>18</v>
      </c>
      <c r="L114" s="692" t="s">
        <v>3</v>
      </c>
      <c r="M114" s="692" t="str">
        <f t="shared" si="1"/>
        <v>1-13-01</v>
      </c>
      <c r="N114" s="692"/>
      <c r="O114" s="692"/>
      <c r="P114" s="692"/>
      <c r="Q114" s="762" t="s">
        <v>85</v>
      </c>
      <c r="R114" s="762" t="s">
        <v>1052</v>
      </c>
      <c r="S114" s="762" t="s">
        <v>2727</v>
      </c>
      <c r="T114" s="762">
        <v>22367120</v>
      </c>
      <c r="U114" s="762">
        <v>22413193</v>
      </c>
      <c r="V114" s="762" t="s">
        <v>4529</v>
      </c>
      <c r="W114" s="762" t="s">
        <v>2728</v>
      </c>
      <c r="X114" s="692"/>
      <c r="Y114" s="761"/>
      <c r="Z114" s="10"/>
      <c r="AA114" s="10"/>
      <c r="AB114" s="10"/>
      <c r="AC114" s="8"/>
      <c r="AD114" s="8"/>
      <c r="AE114" s="8"/>
      <c r="AF114" s="8"/>
      <c r="AG114" s="761"/>
      <c r="AH114" s="8"/>
      <c r="AI114" s="10"/>
    </row>
    <row r="115" spans="2:35" ht="15.75" hidden="1">
      <c r="B115" s="692" t="s">
        <v>5885</v>
      </c>
      <c r="C115" s="692" t="s">
        <v>5715</v>
      </c>
      <c r="D115" s="9"/>
      <c r="E115" s="692" t="s">
        <v>469</v>
      </c>
      <c r="F115" s="692" t="s">
        <v>1992</v>
      </c>
      <c r="G115" s="692" t="s">
        <v>2729</v>
      </c>
      <c r="H115" s="692" t="s">
        <v>4396</v>
      </c>
      <c r="I115" s="692" t="s">
        <v>8</v>
      </c>
      <c r="J115" s="692" t="s">
        <v>41</v>
      </c>
      <c r="K115" s="692" t="s">
        <v>16</v>
      </c>
      <c r="L115" s="692" t="s">
        <v>3</v>
      </c>
      <c r="M115" s="692" t="str">
        <f t="shared" si="1"/>
        <v>1-11-01</v>
      </c>
      <c r="N115" s="692"/>
      <c r="O115" s="692"/>
      <c r="P115" s="692"/>
      <c r="Q115" s="762" t="s">
        <v>140</v>
      </c>
      <c r="R115" s="762" t="s">
        <v>1052</v>
      </c>
      <c r="S115" s="762" t="s">
        <v>3721</v>
      </c>
      <c r="T115" s="762">
        <v>22294490</v>
      </c>
      <c r="U115" s="762">
        <v>22292314</v>
      </c>
      <c r="V115" s="762" t="s">
        <v>5476</v>
      </c>
      <c r="W115" s="762" t="s">
        <v>5949</v>
      </c>
      <c r="X115" s="692"/>
      <c r="Y115" s="761"/>
      <c r="Z115" s="10"/>
      <c r="AA115" s="10"/>
      <c r="AB115" s="10"/>
      <c r="AC115" s="8"/>
      <c r="AD115" s="8"/>
      <c r="AE115" s="8"/>
      <c r="AF115" s="8"/>
      <c r="AG115" s="761"/>
      <c r="AH115" s="8"/>
      <c r="AI115" s="10"/>
    </row>
    <row r="116" spans="2:35" ht="15.75" hidden="1">
      <c r="B116" s="692" t="s">
        <v>1931</v>
      </c>
      <c r="C116" s="692" t="s">
        <v>147</v>
      </c>
      <c r="D116" s="9"/>
      <c r="E116" s="692" t="s">
        <v>472</v>
      </c>
      <c r="F116" s="692" t="s">
        <v>1992</v>
      </c>
      <c r="G116" s="692" t="s">
        <v>1867</v>
      </c>
      <c r="H116" s="692" t="s">
        <v>117</v>
      </c>
      <c r="I116" s="692" t="s">
        <v>5</v>
      </c>
      <c r="J116" s="692" t="s">
        <v>43</v>
      </c>
      <c r="K116" s="692" t="s">
        <v>13</v>
      </c>
      <c r="L116" s="692" t="s">
        <v>3</v>
      </c>
      <c r="M116" s="692" t="str">
        <f t="shared" si="1"/>
        <v>2-10-01</v>
      </c>
      <c r="N116" s="692"/>
      <c r="O116" s="692"/>
      <c r="P116" s="692"/>
      <c r="Q116" s="762" t="s">
        <v>595</v>
      </c>
      <c r="R116" s="762" t="s">
        <v>1052</v>
      </c>
      <c r="S116" s="762" t="s">
        <v>5935</v>
      </c>
      <c r="T116" s="762">
        <v>24615656</v>
      </c>
      <c r="U116" s="762">
        <v>24607355</v>
      </c>
      <c r="V116" s="762" t="s">
        <v>4340</v>
      </c>
      <c r="W116" s="762" t="s">
        <v>2735</v>
      </c>
      <c r="X116" s="692"/>
      <c r="Y116" s="761"/>
      <c r="Z116" s="10"/>
      <c r="AA116" s="10"/>
      <c r="AB116" s="10"/>
      <c r="AC116" s="8"/>
      <c r="AD116" s="8"/>
      <c r="AE116" s="8"/>
      <c r="AF116" s="8"/>
      <c r="AG116" s="761"/>
      <c r="AH116" s="8"/>
      <c r="AI116" s="10"/>
    </row>
    <row r="117" spans="2:35" ht="15.75" hidden="1">
      <c r="B117" s="692" t="s">
        <v>4506</v>
      </c>
      <c r="C117" s="692" t="s">
        <v>4505</v>
      </c>
      <c r="D117" s="9"/>
      <c r="E117" s="692" t="s">
        <v>479</v>
      </c>
      <c r="F117" s="692" t="s">
        <v>1992</v>
      </c>
      <c r="G117" s="692" t="s">
        <v>3500</v>
      </c>
      <c r="H117" s="692" t="s">
        <v>128</v>
      </c>
      <c r="I117" s="692" t="s">
        <v>7</v>
      </c>
      <c r="J117" s="692" t="s">
        <v>56</v>
      </c>
      <c r="K117" s="692" t="s">
        <v>4</v>
      </c>
      <c r="L117" s="692" t="s">
        <v>3</v>
      </c>
      <c r="M117" s="692" t="str">
        <f t="shared" si="1"/>
        <v>3-02-01</v>
      </c>
      <c r="N117" s="692"/>
      <c r="O117" s="692"/>
      <c r="P117" s="692"/>
      <c r="Q117" s="762" t="s">
        <v>741</v>
      </c>
      <c r="R117" s="762" t="s">
        <v>1052</v>
      </c>
      <c r="S117" s="762" t="s">
        <v>2747</v>
      </c>
      <c r="T117" s="762">
        <v>25746167</v>
      </c>
      <c r="U117" s="762">
        <v>89929740</v>
      </c>
      <c r="V117" s="762" t="s">
        <v>5477</v>
      </c>
      <c r="W117" s="762" t="s">
        <v>3722</v>
      </c>
      <c r="X117" s="692"/>
      <c r="Y117" s="761"/>
      <c r="Z117" s="10"/>
      <c r="AA117" s="10"/>
      <c r="AB117" s="10"/>
      <c r="AC117" s="8"/>
      <c r="AD117" s="8"/>
      <c r="AE117" s="8"/>
      <c r="AF117" s="8"/>
      <c r="AG117" s="761"/>
      <c r="AH117" s="8"/>
      <c r="AI117" s="10"/>
    </row>
    <row r="118" spans="2:35" ht="15.75" hidden="1">
      <c r="B118" s="692" t="s">
        <v>1867</v>
      </c>
      <c r="C118" s="692" t="s">
        <v>472</v>
      </c>
      <c r="D118" s="9"/>
      <c r="E118" s="692" t="s">
        <v>482</v>
      </c>
      <c r="F118" s="692" t="s">
        <v>1992</v>
      </c>
      <c r="G118" s="692" t="s">
        <v>4296</v>
      </c>
      <c r="H118" s="692" t="s">
        <v>4395</v>
      </c>
      <c r="I118" s="692" t="s">
        <v>5</v>
      </c>
      <c r="J118" s="692" t="s">
        <v>41</v>
      </c>
      <c r="K118" s="692" t="s">
        <v>4</v>
      </c>
      <c r="L118" s="692" t="s">
        <v>5</v>
      </c>
      <c r="M118" s="692" t="str">
        <f t="shared" si="1"/>
        <v>1-02-03</v>
      </c>
      <c r="N118" s="692"/>
      <c r="O118" s="692"/>
      <c r="P118" s="692"/>
      <c r="Q118" s="762" t="s">
        <v>89</v>
      </c>
      <c r="R118" s="762" t="s">
        <v>1052</v>
      </c>
      <c r="S118" s="762" t="s">
        <v>1887</v>
      </c>
      <c r="T118" s="762">
        <v>22281439</v>
      </c>
      <c r="U118" s="762">
        <v>25881910</v>
      </c>
      <c r="V118" s="762" t="s">
        <v>4341</v>
      </c>
      <c r="W118" s="762" t="s">
        <v>1888</v>
      </c>
      <c r="X118" s="692"/>
      <c r="Y118" s="761"/>
      <c r="Z118" s="10"/>
      <c r="AA118" s="10"/>
      <c r="AB118" s="10"/>
      <c r="AC118" s="8"/>
      <c r="AD118" s="8"/>
      <c r="AE118" s="8"/>
      <c r="AF118" s="8"/>
      <c r="AG118" s="761"/>
      <c r="AH118" s="8"/>
      <c r="AI118" s="10"/>
    </row>
    <row r="119" spans="2:35" ht="15.75" hidden="1">
      <c r="B119" s="692" t="s">
        <v>1810</v>
      </c>
      <c r="C119" s="692" t="s">
        <v>356</v>
      </c>
      <c r="D119" s="9"/>
      <c r="E119" s="692" t="s">
        <v>496</v>
      </c>
      <c r="F119" s="692" t="s">
        <v>1992</v>
      </c>
      <c r="G119" s="692" t="s">
        <v>4297</v>
      </c>
      <c r="H119" s="692" t="s">
        <v>111</v>
      </c>
      <c r="I119" s="692" t="s">
        <v>3</v>
      </c>
      <c r="J119" s="692" t="s">
        <v>110</v>
      </c>
      <c r="K119" s="692" t="s">
        <v>3</v>
      </c>
      <c r="L119" s="692" t="s">
        <v>3</v>
      </c>
      <c r="M119" s="692" t="str">
        <f t="shared" si="1"/>
        <v>4-01-01</v>
      </c>
      <c r="N119" s="692"/>
      <c r="O119" s="692"/>
      <c r="P119" s="692"/>
      <c r="Q119" s="762" t="s">
        <v>4342</v>
      </c>
      <c r="R119" s="762" t="s">
        <v>4804</v>
      </c>
      <c r="S119" s="762" t="s">
        <v>5932</v>
      </c>
      <c r="T119" s="762">
        <v>22773113</v>
      </c>
      <c r="U119" s="762"/>
      <c r="V119" s="762" t="s">
        <v>5933</v>
      </c>
      <c r="W119" s="762" t="s">
        <v>5934</v>
      </c>
      <c r="X119" s="692"/>
      <c r="Y119" s="761"/>
      <c r="Z119" s="10"/>
      <c r="AA119" s="10"/>
      <c r="AB119" s="10"/>
      <c r="AC119" s="8"/>
      <c r="AD119" s="8"/>
      <c r="AE119" s="8"/>
      <c r="AF119" s="8"/>
      <c r="AG119" s="761"/>
      <c r="AH119" s="8"/>
      <c r="AI119" s="10"/>
    </row>
    <row r="120" spans="2:35" ht="15.75" hidden="1">
      <c r="B120" s="692" t="s">
        <v>4702</v>
      </c>
      <c r="C120" s="692" t="s">
        <v>671</v>
      </c>
      <c r="D120" s="9"/>
      <c r="E120" s="692" t="s">
        <v>901</v>
      </c>
      <c r="F120" s="692" t="s">
        <v>1992</v>
      </c>
      <c r="G120" s="692" t="s">
        <v>2789</v>
      </c>
      <c r="H120" s="692" t="s">
        <v>4396</v>
      </c>
      <c r="I120" s="692" t="s">
        <v>6</v>
      </c>
      <c r="J120" s="692" t="s">
        <v>41</v>
      </c>
      <c r="K120" s="692" t="s">
        <v>18</v>
      </c>
      <c r="L120" s="692" t="s">
        <v>3</v>
      </c>
      <c r="M120" s="692" t="str">
        <f t="shared" si="1"/>
        <v>1-13-01</v>
      </c>
      <c r="N120" s="692"/>
      <c r="O120" s="692"/>
      <c r="P120" s="692"/>
      <c r="Q120" s="762" t="s">
        <v>1845</v>
      </c>
      <c r="R120" s="762" t="s">
        <v>1052</v>
      </c>
      <c r="S120" s="762" t="s">
        <v>4530</v>
      </c>
      <c r="T120" s="762">
        <v>22408890</v>
      </c>
      <c r="U120" s="762">
        <v>22408890</v>
      </c>
      <c r="V120" s="762" t="s">
        <v>1846</v>
      </c>
      <c r="W120" s="762" t="s">
        <v>2790</v>
      </c>
      <c r="X120" s="692"/>
      <c r="Y120" s="761"/>
      <c r="Z120" s="10"/>
      <c r="AA120" s="10"/>
      <c r="AB120" s="10"/>
      <c r="AC120" s="8"/>
      <c r="AD120" s="8"/>
      <c r="AE120" s="8"/>
      <c r="AF120" s="8"/>
      <c r="AG120" s="761"/>
      <c r="AH120" s="8"/>
      <c r="AI120" s="10"/>
    </row>
    <row r="121" spans="2:35" ht="15.75" hidden="1">
      <c r="B121" s="692" t="s">
        <v>4297</v>
      </c>
      <c r="C121" s="692" t="s">
        <v>496</v>
      </c>
      <c r="D121" s="9"/>
      <c r="E121" s="692" t="s">
        <v>902</v>
      </c>
      <c r="F121" s="692" t="s">
        <v>1992</v>
      </c>
      <c r="G121" s="692" t="s">
        <v>2791</v>
      </c>
      <c r="H121" s="692" t="s">
        <v>111</v>
      </c>
      <c r="I121" s="692" t="s">
        <v>5</v>
      </c>
      <c r="J121" s="692" t="s">
        <v>110</v>
      </c>
      <c r="K121" s="692" t="s">
        <v>6</v>
      </c>
      <c r="L121" s="692" t="s">
        <v>5</v>
      </c>
      <c r="M121" s="692" t="str">
        <f t="shared" si="1"/>
        <v>4-04-03</v>
      </c>
      <c r="N121" s="692"/>
      <c r="O121" s="692"/>
      <c r="P121" s="692"/>
      <c r="Q121" s="762" t="s">
        <v>94</v>
      </c>
      <c r="R121" s="762" t="s">
        <v>1052</v>
      </c>
      <c r="S121" s="762" t="s">
        <v>5478</v>
      </c>
      <c r="T121" s="762">
        <v>22774542</v>
      </c>
      <c r="U121" s="762">
        <v>22655393</v>
      </c>
      <c r="V121" s="762" t="s">
        <v>2792</v>
      </c>
      <c r="W121" s="762" t="s">
        <v>4343</v>
      </c>
      <c r="X121" s="692"/>
      <c r="Y121" s="761"/>
      <c r="Z121" s="10"/>
      <c r="AA121" s="10"/>
      <c r="AB121" s="10"/>
      <c r="AC121" s="8"/>
      <c r="AD121" s="8"/>
      <c r="AE121" s="8"/>
      <c r="AF121" s="8"/>
      <c r="AG121" s="761"/>
      <c r="AH121" s="8"/>
      <c r="AI121" s="10"/>
    </row>
    <row r="122" spans="2:35" ht="15.75" hidden="1">
      <c r="B122" s="692" t="s">
        <v>4305</v>
      </c>
      <c r="C122" s="692" t="s">
        <v>4304</v>
      </c>
      <c r="D122" s="9"/>
      <c r="E122" s="692" t="s">
        <v>501</v>
      </c>
      <c r="F122" s="692" t="s">
        <v>1992</v>
      </c>
      <c r="G122" s="692" t="s">
        <v>1848</v>
      </c>
      <c r="H122" s="692" t="s">
        <v>4396</v>
      </c>
      <c r="I122" s="692" t="s">
        <v>4</v>
      </c>
      <c r="J122" s="692" t="s">
        <v>41</v>
      </c>
      <c r="K122" s="692" t="s">
        <v>11</v>
      </c>
      <c r="L122" s="692" t="s">
        <v>6</v>
      </c>
      <c r="M122" s="692" t="str">
        <f t="shared" si="1"/>
        <v>1-08-04</v>
      </c>
      <c r="N122" s="692"/>
      <c r="O122" s="692"/>
      <c r="P122" s="692"/>
      <c r="Q122" s="762" t="s">
        <v>4531</v>
      </c>
      <c r="R122" s="762" t="s">
        <v>1052</v>
      </c>
      <c r="S122" s="762" t="s">
        <v>4734</v>
      </c>
      <c r="T122" s="762">
        <v>22298517</v>
      </c>
      <c r="U122" s="762">
        <v>22852762</v>
      </c>
      <c r="V122" s="762" t="s">
        <v>4532</v>
      </c>
      <c r="W122" s="762" t="s">
        <v>5941</v>
      </c>
      <c r="X122" s="692"/>
      <c r="Y122" s="761"/>
      <c r="Z122" s="10"/>
      <c r="AA122" s="10"/>
      <c r="AB122" s="10"/>
      <c r="AC122" s="8"/>
      <c r="AD122" s="8"/>
      <c r="AE122" s="8"/>
      <c r="AF122" s="8"/>
      <c r="AG122" s="761"/>
      <c r="AH122" s="8"/>
      <c r="AI122" s="10"/>
    </row>
    <row r="123" spans="2:35" ht="15.75">
      <c r="B123" s="692" t="s">
        <v>4310</v>
      </c>
      <c r="C123" s="692" t="s">
        <v>4309</v>
      </c>
      <c r="D123" s="9"/>
      <c r="E123" s="692" t="s">
        <v>503</v>
      </c>
      <c r="F123" s="692" t="s">
        <v>1992</v>
      </c>
      <c r="G123" s="692" t="s">
        <v>2793</v>
      </c>
      <c r="H123" s="692" t="s">
        <v>4395</v>
      </c>
      <c r="I123" s="692" t="s">
        <v>6</v>
      </c>
      <c r="J123" s="692" t="s">
        <v>41</v>
      </c>
      <c r="K123" s="692" t="s">
        <v>12</v>
      </c>
      <c r="L123" s="692" t="s">
        <v>3</v>
      </c>
      <c r="M123" s="692" t="str">
        <f t="shared" si="1"/>
        <v>1-09-01</v>
      </c>
      <c r="N123" s="692"/>
      <c r="O123" s="692"/>
      <c r="P123" s="692"/>
      <c r="Q123" s="762" t="s">
        <v>165</v>
      </c>
      <c r="R123" s="762" t="s">
        <v>1052</v>
      </c>
      <c r="S123" s="762" t="s">
        <v>5955</v>
      </c>
      <c r="T123" s="762">
        <v>22821538</v>
      </c>
      <c r="U123" s="762">
        <v>22821504</v>
      </c>
      <c r="V123" s="762" t="s">
        <v>2794</v>
      </c>
      <c r="W123" s="762" t="s">
        <v>4344</v>
      </c>
      <c r="X123" s="692"/>
      <c r="Y123" s="761"/>
      <c r="Z123" s="10"/>
      <c r="AA123" s="10"/>
      <c r="AB123" s="10"/>
      <c r="AC123" s="8"/>
      <c r="AD123" s="8"/>
      <c r="AE123" s="8"/>
      <c r="AF123" s="8"/>
      <c r="AG123" s="761" t="s">
        <v>4493</v>
      </c>
      <c r="AH123" s="8"/>
      <c r="AI123" s="10"/>
    </row>
    <row r="124" spans="2:35" ht="15.75">
      <c r="B124" s="692" t="s">
        <v>4299</v>
      </c>
      <c r="C124" s="692" t="s">
        <v>1768</v>
      </c>
      <c r="D124" s="9"/>
      <c r="E124" s="692" t="s">
        <v>903</v>
      </c>
      <c r="F124" s="692" t="s">
        <v>1992</v>
      </c>
      <c r="G124" s="692" t="s">
        <v>4925</v>
      </c>
      <c r="H124" s="692" t="s">
        <v>4395</v>
      </c>
      <c r="I124" s="692" t="s">
        <v>5</v>
      </c>
      <c r="J124" s="692" t="s">
        <v>41</v>
      </c>
      <c r="K124" s="692" t="s">
        <v>4</v>
      </c>
      <c r="L124" s="692" t="s">
        <v>5</v>
      </c>
      <c r="M124" s="692" t="str">
        <f t="shared" si="1"/>
        <v>1-02-03</v>
      </c>
      <c r="N124" s="692"/>
      <c r="O124" s="692"/>
      <c r="P124" s="692"/>
      <c r="Q124" s="762" t="s">
        <v>4325</v>
      </c>
      <c r="R124" s="762" t="s">
        <v>1052</v>
      </c>
      <c r="S124" s="762" t="s">
        <v>5915</v>
      </c>
      <c r="T124" s="762">
        <v>40366010</v>
      </c>
      <c r="U124" s="762"/>
      <c r="V124" s="762" t="s">
        <v>4533</v>
      </c>
      <c r="W124" s="762" t="s">
        <v>4345</v>
      </c>
      <c r="X124" s="692"/>
      <c r="Y124" s="761"/>
      <c r="Z124" s="10"/>
      <c r="AA124" s="10"/>
      <c r="AB124" s="10"/>
      <c r="AC124" s="8"/>
      <c r="AD124" s="8"/>
      <c r="AE124" s="8"/>
      <c r="AF124" s="8"/>
      <c r="AG124" s="761" t="s">
        <v>4493</v>
      </c>
      <c r="AH124" s="8"/>
      <c r="AI124" s="10"/>
    </row>
    <row r="125" spans="2:35" ht="15.75" hidden="1">
      <c r="B125" s="692" t="s">
        <v>4905</v>
      </c>
      <c r="C125" s="692" t="s">
        <v>86</v>
      </c>
      <c r="D125" s="9"/>
      <c r="E125" s="692" t="s">
        <v>504</v>
      </c>
      <c r="F125" s="692" t="s">
        <v>1992</v>
      </c>
      <c r="G125" s="692" t="s">
        <v>2795</v>
      </c>
      <c r="H125" s="692" t="s">
        <v>4394</v>
      </c>
      <c r="I125" s="692" t="s">
        <v>5</v>
      </c>
      <c r="J125" s="692" t="s">
        <v>41</v>
      </c>
      <c r="K125" s="692" t="s">
        <v>3</v>
      </c>
      <c r="L125" s="692" t="s">
        <v>8</v>
      </c>
      <c r="M125" s="692" t="str">
        <f t="shared" si="1"/>
        <v>1-01-06</v>
      </c>
      <c r="N125" s="692"/>
      <c r="O125" s="692"/>
      <c r="P125" s="692"/>
      <c r="Q125" s="762" t="s">
        <v>867</v>
      </c>
      <c r="R125" s="762" t="s">
        <v>1052</v>
      </c>
      <c r="S125" s="762" t="s">
        <v>3723</v>
      </c>
      <c r="T125" s="762">
        <v>22260183</v>
      </c>
      <c r="U125" s="762">
        <v>22261746</v>
      </c>
      <c r="V125" s="762" t="s">
        <v>4926</v>
      </c>
      <c r="W125" s="762" t="s">
        <v>2796</v>
      </c>
      <c r="X125" s="692"/>
      <c r="Y125" s="761"/>
      <c r="Z125" s="10"/>
      <c r="AA125" s="10"/>
      <c r="AB125" s="10"/>
      <c r="AC125" s="8"/>
      <c r="AD125" s="8"/>
      <c r="AE125" s="8"/>
      <c r="AF125" s="8"/>
      <c r="AG125" s="761"/>
      <c r="AH125" s="8"/>
      <c r="AI125" s="10"/>
    </row>
    <row r="126" spans="2:35" ht="15.75" hidden="1">
      <c r="B126" s="692" t="s">
        <v>2376</v>
      </c>
      <c r="C126" s="692" t="s">
        <v>895</v>
      </c>
      <c r="D126" s="9"/>
      <c r="E126" s="692" t="s">
        <v>505</v>
      </c>
      <c r="F126" s="692" t="s">
        <v>1992</v>
      </c>
      <c r="G126" s="692" t="s">
        <v>1889</v>
      </c>
      <c r="H126" s="692" t="s">
        <v>81</v>
      </c>
      <c r="I126" s="692" t="s">
        <v>9</v>
      </c>
      <c r="J126" s="692" t="s">
        <v>80</v>
      </c>
      <c r="K126" s="692" t="s">
        <v>4</v>
      </c>
      <c r="L126" s="692" t="s">
        <v>5</v>
      </c>
      <c r="M126" s="692" t="str">
        <f t="shared" si="1"/>
        <v>6-02-03</v>
      </c>
      <c r="N126" s="692"/>
      <c r="O126" s="692"/>
      <c r="P126" s="692"/>
      <c r="Q126" s="762" t="s">
        <v>827</v>
      </c>
      <c r="R126" s="762" t="s">
        <v>1052</v>
      </c>
      <c r="S126" s="762" t="s">
        <v>1890</v>
      </c>
      <c r="T126" s="762">
        <v>26367366</v>
      </c>
      <c r="U126" s="762">
        <v>26367366</v>
      </c>
      <c r="V126" s="762" t="s">
        <v>1891</v>
      </c>
      <c r="W126" s="762" t="s">
        <v>2797</v>
      </c>
      <c r="X126" s="692"/>
      <c r="Y126" s="761"/>
      <c r="Z126" s="10"/>
      <c r="AA126" s="10"/>
      <c r="AB126" s="10"/>
      <c r="AC126" s="8"/>
      <c r="AD126" s="8"/>
      <c r="AE126" s="8"/>
      <c r="AF126" s="8"/>
      <c r="AG126" s="761"/>
      <c r="AH126" s="8"/>
      <c r="AI126" s="10"/>
    </row>
    <row r="127" spans="2:35" ht="15.75" hidden="1">
      <c r="B127" s="692" t="s">
        <v>4692</v>
      </c>
      <c r="C127" s="692" t="s">
        <v>122</v>
      </c>
      <c r="D127" s="9"/>
      <c r="E127" s="692" t="s">
        <v>148</v>
      </c>
      <c r="F127" s="692" t="s">
        <v>1992</v>
      </c>
      <c r="G127" s="692" t="s">
        <v>3501</v>
      </c>
      <c r="H127" s="692" t="s">
        <v>66</v>
      </c>
      <c r="I127" s="692" t="s">
        <v>6</v>
      </c>
      <c r="J127" s="692" t="s">
        <v>43</v>
      </c>
      <c r="K127" s="692" t="s">
        <v>3</v>
      </c>
      <c r="L127" s="692" t="s">
        <v>6</v>
      </c>
      <c r="M127" s="692" t="str">
        <f t="shared" si="1"/>
        <v>2-01-04</v>
      </c>
      <c r="N127" s="692"/>
      <c r="O127" s="692"/>
      <c r="P127" s="692"/>
      <c r="Q127" s="762" t="s">
        <v>1937</v>
      </c>
      <c r="R127" s="762" t="s">
        <v>1052</v>
      </c>
      <c r="S127" s="762" t="s">
        <v>5479</v>
      </c>
      <c r="T127" s="762">
        <v>24387353</v>
      </c>
      <c r="U127" s="762">
        <v>24387353</v>
      </c>
      <c r="V127" s="762" t="s">
        <v>3724</v>
      </c>
      <c r="W127" s="762" t="s">
        <v>1946</v>
      </c>
      <c r="X127" s="692"/>
      <c r="Y127" s="761"/>
      <c r="Z127" s="10"/>
      <c r="AA127" s="10"/>
      <c r="AB127" s="10"/>
      <c r="AC127" s="8"/>
      <c r="AD127" s="8"/>
      <c r="AE127" s="8"/>
      <c r="AF127" s="8"/>
      <c r="AG127" s="761"/>
      <c r="AH127" s="8"/>
      <c r="AI127" s="10"/>
    </row>
    <row r="128" spans="2:35" ht="15.75" hidden="1">
      <c r="B128" s="692" t="s">
        <v>4497</v>
      </c>
      <c r="C128" s="692" t="s">
        <v>414</v>
      </c>
      <c r="D128" s="9"/>
      <c r="E128" s="692" t="s">
        <v>232</v>
      </c>
      <c r="F128" s="692" t="s">
        <v>1992</v>
      </c>
      <c r="G128" s="692" t="s">
        <v>4500</v>
      </c>
      <c r="H128" s="692" t="s">
        <v>4394</v>
      </c>
      <c r="I128" s="692" t="s">
        <v>6</v>
      </c>
      <c r="J128" s="692" t="s">
        <v>41</v>
      </c>
      <c r="K128" s="692" t="s">
        <v>70</v>
      </c>
      <c r="L128" s="692" t="s">
        <v>5</v>
      </c>
      <c r="M128" s="692" t="str">
        <f t="shared" si="1"/>
        <v>1-18-03</v>
      </c>
      <c r="N128" s="692"/>
      <c r="O128" s="692"/>
      <c r="P128" s="692"/>
      <c r="Q128" s="762" t="s">
        <v>1918</v>
      </c>
      <c r="R128" s="762" t="s">
        <v>1052</v>
      </c>
      <c r="S128" s="762" t="s">
        <v>1869</v>
      </c>
      <c r="T128" s="762">
        <v>22728608</v>
      </c>
      <c r="U128" s="762">
        <v>22728608</v>
      </c>
      <c r="V128" s="762" t="s">
        <v>4534</v>
      </c>
      <c r="W128" s="762" t="s">
        <v>2798</v>
      </c>
      <c r="X128" s="692"/>
      <c r="Y128" s="761"/>
      <c r="Z128" s="10"/>
      <c r="AA128" s="10"/>
      <c r="AB128" s="10"/>
      <c r="AC128" s="8"/>
      <c r="AD128" s="8"/>
      <c r="AE128" s="8"/>
      <c r="AF128" s="8"/>
      <c r="AG128" s="761"/>
      <c r="AH128" s="8"/>
      <c r="AI128" s="10"/>
    </row>
    <row r="129" spans="2:35" ht="15.75" hidden="1">
      <c r="B129" s="692" t="s">
        <v>1806</v>
      </c>
      <c r="C129" s="692" t="s">
        <v>243</v>
      </c>
      <c r="D129" s="9"/>
      <c r="E129" s="692" t="s">
        <v>506</v>
      </c>
      <c r="F129" s="692" t="s">
        <v>1992</v>
      </c>
      <c r="G129" s="692" t="s">
        <v>1861</v>
      </c>
      <c r="H129" s="692" t="s">
        <v>4396</v>
      </c>
      <c r="I129" s="692" t="s">
        <v>8</v>
      </c>
      <c r="J129" s="692" t="s">
        <v>41</v>
      </c>
      <c r="K129" s="692" t="s">
        <v>16</v>
      </c>
      <c r="L129" s="692" t="s">
        <v>4</v>
      </c>
      <c r="M129" s="692" t="str">
        <f t="shared" si="1"/>
        <v>1-11-02</v>
      </c>
      <c r="N129" s="692"/>
      <c r="O129" s="692"/>
      <c r="P129" s="692"/>
      <c r="Q129" s="762" t="s">
        <v>89</v>
      </c>
      <c r="R129" s="762" t="s">
        <v>1052</v>
      </c>
      <c r="S129" s="762" t="s">
        <v>1862</v>
      </c>
      <c r="T129" s="762">
        <v>22940429</v>
      </c>
      <c r="U129" s="762">
        <v>22920136</v>
      </c>
      <c r="V129" s="762" t="s">
        <v>2799</v>
      </c>
      <c r="W129" s="762" t="s">
        <v>2800</v>
      </c>
      <c r="X129" s="692"/>
      <c r="Y129" s="761"/>
      <c r="Z129" s="10"/>
      <c r="AA129" s="10"/>
      <c r="AB129" s="10"/>
      <c r="AC129" s="8"/>
      <c r="AD129" s="8"/>
      <c r="AE129" s="8"/>
      <c r="AF129" s="8"/>
      <c r="AG129" s="761"/>
      <c r="AH129" s="8"/>
      <c r="AI129" s="10"/>
    </row>
    <row r="130" spans="2:35" ht="15.75" hidden="1">
      <c r="B130" s="692" t="s">
        <v>5453</v>
      </c>
      <c r="C130" s="692" t="s">
        <v>2052</v>
      </c>
      <c r="D130" s="9"/>
      <c r="E130" s="692" t="s">
        <v>946</v>
      </c>
      <c r="F130" s="692" t="s">
        <v>1992</v>
      </c>
      <c r="G130" s="692" t="s">
        <v>5719</v>
      </c>
      <c r="H130" s="692" t="s">
        <v>450</v>
      </c>
      <c r="I130" s="692" t="s">
        <v>3</v>
      </c>
      <c r="J130" s="692" t="s">
        <v>80</v>
      </c>
      <c r="K130" s="692" t="s">
        <v>8</v>
      </c>
      <c r="L130" s="692" t="s">
        <v>3</v>
      </c>
      <c r="M130" s="692" t="str">
        <f t="shared" si="1"/>
        <v>6-06-01</v>
      </c>
      <c r="N130" s="692"/>
      <c r="O130" s="692"/>
      <c r="P130" s="692"/>
      <c r="Q130" s="762" t="s">
        <v>3502</v>
      </c>
      <c r="R130" s="762" t="s">
        <v>1052</v>
      </c>
      <c r="S130" s="762" t="s">
        <v>4535</v>
      </c>
      <c r="T130" s="762">
        <v>27772930</v>
      </c>
      <c r="U130" s="762">
        <v>27772929</v>
      </c>
      <c r="V130" s="762" t="s">
        <v>4927</v>
      </c>
      <c r="W130" s="762" t="s">
        <v>4928</v>
      </c>
      <c r="X130" s="692"/>
      <c r="Y130" s="761"/>
      <c r="Z130" s="10"/>
      <c r="AA130" s="10"/>
      <c r="AB130" s="10"/>
      <c r="AC130" s="8"/>
      <c r="AD130" s="8"/>
      <c r="AE130" s="8"/>
      <c r="AF130" s="8"/>
      <c r="AG130" s="761"/>
      <c r="AH130" s="8"/>
      <c r="AI130" s="10"/>
    </row>
    <row r="131" spans="2:35" ht="15.75" hidden="1">
      <c r="B131" s="692" t="s">
        <v>4041</v>
      </c>
      <c r="C131" s="692" t="s">
        <v>3970</v>
      </c>
      <c r="D131" s="9"/>
      <c r="E131" s="692" t="s">
        <v>952</v>
      </c>
      <c r="F131" s="692" t="s">
        <v>1992</v>
      </c>
      <c r="G131" s="692" t="s">
        <v>5480</v>
      </c>
      <c r="H131" s="692" t="s">
        <v>128</v>
      </c>
      <c r="I131" s="692" t="s">
        <v>3</v>
      </c>
      <c r="J131" s="692" t="s">
        <v>56</v>
      </c>
      <c r="K131" s="692" t="s">
        <v>3</v>
      </c>
      <c r="L131" s="692" t="s">
        <v>5</v>
      </c>
      <c r="M131" s="692" t="str">
        <f t="shared" ref="M131:M194" si="2">CONCATENATE(J131,"-",K131,"-",L131)</f>
        <v>3-01-03</v>
      </c>
      <c r="N131" s="692"/>
      <c r="O131" s="692"/>
      <c r="P131" s="692"/>
      <c r="Q131" s="762" t="s">
        <v>175</v>
      </c>
      <c r="R131" s="762" t="s">
        <v>1052</v>
      </c>
      <c r="S131" s="762" t="s">
        <v>4929</v>
      </c>
      <c r="T131" s="762">
        <v>25922762</v>
      </c>
      <c r="U131" s="762"/>
      <c r="V131" s="762" t="s">
        <v>2858</v>
      </c>
      <c r="W131" s="762" t="s">
        <v>2859</v>
      </c>
      <c r="X131" s="692"/>
      <c r="Y131" s="761"/>
      <c r="Z131" s="10"/>
      <c r="AA131" s="10"/>
      <c r="AB131" s="10"/>
      <c r="AC131" s="8"/>
      <c r="AD131" s="8"/>
      <c r="AE131" s="8"/>
      <c r="AF131" s="8"/>
      <c r="AG131" s="761"/>
      <c r="AH131" s="8"/>
      <c r="AI131" s="10"/>
    </row>
    <row r="132" spans="2:35" ht="15.75" hidden="1">
      <c r="B132" s="692" t="s">
        <v>5485</v>
      </c>
      <c r="C132" s="692" t="s">
        <v>1767</v>
      </c>
      <c r="D132" s="9"/>
      <c r="E132" s="692" t="s">
        <v>533</v>
      </c>
      <c r="F132" s="692" t="s">
        <v>1992</v>
      </c>
      <c r="G132" s="692" t="s">
        <v>2883</v>
      </c>
      <c r="H132" s="692" t="s">
        <v>111</v>
      </c>
      <c r="I132" s="692" t="s">
        <v>9</v>
      </c>
      <c r="J132" s="692" t="s">
        <v>110</v>
      </c>
      <c r="K132" s="692" t="s">
        <v>11</v>
      </c>
      <c r="L132" s="692" t="s">
        <v>4</v>
      </c>
      <c r="M132" s="692" t="str">
        <f t="shared" si="2"/>
        <v>4-08-02</v>
      </c>
      <c r="N132" s="692"/>
      <c r="O132" s="692"/>
      <c r="P132" s="692"/>
      <c r="Q132" s="762" t="s">
        <v>461</v>
      </c>
      <c r="R132" s="762" t="s">
        <v>1052</v>
      </c>
      <c r="S132" s="762" t="s">
        <v>5481</v>
      </c>
      <c r="T132" s="762">
        <v>22656527</v>
      </c>
      <c r="U132" s="762">
        <v>22659121</v>
      </c>
      <c r="V132" s="762" t="s">
        <v>2884</v>
      </c>
      <c r="W132" s="762" t="s">
        <v>2885</v>
      </c>
      <c r="X132" s="692"/>
      <c r="Y132" s="761"/>
      <c r="Z132" s="10"/>
      <c r="AA132" s="10"/>
      <c r="AB132" s="10"/>
      <c r="AC132" s="8"/>
      <c r="AD132" s="8"/>
      <c r="AE132" s="8"/>
      <c r="AF132" s="8"/>
      <c r="AG132" s="761"/>
      <c r="AH132" s="8"/>
      <c r="AI132" s="10"/>
    </row>
    <row r="133" spans="2:35" ht="15.75" hidden="1">
      <c r="B133" s="692" t="s">
        <v>1838</v>
      </c>
      <c r="C133" s="692" t="s">
        <v>296</v>
      </c>
      <c r="D133" s="9"/>
      <c r="E133" s="692" t="s">
        <v>534</v>
      </c>
      <c r="F133" s="692" t="s">
        <v>1992</v>
      </c>
      <c r="G133" s="692" t="s">
        <v>2886</v>
      </c>
      <c r="H133" s="692" t="s">
        <v>4396</v>
      </c>
      <c r="I133" s="692" t="s">
        <v>6</v>
      </c>
      <c r="J133" s="692" t="s">
        <v>41</v>
      </c>
      <c r="K133" s="692" t="s">
        <v>18</v>
      </c>
      <c r="L133" s="692" t="s">
        <v>5</v>
      </c>
      <c r="M133" s="692" t="str">
        <f t="shared" si="2"/>
        <v>1-13-03</v>
      </c>
      <c r="N133" s="692"/>
      <c r="O133" s="692"/>
      <c r="P133" s="692"/>
      <c r="Q133" s="762" t="s">
        <v>99</v>
      </c>
      <c r="R133" s="762" t="s">
        <v>1052</v>
      </c>
      <c r="S133" s="762" t="s">
        <v>1870</v>
      </c>
      <c r="T133" s="762">
        <v>22400440</v>
      </c>
      <c r="U133" s="762"/>
      <c r="V133" s="762" t="s">
        <v>1871</v>
      </c>
      <c r="W133" s="762" t="s">
        <v>2887</v>
      </c>
      <c r="X133" s="692"/>
      <c r="Y133" s="761"/>
      <c r="Z133" s="10"/>
      <c r="AA133" s="10"/>
      <c r="AB133" s="10"/>
      <c r="AC133" s="8"/>
      <c r="AD133" s="8"/>
      <c r="AE133" s="8"/>
      <c r="AF133" s="8"/>
      <c r="AG133" s="761"/>
      <c r="AH133" s="8"/>
      <c r="AI133" s="10"/>
    </row>
    <row r="134" spans="2:35" ht="15.75" hidden="1">
      <c r="B134" s="692" t="s">
        <v>5474</v>
      </c>
      <c r="C134" s="692" t="s">
        <v>410</v>
      </c>
      <c r="D134" s="9"/>
      <c r="E134" s="692" t="s">
        <v>536</v>
      </c>
      <c r="F134" s="692" t="s">
        <v>1992</v>
      </c>
      <c r="G134" s="692" t="s">
        <v>4298</v>
      </c>
      <c r="H134" s="692" t="s">
        <v>4395</v>
      </c>
      <c r="I134" s="692" t="s">
        <v>6</v>
      </c>
      <c r="J134" s="692" t="s">
        <v>41</v>
      </c>
      <c r="K134" s="692" t="s">
        <v>12</v>
      </c>
      <c r="L134" s="692" t="s">
        <v>3</v>
      </c>
      <c r="M134" s="692" t="str">
        <f t="shared" si="2"/>
        <v>1-09-01</v>
      </c>
      <c r="N134" s="692"/>
      <c r="O134" s="692"/>
      <c r="P134" s="692"/>
      <c r="Q134" s="762" t="s">
        <v>89</v>
      </c>
      <c r="R134" s="762" t="s">
        <v>1052</v>
      </c>
      <c r="S134" s="762" t="s">
        <v>5482</v>
      </c>
      <c r="T134" s="762">
        <v>22033881</v>
      </c>
      <c r="U134" s="762"/>
      <c r="V134" s="762" t="s">
        <v>4930</v>
      </c>
      <c r="W134" s="762" t="s">
        <v>2891</v>
      </c>
      <c r="X134" s="692"/>
      <c r="Y134" s="761"/>
      <c r="Z134" s="10"/>
      <c r="AA134" s="10"/>
      <c r="AB134" s="10"/>
      <c r="AC134" s="8"/>
      <c r="AD134" s="8"/>
      <c r="AE134" s="8"/>
      <c r="AF134" s="8"/>
      <c r="AG134" s="761"/>
      <c r="AH134" s="8"/>
      <c r="AI134" s="10"/>
    </row>
    <row r="135" spans="2:35" ht="15.75" hidden="1">
      <c r="B135" s="692" t="s">
        <v>1928</v>
      </c>
      <c r="C135" s="692" t="s">
        <v>1095</v>
      </c>
      <c r="D135" s="9"/>
      <c r="E135" s="692" t="s">
        <v>909</v>
      </c>
      <c r="F135" s="692" t="s">
        <v>1992</v>
      </c>
      <c r="G135" s="692" t="s">
        <v>2892</v>
      </c>
      <c r="H135" s="692" t="s">
        <v>4395</v>
      </c>
      <c r="I135" s="692" t="s">
        <v>6</v>
      </c>
      <c r="J135" s="692" t="s">
        <v>41</v>
      </c>
      <c r="K135" s="692" t="s">
        <v>12</v>
      </c>
      <c r="L135" s="692" t="s">
        <v>3</v>
      </c>
      <c r="M135" s="692" t="str">
        <f t="shared" si="2"/>
        <v>1-09-01</v>
      </c>
      <c r="N135" s="692"/>
      <c r="O135" s="692"/>
      <c r="P135" s="692"/>
      <c r="Q135" s="762" t="s">
        <v>165</v>
      </c>
      <c r="R135" s="762" t="s">
        <v>1052</v>
      </c>
      <c r="S135" s="762" t="s">
        <v>5904</v>
      </c>
      <c r="T135" s="762">
        <v>83856808</v>
      </c>
      <c r="U135" s="762">
        <v>22030505</v>
      </c>
      <c r="V135" s="762" t="s">
        <v>5905</v>
      </c>
      <c r="W135" s="762" t="s">
        <v>5906</v>
      </c>
      <c r="X135" s="692"/>
      <c r="Y135" s="761"/>
      <c r="Z135" s="10"/>
      <c r="AA135" s="10"/>
      <c r="AB135" s="10"/>
      <c r="AC135" s="8"/>
      <c r="AD135" s="8"/>
      <c r="AE135" s="8"/>
      <c r="AF135" s="8"/>
      <c r="AG135" s="761"/>
      <c r="AH135" s="8"/>
      <c r="AI135" s="10"/>
    </row>
    <row r="136" spans="2:35" ht="15.75" hidden="1">
      <c r="B136" s="692" t="s">
        <v>3383</v>
      </c>
      <c r="C136" s="692" t="s">
        <v>584</v>
      </c>
      <c r="D136" s="9"/>
      <c r="E136" s="692" t="s">
        <v>1084</v>
      </c>
      <c r="F136" s="692" t="s">
        <v>1992</v>
      </c>
      <c r="G136" s="692" t="s">
        <v>3504</v>
      </c>
      <c r="H136" s="692" t="s">
        <v>111</v>
      </c>
      <c r="I136" s="692" t="s">
        <v>6</v>
      </c>
      <c r="J136" s="692" t="s">
        <v>110</v>
      </c>
      <c r="K136" s="692" t="s">
        <v>7</v>
      </c>
      <c r="L136" s="692" t="s">
        <v>6</v>
      </c>
      <c r="M136" s="692" t="str">
        <f t="shared" si="2"/>
        <v>4-05-04</v>
      </c>
      <c r="N136" s="692"/>
      <c r="O136" s="692"/>
      <c r="P136" s="692"/>
      <c r="Q136" s="762" t="s">
        <v>2893</v>
      </c>
      <c r="R136" s="762" t="s">
        <v>1052</v>
      </c>
      <c r="S136" s="762" t="s">
        <v>4735</v>
      </c>
      <c r="T136" s="762">
        <v>22635470</v>
      </c>
      <c r="U136" s="762"/>
      <c r="V136" s="762" t="s">
        <v>1864</v>
      </c>
      <c r="W136" s="762" t="s">
        <v>4008</v>
      </c>
      <c r="X136" s="692"/>
      <c r="Y136" s="761"/>
      <c r="Z136" s="10"/>
      <c r="AA136" s="10"/>
      <c r="AB136" s="10"/>
      <c r="AC136" s="8"/>
      <c r="AD136" s="8"/>
      <c r="AE136" s="8"/>
      <c r="AF136" s="8"/>
      <c r="AG136" s="761"/>
      <c r="AH136" s="8"/>
      <c r="AI136" s="10"/>
    </row>
    <row r="137" spans="2:35" ht="15.75" hidden="1">
      <c r="B137" s="692" t="s">
        <v>4296</v>
      </c>
      <c r="C137" s="692" t="s">
        <v>482</v>
      </c>
      <c r="D137" s="9"/>
      <c r="E137" s="692" t="s">
        <v>1160</v>
      </c>
      <c r="F137" s="692" t="s">
        <v>1992</v>
      </c>
      <c r="G137" s="692" t="s">
        <v>1929</v>
      </c>
      <c r="H137" s="692" t="s">
        <v>4396</v>
      </c>
      <c r="I137" s="692" t="s">
        <v>3</v>
      </c>
      <c r="J137" s="692" t="s">
        <v>41</v>
      </c>
      <c r="K137" s="692" t="s">
        <v>11</v>
      </c>
      <c r="L137" s="692" t="s">
        <v>3</v>
      </c>
      <c r="M137" s="692" t="str">
        <f t="shared" si="2"/>
        <v>1-08-01</v>
      </c>
      <c r="N137" s="692"/>
      <c r="O137" s="692"/>
      <c r="P137" s="692"/>
      <c r="Q137" s="762" t="s">
        <v>132</v>
      </c>
      <c r="R137" s="762" t="s">
        <v>1052</v>
      </c>
      <c r="S137" s="762" t="s">
        <v>4346</v>
      </c>
      <c r="T137" s="762">
        <v>25245259</v>
      </c>
      <c r="U137" s="762"/>
      <c r="V137" s="762" t="s">
        <v>1939</v>
      </c>
      <c r="W137" s="762" t="s">
        <v>5925</v>
      </c>
      <c r="X137" s="692"/>
      <c r="Y137" s="761"/>
      <c r="Z137" s="10"/>
      <c r="AA137" s="10"/>
      <c r="AB137" s="10"/>
      <c r="AC137" s="8"/>
      <c r="AD137" s="8"/>
      <c r="AE137" s="8"/>
      <c r="AF137" s="8"/>
      <c r="AG137" s="761"/>
      <c r="AH137" s="8"/>
      <c r="AI137" s="10"/>
    </row>
    <row r="138" spans="2:35" ht="15.75" hidden="1">
      <c r="B138" s="692" t="s">
        <v>3369</v>
      </c>
      <c r="C138" s="692" t="s">
        <v>353</v>
      </c>
      <c r="D138" s="9"/>
      <c r="E138" s="692" t="s">
        <v>552</v>
      </c>
      <c r="F138" s="692" t="s">
        <v>1992</v>
      </c>
      <c r="G138" s="692" t="s">
        <v>2928</v>
      </c>
      <c r="H138" s="692" t="s">
        <v>66</v>
      </c>
      <c r="I138" s="692" t="s">
        <v>11</v>
      </c>
      <c r="J138" s="692" t="s">
        <v>43</v>
      </c>
      <c r="K138" s="692" t="s">
        <v>7</v>
      </c>
      <c r="L138" s="692" t="s">
        <v>4</v>
      </c>
      <c r="M138" s="692" t="str">
        <f t="shared" si="2"/>
        <v>2-05-02</v>
      </c>
      <c r="N138" s="692"/>
      <c r="O138" s="692"/>
      <c r="P138" s="692"/>
      <c r="Q138" s="762" t="s">
        <v>665</v>
      </c>
      <c r="R138" s="762" t="s">
        <v>1052</v>
      </c>
      <c r="S138" s="762" t="s">
        <v>5887</v>
      </c>
      <c r="T138" s="762">
        <v>24468281</v>
      </c>
      <c r="U138" s="762">
        <v>24463838</v>
      </c>
      <c r="V138" s="762" t="s">
        <v>2929</v>
      </c>
      <c r="W138" s="762" t="s">
        <v>2930</v>
      </c>
      <c r="X138" s="692"/>
      <c r="Y138" s="761"/>
      <c r="Z138" s="10"/>
      <c r="AA138" s="10"/>
      <c r="AB138" s="10"/>
      <c r="AC138" s="8"/>
      <c r="AD138" s="8"/>
      <c r="AE138" s="8"/>
      <c r="AF138" s="8"/>
      <c r="AG138" s="761"/>
      <c r="AH138" s="8"/>
      <c r="AI138" s="10"/>
    </row>
    <row r="139" spans="2:35" ht="15.75" hidden="1">
      <c r="B139" s="692" t="s">
        <v>1177</v>
      </c>
      <c r="C139" s="692" t="s">
        <v>352</v>
      </c>
      <c r="D139" s="9"/>
      <c r="E139" s="692" t="s">
        <v>553</v>
      </c>
      <c r="F139" s="692" t="s">
        <v>1992</v>
      </c>
      <c r="G139" s="692" t="s">
        <v>2931</v>
      </c>
      <c r="H139" s="692" t="s">
        <v>4396</v>
      </c>
      <c r="I139" s="692" t="s">
        <v>7</v>
      </c>
      <c r="J139" s="692" t="s">
        <v>41</v>
      </c>
      <c r="K139" s="692" t="s">
        <v>118</v>
      </c>
      <c r="L139" s="692" t="s">
        <v>3</v>
      </c>
      <c r="M139" s="692" t="str">
        <f t="shared" si="2"/>
        <v>1-14-01</v>
      </c>
      <c r="N139" s="692"/>
      <c r="O139" s="692"/>
      <c r="P139" s="692"/>
      <c r="Q139" s="762" t="s">
        <v>2932</v>
      </c>
      <c r="R139" s="762" t="s">
        <v>1052</v>
      </c>
      <c r="S139" s="762" t="s">
        <v>4347</v>
      </c>
      <c r="T139" s="762">
        <v>22974500</v>
      </c>
      <c r="U139" s="762">
        <v>22369857</v>
      </c>
      <c r="V139" s="762" t="s">
        <v>4348</v>
      </c>
      <c r="W139" s="762" t="s">
        <v>2933</v>
      </c>
      <c r="X139" s="692"/>
      <c r="Y139" s="761"/>
      <c r="Z139" s="10"/>
      <c r="AA139" s="10"/>
      <c r="AB139" s="10"/>
      <c r="AC139" s="8"/>
      <c r="AD139" s="8"/>
      <c r="AE139" s="8"/>
      <c r="AF139" s="8"/>
      <c r="AG139" s="761"/>
      <c r="AH139" s="8"/>
      <c r="AI139" s="10"/>
    </row>
    <row r="140" spans="2:35" ht="15.75" hidden="1">
      <c r="B140" s="692" t="s">
        <v>2886</v>
      </c>
      <c r="C140" s="692" t="s">
        <v>534</v>
      </c>
      <c r="D140" s="9"/>
      <c r="E140" s="692" t="s">
        <v>554</v>
      </c>
      <c r="F140" s="692" t="s">
        <v>1992</v>
      </c>
      <c r="G140" s="692" t="s">
        <v>5483</v>
      </c>
      <c r="H140" s="692" t="s">
        <v>128</v>
      </c>
      <c r="I140" s="692" t="s">
        <v>8</v>
      </c>
      <c r="J140" s="692" t="s">
        <v>56</v>
      </c>
      <c r="K140" s="692" t="s">
        <v>5</v>
      </c>
      <c r="L140" s="692" t="s">
        <v>7</v>
      </c>
      <c r="M140" s="692" t="str">
        <f t="shared" si="2"/>
        <v>3-03-05</v>
      </c>
      <c r="N140" s="692"/>
      <c r="O140" s="692"/>
      <c r="P140" s="692"/>
      <c r="Q140" s="762" t="s">
        <v>766</v>
      </c>
      <c r="R140" s="762" t="s">
        <v>1052</v>
      </c>
      <c r="S140" s="762" t="s">
        <v>3725</v>
      </c>
      <c r="T140" s="762">
        <v>22795489</v>
      </c>
      <c r="U140" s="762">
        <v>22795489</v>
      </c>
      <c r="V140" s="762" t="s">
        <v>3726</v>
      </c>
      <c r="W140" s="762" t="s">
        <v>2934</v>
      </c>
      <c r="X140" s="692"/>
      <c r="Y140" s="761"/>
      <c r="Z140" s="10"/>
      <c r="AA140" s="10"/>
      <c r="AB140" s="10"/>
      <c r="AC140" s="8"/>
      <c r="AD140" s="8"/>
      <c r="AE140" s="8"/>
      <c r="AF140" s="8"/>
      <c r="AG140" s="761"/>
      <c r="AH140" s="8"/>
      <c r="AI140" s="10"/>
    </row>
    <row r="141" spans="2:35" ht="15.75" hidden="1">
      <c r="B141" s="692" t="s">
        <v>1919</v>
      </c>
      <c r="C141" s="692" t="s">
        <v>682</v>
      </c>
      <c r="D141" s="9"/>
      <c r="E141" s="692" t="s">
        <v>555</v>
      </c>
      <c r="F141" s="692" t="s">
        <v>1992</v>
      </c>
      <c r="G141" s="692" t="s">
        <v>2935</v>
      </c>
      <c r="H141" s="692" t="s">
        <v>5729</v>
      </c>
      <c r="I141" s="692" t="s">
        <v>4</v>
      </c>
      <c r="J141" s="692" t="s">
        <v>68</v>
      </c>
      <c r="K141" s="692" t="s">
        <v>3</v>
      </c>
      <c r="L141" s="692" t="s">
        <v>3</v>
      </c>
      <c r="M141" s="692" t="str">
        <f t="shared" si="2"/>
        <v>7-01-01</v>
      </c>
      <c r="N141" s="692"/>
      <c r="O141" s="692"/>
      <c r="P141" s="692"/>
      <c r="Q141" s="762" t="s">
        <v>839</v>
      </c>
      <c r="R141" s="762" t="s">
        <v>4804</v>
      </c>
      <c r="S141" s="762" t="s">
        <v>4736</v>
      </c>
      <c r="T141" s="762">
        <v>27582510</v>
      </c>
      <c r="U141" s="762">
        <v>83251042</v>
      </c>
      <c r="V141" s="762" t="s">
        <v>4737</v>
      </c>
      <c r="W141" s="762" t="s">
        <v>4349</v>
      </c>
      <c r="X141" s="692"/>
      <c r="Y141" s="761"/>
      <c r="Z141" s="10"/>
      <c r="AA141" s="10"/>
      <c r="AB141" s="10"/>
      <c r="AC141" s="8"/>
      <c r="AD141" s="8"/>
      <c r="AE141" s="8"/>
      <c r="AF141" s="8"/>
      <c r="AG141" s="761"/>
      <c r="AH141" s="8"/>
      <c r="AI141" s="10"/>
    </row>
    <row r="142" spans="2:35" ht="15.75" hidden="1">
      <c r="B142" s="692" t="s">
        <v>2335</v>
      </c>
      <c r="C142" s="692" t="s">
        <v>945</v>
      </c>
      <c r="D142" s="9"/>
      <c r="E142" s="692" t="s">
        <v>556</v>
      </c>
      <c r="F142" s="692" t="s">
        <v>1992</v>
      </c>
      <c r="G142" s="692" t="s">
        <v>1896</v>
      </c>
      <c r="H142" s="692" t="s">
        <v>4395</v>
      </c>
      <c r="I142" s="692" t="s">
        <v>5</v>
      </c>
      <c r="J142" s="692" t="s">
        <v>41</v>
      </c>
      <c r="K142" s="692" t="s">
        <v>4</v>
      </c>
      <c r="L142" s="692" t="s">
        <v>5</v>
      </c>
      <c r="M142" s="692" t="str">
        <f t="shared" si="2"/>
        <v>1-02-03</v>
      </c>
      <c r="N142" s="692"/>
      <c r="O142" s="692"/>
      <c r="P142" s="692"/>
      <c r="Q142" s="762" t="s">
        <v>4325</v>
      </c>
      <c r="R142" s="762" t="s">
        <v>1052</v>
      </c>
      <c r="S142" s="762" t="s">
        <v>2936</v>
      </c>
      <c r="T142" s="762">
        <v>22151154</v>
      </c>
      <c r="U142" s="762">
        <v>22151339</v>
      </c>
      <c r="V142" s="762" t="s">
        <v>1897</v>
      </c>
      <c r="W142" s="762" t="s">
        <v>4350</v>
      </c>
      <c r="X142" s="692"/>
      <c r="Y142" s="761"/>
      <c r="Z142" s="10"/>
      <c r="AA142" s="10"/>
      <c r="AB142" s="10"/>
      <c r="AC142" s="8"/>
      <c r="AD142" s="8"/>
      <c r="AE142" s="8"/>
      <c r="AF142" s="8"/>
      <c r="AG142" s="761"/>
      <c r="AH142" s="8"/>
      <c r="AI142" s="10"/>
    </row>
    <row r="143" spans="2:35" ht="15.75" hidden="1">
      <c r="B143" s="692" t="s">
        <v>1921</v>
      </c>
      <c r="C143" s="692" t="s">
        <v>48</v>
      </c>
      <c r="D143" s="9"/>
      <c r="E143" s="692" t="s">
        <v>560</v>
      </c>
      <c r="F143" s="692" t="s">
        <v>1992</v>
      </c>
      <c r="G143" s="692" t="s">
        <v>3506</v>
      </c>
      <c r="H143" s="692" t="s">
        <v>117</v>
      </c>
      <c r="I143" s="692" t="s">
        <v>6</v>
      </c>
      <c r="J143" s="692" t="s">
        <v>43</v>
      </c>
      <c r="K143" s="692" t="s">
        <v>13</v>
      </c>
      <c r="L143" s="692" t="s">
        <v>6</v>
      </c>
      <c r="M143" s="692" t="str">
        <f t="shared" si="2"/>
        <v>2-10-04</v>
      </c>
      <c r="N143" s="692"/>
      <c r="O143" s="692"/>
      <c r="P143" s="692"/>
      <c r="Q143" s="762" t="s">
        <v>716</v>
      </c>
      <c r="R143" s="762" t="s">
        <v>1052</v>
      </c>
      <c r="S143" s="762" t="s">
        <v>2957</v>
      </c>
      <c r="T143" s="762">
        <v>24744070</v>
      </c>
      <c r="U143" s="762"/>
      <c r="V143" s="762" t="s">
        <v>1853</v>
      </c>
      <c r="W143" s="762" t="s">
        <v>1854</v>
      </c>
      <c r="X143" s="692"/>
      <c r="Y143" s="761"/>
      <c r="Z143" s="10"/>
      <c r="AA143" s="10"/>
      <c r="AB143" s="10"/>
      <c r="AC143" s="8"/>
      <c r="AD143" s="8"/>
      <c r="AE143" s="8"/>
      <c r="AF143" s="8"/>
      <c r="AG143" s="761"/>
      <c r="AH143" s="8"/>
      <c r="AI143" s="10"/>
    </row>
    <row r="144" spans="2:35" ht="15.75" hidden="1">
      <c r="B144" s="692" t="s">
        <v>3391</v>
      </c>
      <c r="C144" s="692" t="s">
        <v>685</v>
      </c>
      <c r="D144" s="9"/>
      <c r="E144" s="692" t="s">
        <v>561</v>
      </c>
      <c r="F144" s="692" t="s">
        <v>1992</v>
      </c>
      <c r="G144" s="692" t="s">
        <v>1908</v>
      </c>
      <c r="H144" s="692" t="s">
        <v>81</v>
      </c>
      <c r="I144" s="692" t="s">
        <v>8</v>
      </c>
      <c r="J144" s="692" t="s">
        <v>80</v>
      </c>
      <c r="K144" s="692" t="s">
        <v>3</v>
      </c>
      <c r="L144" s="692" t="s">
        <v>12</v>
      </c>
      <c r="M144" s="692" t="str">
        <f t="shared" si="2"/>
        <v>6-01-09</v>
      </c>
      <c r="N144" s="692"/>
      <c r="O144" s="692"/>
      <c r="P144" s="692"/>
      <c r="Q144" s="762" t="s">
        <v>843</v>
      </c>
      <c r="R144" s="762" t="s">
        <v>1052</v>
      </c>
      <c r="S144" s="762" t="s">
        <v>5971</v>
      </c>
      <c r="T144" s="762">
        <v>26455530</v>
      </c>
      <c r="U144" s="762">
        <v>26455302</v>
      </c>
      <c r="V144" s="762" t="s">
        <v>5972</v>
      </c>
      <c r="W144" s="762" t="s">
        <v>4009</v>
      </c>
      <c r="X144" s="692"/>
      <c r="Y144" s="761"/>
      <c r="Z144" s="10"/>
      <c r="AA144" s="10"/>
      <c r="AB144" s="10"/>
      <c r="AC144" s="8"/>
      <c r="AD144" s="8"/>
      <c r="AE144" s="8"/>
      <c r="AF144" s="8"/>
      <c r="AG144" s="761"/>
      <c r="AH144" s="8"/>
      <c r="AI144" s="10"/>
    </row>
    <row r="145" spans="2:35" ht="15.75" hidden="1">
      <c r="B145" s="692" t="s">
        <v>3533</v>
      </c>
      <c r="C145" s="692" t="s">
        <v>3532</v>
      </c>
      <c r="D145" s="9"/>
      <c r="E145" s="692" t="s">
        <v>570</v>
      </c>
      <c r="F145" s="692" t="s">
        <v>1992</v>
      </c>
      <c r="G145" s="692" t="s">
        <v>1883</v>
      </c>
      <c r="H145" s="692" t="s">
        <v>4396</v>
      </c>
      <c r="I145" s="692" t="s">
        <v>8</v>
      </c>
      <c r="J145" s="692" t="s">
        <v>41</v>
      </c>
      <c r="K145" s="692" t="s">
        <v>16</v>
      </c>
      <c r="L145" s="692" t="s">
        <v>6</v>
      </c>
      <c r="M145" s="692" t="str">
        <f t="shared" si="2"/>
        <v>1-11-04</v>
      </c>
      <c r="N145" s="692"/>
      <c r="O145" s="692"/>
      <c r="P145" s="692"/>
      <c r="Q145" s="762" t="s">
        <v>132</v>
      </c>
      <c r="R145" s="762" t="s">
        <v>1052</v>
      </c>
      <c r="S145" s="762" t="s">
        <v>4931</v>
      </c>
      <c r="T145" s="762">
        <v>22296800</v>
      </c>
      <c r="U145" s="762"/>
      <c r="V145" s="762" t="s">
        <v>5944</v>
      </c>
      <c r="W145" s="762" t="s">
        <v>4256</v>
      </c>
      <c r="X145" s="692"/>
      <c r="Y145" s="761"/>
      <c r="Z145" s="10"/>
      <c r="AA145" s="10"/>
      <c r="AB145" s="10"/>
      <c r="AC145" s="8"/>
      <c r="AD145" s="8"/>
      <c r="AE145" s="8"/>
      <c r="AF145" s="8"/>
      <c r="AG145" s="761"/>
      <c r="AH145" s="8"/>
      <c r="AI145" s="10"/>
    </row>
    <row r="146" spans="2:35" ht="15.75" hidden="1">
      <c r="B146" s="692" t="s">
        <v>60</v>
      </c>
      <c r="C146" s="692" t="s">
        <v>61</v>
      </c>
      <c r="D146" s="9"/>
      <c r="E146" s="692" t="s">
        <v>424</v>
      </c>
      <c r="F146" s="692" t="s">
        <v>1992</v>
      </c>
      <c r="G146" s="692" t="s">
        <v>5484</v>
      </c>
      <c r="H146" s="692" t="s">
        <v>298</v>
      </c>
      <c r="I146" s="692" t="s">
        <v>4</v>
      </c>
      <c r="J146" s="692" t="s">
        <v>126</v>
      </c>
      <c r="K146" s="692" t="s">
        <v>3</v>
      </c>
      <c r="L146" s="692" t="s">
        <v>3</v>
      </c>
      <c r="M146" s="692" t="str">
        <f t="shared" si="2"/>
        <v>5-01-01</v>
      </c>
      <c r="N146" s="692"/>
      <c r="O146" s="692"/>
      <c r="P146" s="692"/>
      <c r="Q146" s="762" t="s">
        <v>49</v>
      </c>
      <c r="R146" s="762" t="s">
        <v>1052</v>
      </c>
      <c r="S146" s="762" t="s">
        <v>1898</v>
      </c>
      <c r="T146" s="762">
        <v>26663000</v>
      </c>
      <c r="U146" s="762">
        <v>26664146</v>
      </c>
      <c r="V146" s="762" t="s">
        <v>5957</v>
      </c>
      <c r="W146" s="762" t="s">
        <v>3027</v>
      </c>
      <c r="X146" s="692"/>
      <c r="Y146" s="761"/>
      <c r="Z146" s="10"/>
      <c r="AA146" s="10"/>
      <c r="AB146" s="10"/>
      <c r="AC146" s="8"/>
      <c r="AD146" s="8"/>
      <c r="AE146" s="8"/>
      <c r="AF146" s="8"/>
      <c r="AG146" s="761"/>
      <c r="AH146" s="8"/>
      <c r="AI146" s="10"/>
    </row>
    <row r="147" spans="2:35" ht="15.75">
      <c r="B147" s="692" t="s">
        <v>3765</v>
      </c>
      <c r="C147" s="692" t="s">
        <v>3696</v>
      </c>
      <c r="D147" s="9"/>
      <c r="E147" s="692" t="s">
        <v>448</v>
      </c>
      <c r="F147" s="692" t="s">
        <v>1992</v>
      </c>
      <c r="G147" s="692" t="s">
        <v>1909</v>
      </c>
      <c r="H147" s="692" t="s">
        <v>128</v>
      </c>
      <c r="I147" s="692" t="s">
        <v>8</v>
      </c>
      <c r="J147" s="692" t="s">
        <v>56</v>
      </c>
      <c r="K147" s="692" t="s">
        <v>5</v>
      </c>
      <c r="L147" s="692" t="s">
        <v>9</v>
      </c>
      <c r="M147" s="692" t="str">
        <f t="shared" si="2"/>
        <v>3-03-07</v>
      </c>
      <c r="N147" s="692"/>
      <c r="O147" s="692"/>
      <c r="P147" s="692"/>
      <c r="Q147" s="762" t="s">
        <v>1899</v>
      </c>
      <c r="R147" s="762" t="s">
        <v>1052</v>
      </c>
      <c r="S147" s="762" t="s">
        <v>4738</v>
      </c>
      <c r="T147" s="762">
        <v>22730024</v>
      </c>
      <c r="U147" s="762">
        <v>22730280</v>
      </c>
      <c r="V147" s="762" t="s">
        <v>4351</v>
      </c>
      <c r="W147" s="762" t="s">
        <v>3031</v>
      </c>
      <c r="X147" s="692"/>
      <c r="Y147" s="761"/>
      <c r="Z147" s="10"/>
      <c r="AA147" s="10"/>
      <c r="AB147" s="10"/>
      <c r="AC147" s="8"/>
      <c r="AD147" s="8"/>
      <c r="AE147" s="8"/>
      <c r="AF147" s="8"/>
      <c r="AG147" s="761" t="s">
        <v>4493</v>
      </c>
      <c r="AH147" s="8"/>
      <c r="AI147" s="10"/>
    </row>
    <row r="148" spans="2:35" ht="15.75" hidden="1">
      <c r="B148" s="692" t="s">
        <v>223</v>
      </c>
      <c r="C148" s="692" t="s">
        <v>464</v>
      </c>
      <c r="D148" s="9"/>
      <c r="E148" s="692" t="s">
        <v>466</v>
      </c>
      <c r="F148" s="692" t="s">
        <v>1992</v>
      </c>
      <c r="G148" s="692" t="s">
        <v>1892</v>
      </c>
      <c r="H148" s="692" t="s">
        <v>81</v>
      </c>
      <c r="I148" s="692" t="s">
        <v>3</v>
      </c>
      <c r="J148" s="692" t="s">
        <v>80</v>
      </c>
      <c r="K148" s="692" t="s">
        <v>3</v>
      </c>
      <c r="L148" s="692" t="s">
        <v>3</v>
      </c>
      <c r="M148" s="692" t="str">
        <f t="shared" si="2"/>
        <v>6-01-01</v>
      </c>
      <c r="N148" s="692"/>
      <c r="O148" s="692"/>
      <c r="P148" s="692"/>
      <c r="Q148" s="762" t="s">
        <v>455</v>
      </c>
      <c r="R148" s="762" t="s">
        <v>1052</v>
      </c>
      <c r="S148" s="762" t="s">
        <v>1893</v>
      </c>
      <c r="T148" s="762">
        <v>26634885</v>
      </c>
      <c r="U148" s="762">
        <v>26631871</v>
      </c>
      <c r="V148" s="762" t="s">
        <v>4739</v>
      </c>
      <c r="W148" s="762" t="s">
        <v>3037</v>
      </c>
      <c r="X148" s="692"/>
      <c r="Y148" s="761"/>
      <c r="Z148" s="10"/>
      <c r="AA148" s="10"/>
      <c r="AB148" s="10"/>
      <c r="AC148" s="8"/>
      <c r="AD148" s="8"/>
      <c r="AE148" s="8"/>
      <c r="AF148" s="8"/>
      <c r="AG148" s="761"/>
      <c r="AH148" s="8"/>
      <c r="AI148" s="10"/>
    </row>
    <row r="149" spans="2:35" ht="15.75" hidden="1">
      <c r="B149" s="692" t="s">
        <v>3481</v>
      </c>
      <c r="C149" s="692" t="s">
        <v>898</v>
      </c>
      <c r="D149" s="9"/>
      <c r="E149" s="692" t="s">
        <v>585</v>
      </c>
      <c r="F149" s="692" t="s">
        <v>1992</v>
      </c>
      <c r="G149" s="692" t="s">
        <v>3447</v>
      </c>
      <c r="H149" s="692" t="s">
        <v>4394</v>
      </c>
      <c r="I149" s="692" t="s">
        <v>3</v>
      </c>
      <c r="J149" s="692" t="s">
        <v>41</v>
      </c>
      <c r="K149" s="692" t="s">
        <v>3</v>
      </c>
      <c r="L149" s="692" t="s">
        <v>16</v>
      </c>
      <c r="M149" s="692" t="str">
        <f t="shared" si="2"/>
        <v>1-01-11</v>
      </c>
      <c r="N149" s="692"/>
      <c r="O149" s="692"/>
      <c r="P149" s="692"/>
      <c r="Q149" s="762" t="s">
        <v>484</v>
      </c>
      <c r="R149" s="762" t="s">
        <v>1052</v>
      </c>
      <c r="S149" s="762" t="s">
        <v>4932</v>
      </c>
      <c r="T149" s="762">
        <v>22262267</v>
      </c>
      <c r="U149" s="762"/>
      <c r="V149" s="762" t="s">
        <v>5968</v>
      </c>
      <c r="W149" s="762" t="s">
        <v>5969</v>
      </c>
      <c r="X149" s="692"/>
      <c r="Y149" s="761"/>
      <c r="Z149" s="10"/>
      <c r="AA149" s="10"/>
      <c r="AB149" s="10"/>
      <c r="AC149" s="8"/>
      <c r="AD149" s="8"/>
      <c r="AE149" s="8"/>
      <c r="AF149" s="8"/>
      <c r="AG149" s="761"/>
      <c r="AH149" s="8"/>
      <c r="AI149" s="10"/>
    </row>
    <row r="150" spans="2:35" ht="15.75" hidden="1">
      <c r="B150" s="692" t="s">
        <v>4300</v>
      </c>
      <c r="C150" s="692" t="s">
        <v>674</v>
      </c>
      <c r="D150" s="9"/>
      <c r="E150" s="692" t="s">
        <v>583</v>
      </c>
      <c r="F150" s="692" t="s">
        <v>1992</v>
      </c>
      <c r="G150" s="692" t="s">
        <v>626</v>
      </c>
      <c r="H150" s="692" t="s">
        <v>4394</v>
      </c>
      <c r="I150" s="692" t="s">
        <v>8</v>
      </c>
      <c r="J150" s="692" t="s">
        <v>41</v>
      </c>
      <c r="K150" s="692" t="s">
        <v>13</v>
      </c>
      <c r="L150" s="692" t="s">
        <v>3</v>
      </c>
      <c r="M150" s="692" t="str">
        <f t="shared" si="2"/>
        <v>1-10-01</v>
      </c>
      <c r="N150" s="692"/>
      <c r="O150" s="692"/>
      <c r="P150" s="692"/>
      <c r="Q150" s="762" t="s">
        <v>76</v>
      </c>
      <c r="R150" s="762" t="s">
        <v>1052</v>
      </c>
      <c r="S150" s="762" t="s">
        <v>1877</v>
      </c>
      <c r="T150" s="762">
        <v>22545206</v>
      </c>
      <c r="U150" s="762">
        <v>22545206</v>
      </c>
      <c r="V150" s="762" t="s">
        <v>1878</v>
      </c>
      <c r="W150" s="762" t="s">
        <v>3052</v>
      </c>
      <c r="X150" s="692"/>
      <c r="Y150" s="761"/>
      <c r="Z150" s="10"/>
      <c r="AA150" s="10"/>
      <c r="AB150" s="10"/>
      <c r="AC150" s="8"/>
      <c r="AD150" s="8"/>
      <c r="AE150" s="8"/>
      <c r="AF150" s="8"/>
      <c r="AG150" s="761"/>
      <c r="AH150" s="8"/>
      <c r="AI150" s="10"/>
    </row>
    <row r="151" spans="2:35" ht="15.75" hidden="1">
      <c r="B151" s="692" t="s">
        <v>1909</v>
      </c>
      <c r="C151" s="692" t="s">
        <v>448</v>
      </c>
      <c r="D151" s="9"/>
      <c r="E151" s="692" t="s">
        <v>367</v>
      </c>
      <c r="F151" s="692" t="s">
        <v>1992</v>
      </c>
      <c r="G151" s="692" t="s">
        <v>3092</v>
      </c>
      <c r="H151" s="692" t="s">
        <v>111</v>
      </c>
      <c r="I151" s="692" t="s">
        <v>7</v>
      </c>
      <c r="J151" s="692" t="s">
        <v>110</v>
      </c>
      <c r="K151" s="692" t="s">
        <v>5</v>
      </c>
      <c r="L151" s="692" t="s">
        <v>3</v>
      </c>
      <c r="M151" s="692" t="str">
        <f t="shared" si="2"/>
        <v>4-03-01</v>
      </c>
      <c r="N151" s="692"/>
      <c r="O151" s="692"/>
      <c r="P151" s="692"/>
      <c r="Q151" s="762" t="s">
        <v>3093</v>
      </c>
      <c r="R151" s="762" t="s">
        <v>1052</v>
      </c>
      <c r="S151" s="762" t="s">
        <v>3729</v>
      </c>
      <c r="T151" s="762">
        <v>22440776</v>
      </c>
      <c r="U151" s="762">
        <v>22443684</v>
      </c>
      <c r="V151" s="762" t="s">
        <v>3094</v>
      </c>
      <c r="W151" s="762" t="s">
        <v>3095</v>
      </c>
      <c r="X151" s="692"/>
      <c r="Y151" s="761"/>
      <c r="Z151" s="10"/>
      <c r="AA151" s="10"/>
      <c r="AB151" s="10"/>
      <c r="AC151" s="8"/>
      <c r="AD151" s="8"/>
      <c r="AE151" s="8"/>
      <c r="AF151" s="8"/>
      <c r="AG151" s="761"/>
      <c r="AH151" s="8"/>
      <c r="AI151" s="10"/>
    </row>
    <row r="152" spans="2:35" ht="15.75" hidden="1">
      <c r="B152" s="692" t="s">
        <v>1929</v>
      </c>
      <c r="C152" s="692" t="s">
        <v>1160</v>
      </c>
      <c r="D152" s="9"/>
      <c r="E152" s="692" t="s">
        <v>1068</v>
      </c>
      <c r="F152" s="692" t="s">
        <v>1992</v>
      </c>
      <c r="G152" s="692" t="s">
        <v>1901</v>
      </c>
      <c r="H152" s="692" t="s">
        <v>4395</v>
      </c>
      <c r="I152" s="692" t="s">
        <v>6</v>
      </c>
      <c r="J152" s="692" t="s">
        <v>41</v>
      </c>
      <c r="K152" s="692" t="s">
        <v>12</v>
      </c>
      <c r="L152" s="692" t="s">
        <v>3</v>
      </c>
      <c r="M152" s="692" t="str">
        <f t="shared" si="2"/>
        <v>1-09-01</v>
      </c>
      <c r="N152" s="692"/>
      <c r="O152" s="692"/>
      <c r="P152" s="692"/>
      <c r="Q152" s="762" t="s">
        <v>3112</v>
      </c>
      <c r="R152" s="762" t="s">
        <v>1052</v>
      </c>
      <c r="S152" s="762" t="s">
        <v>4352</v>
      </c>
      <c r="T152" s="762">
        <v>22038498</v>
      </c>
      <c r="U152" s="762">
        <v>22827593</v>
      </c>
      <c r="V152" s="762" t="s">
        <v>4537</v>
      </c>
      <c r="W152" s="762" t="s">
        <v>4740</v>
      </c>
      <c r="X152" s="692"/>
      <c r="Y152" s="761"/>
      <c r="Z152" s="10"/>
      <c r="AA152" s="10"/>
      <c r="AB152" s="10"/>
      <c r="AC152" s="8"/>
      <c r="AD152" s="8"/>
      <c r="AE152" s="8"/>
      <c r="AF152" s="8"/>
      <c r="AG152" s="761"/>
      <c r="AH152" s="8"/>
      <c r="AI152" s="10"/>
    </row>
    <row r="153" spans="2:35" ht="15.75" hidden="1">
      <c r="B153" s="692" t="s">
        <v>2500</v>
      </c>
      <c r="C153" s="692" t="s">
        <v>1137</v>
      </c>
      <c r="D153" s="9"/>
      <c r="E153" s="692" t="s">
        <v>1767</v>
      </c>
      <c r="F153" s="692" t="s">
        <v>1992</v>
      </c>
      <c r="G153" s="692" t="s">
        <v>5485</v>
      </c>
      <c r="H153" s="692" t="s">
        <v>5729</v>
      </c>
      <c r="I153" s="692" t="s">
        <v>3</v>
      </c>
      <c r="J153" s="692" t="s">
        <v>68</v>
      </c>
      <c r="K153" s="692" t="s">
        <v>3</v>
      </c>
      <c r="L153" s="692" t="s">
        <v>3</v>
      </c>
      <c r="M153" s="692" t="str">
        <f t="shared" si="2"/>
        <v>7-01-01</v>
      </c>
      <c r="N153" s="692"/>
      <c r="O153" s="692"/>
      <c r="P153" s="692"/>
      <c r="Q153" s="762" t="s">
        <v>5707</v>
      </c>
      <c r="R153" s="762" t="s">
        <v>1052</v>
      </c>
      <c r="S153" s="762" t="s">
        <v>4933</v>
      </c>
      <c r="T153" s="762">
        <v>27980003</v>
      </c>
      <c r="U153" s="762">
        <v>87842233</v>
      </c>
      <c r="V153" s="762" t="s">
        <v>4010</v>
      </c>
      <c r="W153" s="762" t="s">
        <v>5931</v>
      </c>
      <c r="X153" s="692"/>
      <c r="Y153" s="761"/>
      <c r="Z153" s="10"/>
      <c r="AA153" s="10"/>
      <c r="AB153" s="10"/>
      <c r="AC153" s="8"/>
      <c r="AD153" s="8"/>
      <c r="AE153" s="8"/>
      <c r="AF153" s="8"/>
      <c r="AG153" s="761"/>
      <c r="AH153" s="8"/>
      <c r="AI153" s="10"/>
    </row>
    <row r="154" spans="2:35" ht="15.75" hidden="1">
      <c r="B154" s="692" t="s">
        <v>3981</v>
      </c>
      <c r="C154" s="692" t="s">
        <v>3969</v>
      </c>
      <c r="D154" s="9"/>
      <c r="E154" s="692" t="s">
        <v>245</v>
      </c>
      <c r="F154" s="692" t="s">
        <v>1992</v>
      </c>
      <c r="G154" s="692" t="s">
        <v>4699</v>
      </c>
      <c r="H154" s="692" t="s">
        <v>767</v>
      </c>
      <c r="I154" s="692" t="s">
        <v>4</v>
      </c>
      <c r="J154" s="692" t="s">
        <v>56</v>
      </c>
      <c r="K154" s="692" t="s">
        <v>7</v>
      </c>
      <c r="L154" s="692" t="s">
        <v>3</v>
      </c>
      <c r="M154" s="692" t="str">
        <f t="shared" si="2"/>
        <v>3-05-01</v>
      </c>
      <c r="N154" s="692"/>
      <c r="O154" s="692"/>
      <c r="P154" s="692"/>
      <c r="Q154" s="762" t="s">
        <v>767</v>
      </c>
      <c r="R154" s="762" t="s">
        <v>1052</v>
      </c>
      <c r="S154" s="762" t="s">
        <v>1780</v>
      </c>
      <c r="T154" s="762">
        <v>25567617</v>
      </c>
      <c r="U154" s="762">
        <v>25566819</v>
      </c>
      <c r="V154" s="762" t="s">
        <v>4353</v>
      </c>
      <c r="W154" s="762" t="s">
        <v>3141</v>
      </c>
      <c r="X154" s="692"/>
      <c r="Y154" s="761"/>
      <c r="Z154" s="10"/>
      <c r="AA154" s="10"/>
      <c r="AB154" s="10"/>
      <c r="AC154" s="8"/>
      <c r="AD154" s="8"/>
      <c r="AE154" s="8"/>
      <c r="AF154" s="8"/>
      <c r="AG154" s="761"/>
      <c r="AH154" s="8"/>
      <c r="AI154" s="10"/>
    </row>
    <row r="155" spans="2:35" ht="15.75" hidden="1">
      <c r="B155" s="692" t="s">
        <v>4312</v>
      </c>
      <c r="C155" s="692" t="s">
        <v>4311</v>
      </c>
      <c r="D155" s="9"/>
      <c r="E155" s="692" t="s">
        <v>1768</v>
      </c>
      <c r="F155" s="692" t="s">
        <v>1992</v>
      </c>
      <c r="G155" s="692" t="s">
        <v>4299</v>
      </c>
      <c r="H155" s="692" t="s">
        <v>79</v>
      </c>
      <c r="I155" s="692" t="s">
        <v>13</v>
      </c>
      <c r="J155" s="692" t="s">
        <v>80</v>
      </c>
      <c r="K155" s="692" t="s">
        <v>13</v>
      </c>
      <c r="L155" s="692" t="s">
        <v>5</v>
      </c>
      <c r="M155" s="692" t="str">
        <f t="shared" si="2"/>
        <v>6-10-03</v>
      </c>
      <c r="N155" s="692"/>
      <c r="O155" s="692"/>
      <c r="P155" s="692"/>
      <c r="Q155" s="762" t="s">
        <v>538</v>
      </c>
      <c r="R155" s="762" t="s">
        <v>4804</v>
      </c>
      <c r="S155" s="762" t="s">
        <v>4354</v>
      </c>
      <c r="T155" s="762">
        <v>27322359</v>
      </c>
      <c r="U155" s="762">
        <v>27322359</v>
      </c>
      <c r="V155" s="762" t="s">
        <v>4355</v>
      </c>
      <c r="W155" s="762" t="s">
        <v>4011</v>
      </c>
      <c r="X155" s="692"/>
      <c r="Y155" s="761"/>
      <c r="Z155" s="10"/>
      <c r="AA155" s="10"/>
      <c r="AB155" s="10"/>
      <c r="AC155" s="8"/>
      <c r="AD155" s="8"/>
      <c r="AE155" s="8"/>
      <c r="AF155" s="8"/>
      <c r="AG155" s="761"/>
      <c r="AH155" s="8"/>
      <c r="AI155" s="10"/>
    </row>
    <row r="156" spans="2:35" ht="15.75" hidden="1">
      <c r="B156" s="692" t="s">
        <v>3506</v>
      </c>
      <c r="C156" s="692" t="s">
        <v>560</v>
      </c>
      <c r="D156" s="9"/>
      <c r="E156" s="692" t="s">
        <v>254</v>
      </c>
      <c r="F156" s="692" t="s">
        <v>1992</v>
      </c>
      <c r="G156" s="692" t="s">
        <v>3143</v>
      </c>
      <c r="H156" s="692" t="s">
        <v>558</v>
      </c>
      <c r="I156" s="692" t="s">
        <v>5</v>
      </c>
      <c r="J156" s="692" t="s">
        <v>126</v>
      </c>
      <c r="K156" s="692" t="s">
        <v>11</v>
      </c>
      <c r="L156" s="692" t="s">
        <v>3</v>
      </c>
      <c r="M156" s="692" t="str">
        <f t="shared" si="2"/>
        <v>5-08-01</v>
      </c>
      <c r="N156" s="692"/>
      <c r="O156" s="692"/>
      <c r="P156" s="692"/>
      <c r="Q156" s="762" t="s">
        <v>3144</v>
      </c>
      <c r="R156" s="762" t="s">
        <v>1052</v>
      </c>
      <c r="S156" s="762" t="s">
        <v>4923</v>
      </c>
      <c r="T156" s="762">
        <v>26956466</v>
      </c>
      <c r="U156" s="762">
        <v>26956466</v>
      </c>
      <c r="V156" s="762" t="s">
        <v>5911</v>
      </c>
      <c r="W156" s="762" t="s">
        <v>4356</v>
      </c>
      <c r="X156" s="692"/>
      <c r="Y156" s="761"/>
      <c r="Z156" s="10"/>
      <c r="AA156" s="10"/>
      <c r="AB156" s="10"/>
      <c r="AC156" s="8"/>
      <c r="AD156" s="8"/>
      <c r="AE156" s="8"/>
      <c r="AF156" s="8"/>
      <c r="AG156" s="761"/>
      <c r="AH156" s="8"/>
      <c r="AI156" s="10"/>
    </row>
    <row r="157" spans="2:35" ht="15.75" hidden="1">
      <c r="B157" s="692" t="s">
        <v>4696</v>
      </c>
      <c r="C157" s="692" t="s">
        <v>401</v>
      </c>
      <c r="D157" s="9"/>
      <c r="E157" s="692" t="s">
        <v>3509</v>
      </c>
      <c r="F157" s="692" t="s">
        <v>1992</v>
      </c>
      <c r="G157" s="692" t="s">
        <v>3510</v>
      </c>
      <c r="H157" s="692" t="s">
        <v>111</v>
      </c>
      <c r="I157" s="692" t="s">
        <v>4</v>
      </c>
      <c r="J157" s="692" t="s">
        <v>110</v>
      </c>
      <c r="K157" s="692" t="s">
        <v>3</v>
      </c>
      <c r="L157" s="692" t="s">
        <v>4</v>
      </c>
      <c r="M157" s="692" t="str">
        <f t="shared" si="2"/>
        <v>4-01-02</v>
      </c>
      <c r="N157" s="692"/>
      <c r="O157" s="692"/>
      <c r="P157" s="692"/>
      <c r="Q157" s="762" t="s">
        <v>173</v>
      </c>
      <c r="R157" s="762" t="s">
        <v>1052</v>
      </c>
      <c r="S157" s="762" t="s">
        <v>4357</v>
      </c>
      <c r="T157" s="762">
        <v>22600353</v>
      </c>
      <c r="U157" s="762"/>
      <c r="V157" s="762" t="s">
        <v>4934</v>
      </c>
      <c r="W157" s="762" t="s">
        <v>3730</v>
      </c>
      <c r="X157" s="692"/>
      <c r="Y157" s="761"/>
      <c r="Z157" s="10"/>
      <c r="AA157" s="10"/>
      <c r="AB157" s="10"/>
      <c r="AC157" s="8"/>
      <c r="AD157" s="8"/>
      <c r="AE157" s="8"/>
      <c r="AF157" s="8"/>
      <c r="AG157" s="761"/>
      <c r="AH157" s="8"/>
      <c r="AI157" s="10"/>
    </row>
    <row r="158" spans="2:35" ht="15.75" hidden="1">
      <c r="B158" s="692" t="s">
        <v>1896</v>
      </c>
      <c r="C158" s="692" t="s">
        <v>556</v>
      </c>
      <c r="D158" s="9"/>
      <c r="E158" s="692" t="s">
        <v>257</v>
      </c>
      <c r="F158" s="692" t="s">
        <v>1992</v>
      </c>
      <c r="G158" s="692" t="s">
        <v>1904</v>
      </c>
      <c r="H158" s="692" t="s">
        <v>4394</v>
      </c>
      <c r="I158" s="692" t="s">
        <v>8</v>
      </c>
      <c r="J158" s="692" t="s">
        <v>41</v>
      </c>
      <c r="K158" s="692" t="s">
        <v>13</v>
      </c>
      <c r="L158" s="692" t="s">
        <v>3</v>
      </c>
      <c r="M158" s="692" t="str">
        <f t="shared" si="2"/>
        <v>1-10-01</v>
      </c>
      <c r="N158" s="692"/>
      <c r="O158" s="692"/>
      <c r="P158" s="692"/>
      <c r="Q158" s="762" t="s">
        <v>131</v>
      </c>
      <c r="R158" s="762" t="s">
        <v>1052</v>
      </c>
      <c r="S158" s="762" t="s">
        <v>3145</v>
      </c>
      <c r="T158" s="762">
        <v>22540924</v>
      </c>
      <c r="U158" s="762"/>
      <c r="V158" s="762" t="s">
        <v>3146</v>
      </c>
      <c r="W158" s="762" t="s">
        <v>3147</v>
      </c>
      <c r="X158" s="692"/>
      <c r="Y158" s="761"/>
      <c r="Z158" s="10"/>
      <c r="AA158" s="10"/>
      <c r="AB158" s="10"/>
      <c r="AC158" s="8"/>
      <c r="AD158" s="8"/>
      <c r="AE158" s="8"/>
      <c r="AF158" s="8"/>
      <c r="AG158" s="761"/>
      <c r="AH158" s="8"/>
      <c r="AI158" s="10"/>
    </row>
    <row r="159" spans="2:35" ht="15.75" hidden="1">
      <c r="B159" s="692" t="s">
        <v>4706</v>
      </c>
      <c r="C159" s="692" t="s">
        <v>4705</v>
      </c>
      <c r="D159" s="9"/>
      <c r="E159" s="692" t="s">
        <v>248</v>
      </c>
      <c r="F159" s="692" t="s">
        <v>1992</v>
      </c>
      <c r="G159" s="692" t="s">
        <v>1994</v>
      </c>
      <c r="H159" s="692" t="s">
        <v>750</v>
      </c>
      <c r="I159" s="692" t="s">
        <v>3</v>
      </c>
      <c r="J159" s="692" t="s">
        <v>68</v>
      </c>
      <c r="K159" s="692" t="s">
        <v>4</v>
      </c>
      <c r="L159" s="692" t="s">
        <v>3</v>
      </c>
      <c r="M159" s="692" t="str">
        <f t="shared" si="2"/>
        <v>7-02-01</v>
      </c>
      <c r="N159" s="692"/>
      <c r="O159" s="692"/>
      <c r="P159" s="692"/>
      <c r="Q159" s="762" t="s">
        <v>5709</v>
      </c>
      <c r="R159" s="762" t="s">
        <v>1052</v>
      </c>
      <c r="S159" s="762" t="s">
        <v>3148</v>
      </c>
      <c r="T159" s="762">
        <v>27111509</v>
      </c>
      <c r="U159" s="762"/>
      <c r="V159" s="762" t="s">
        <v>3149</v>
      </c>
      <c r="W159" s="762" t="s">
        <v>3150</v>
      </c>
      <c r="X159" s="692"/>
      <c r="Y159" s="761"/>
      <c r="Z159" s="10"/>
      <c r="AA159" s="10"/>
      <c r="AB159" s="10"/>
      <c r="AC159" s="8"/>
      <c r="AD159" s="8"/>
      <c r="AE159" s="8"/>
      <c r="AF159" s="8"/>
      <c r="AG159" s="761"/>
      <c r="AH159" s="8"/>
      <c r="AI159" s="10"/>
    </row>
    <row r="160" spans="2:35" ht="15.75" hidden="1">
      <c r="B160" s="692" t="s">
        <v>1901</v>
      </c>
      <c r="C160" s="692" t="s">
        <v>1068</v>
      </c>
      <c r="D160" s="9"/>
      <c r="E160" s="692" t="s">
        <v>640</v>
      </c>
      <c r="F160" s="692" t="s">
        <v>1992</v>
      </c>
      <c r="G160" s="692" t="s">
        <v>5722</v>
      </c>
      <c r="H160" s="692" t="s">
        <v>128</v>
      </c>
      <c r="I160" s="692" t="s">
        <v>3</v>
      </c>
      <c r="J160" s="692" t="s">
        <v>56</v>
      </c>
      <c r="K160" s="692" t="s">
        <v>3</v>
      </c>
      <c r="L160" s="692" t="s">
        <v>3</v>
      </c>
      <c r="M160" s="692" t="str">
        <f t="shared" si="2"/>
        <v>3-01-01</v>
      </c>
      <c r="N160" s="692"/>
      <c r="O160" s="692"/>
      <c r="P160" s="692"/>
      <c r="Q160" s="762" t="s">
        <v>62</v>
      </c>
      <c r="R160" s="762" t="s">
        <v>1052</v>
      </c>
      <c r="S160" s="762" t="s">
        <v>4741</v>
      </c>
      <c r="T160" s="762">
        <v>25511140</v>
      </c>
      <c r="U160" s="762">
        <v>25922507</v>
      </c>
      <c r="V160" s="762" t="s">
        <v>5486</v>
      </c>
      <c r="W160" s="762" t="s">
        <v>1774</v>
      </c>
      <c r="X160" s="692"/>
      <c r="Y160" s="761"/>
      <c r="Z160" s="10"/>
      <c r="AA160" s="10"/>
      <c r="AB160" s="10"/>
      <c r="AC160" s="8"/>
      <c r="AD160" s="8"/>
      <c r="AE160" s="8"/>
      <c r="AF160" s="8"/>
      <c r="AG160" s="761"/>
      <c r="AH160" s="8"/>
      <c r="AI160" s="10"/>
    </row>
    <row r="161" spans="2:35" ht="15.75" hidden="1">
      <c r="B161" s="692" t="s">
        <v>1934</v>
      </c>
      <c r="C161" s="692" t="s">
        <v>657</v>
      </c>
      <c r="D161" s="9"/>
      <c r="E161" s="692" t="s">
        <v>932</v>
      </c>
      <c r="F161" s="692" t="s">
        <v>1992</v>
      </c>
      <c r="G161" s="692" t="s">
        <v>1933</v>
      </c>
      <c r="H161" s="692" t="s">
        <v>4395</v>
      </c>
      <c r="I161" s="692" t="s">
        <v>5</v>
      </c>
      <c r="J161" s="692" t="s">
        <v>41</v>
      </c>
      <c r="K161" s="692" t="s">
        <v>4</v>
      </c>
      <c r="L161" s="692" t="s">
        <v>5</v>
      </c>
      <c r="M161" s="692" t="str">
        <f t="shared" si="2"/>
        <v>1-02-03</v>
      </c>
      <c r="N161" s="692"/>
      <c r="O161" s="692"/>
      <c r="P161" s="692"/>
      <c r="Q161" s="762" t="s">
        <v>4325</v>
      </c>
      <c r="R161" s="762" t="s">
        <v>1052</v>
      </c>
      <c r="S161" s="762" t="s">
        <v>5487</v>
      </c>
      <c r="T161" s="762">
        <v>22152103</v>
      </c>
      <c r="U161" s="762"/>
      <c r="V161" s="762" t="s">
        <v>4358</v>
      </c>
      <c r="W161" s="762" t="s">
        <v>4742</v>
      </c>
      <c r="X161" s="692"/>
      <c r="Y161" s="761"/>
      <c r="Z161" s="10"/>
      <c r="AA161" s="10"/>
      <c r="AB161" s="10"/>
      <c r="AC161" s="8"/>
      <c r="AD161" s="8"/>
      <c r="AE161" s="8"/>
      <c r="AF161" s="8"/>
      <c r="AG161" s="761"/>
      <c r="AH161" s="8"/>
      <c r="AI161" s="10"/>
    </row>
    <row r="162" spans="2:35" ht="15.75" hidden="1">
      <c r="B162" s="692" t="s">
        <v>3487</v>
      </c>
      <c r="C162" s="692" t="s">
        <v>146</v>
      </c>
      <c r="D162" s="9"/>
      <c r="E162" s="692" t="s">
        <v>656</v>
      </c>
      <c r="F162" s="692" t="s">
        <v>1992</v>
      </c>
      <c r="G162" s="692" t="s">
        <v>3267</v>
      </c>
      <c r="H162" s="692" t="s">
        <v>4396</v>
      </c>
      <c r="I162" s="692" t="s">
        <v>7</v>
      </c>
      <c r="J162" s="692" t="s">
        <v>41</v>
      </c>
      <c r="K162" s="692" t="s">
        <v>118</v>
      </c>
      <c r="L162" s="692" t="s">
        <v>3</v>
      </c>
      <c r="M162" s="692" t="str">
        <f t="shared" si="2"/>
        <v>1-14-01</v>
      </c>
      <c r="N162" s="692"/>
      <c r="O162" s="692"/>
      <c r="P162" s="692"/>
      <c r="Q162" s="762" t="s">
        <v>453</v>
      </c>
      <c r="R162" s="762" t="s">
        <v>1052</v>
      </c>
      <c r="S162" s="762" t="s">
        <v>4935</v>
      </c>
      <c r="T162" s="762">
        <v>22410874</v>
      </c>
      <c r="U162" s="762">
        <v>22970560</v>
      </c>
      <c r="V162" s="762" t="s">
        <v>3268</v>
      </c>
      <c r="W162" s="762" t="s">
        <v>3269</v>
      </c>
      <c r="X162" s="692"/>
      <c r="Y162" s="761"/>
      <c r="Z162" s="10"/>
      <c r="AA162" s="10"/>
      <c r="AB162" s="10"/>
      <c r="AC162" s="8"/>
      <c r="AD162" s="8"/>
      <c r="AE162" s="8"/>
      <c r="AF162" s="8"/>
      <c r="AG162" s="761"/>
      <c r="AH162" s="8"/>
      <c r="AI162" s="10"/>
    </row>
    <row r="163" spans="2:35" ht="15.75" hidden="1">
      <c r="B163" s="692" t="s">
        <v>1808</v>
      </c>
      <c r="C163" s="692" t="s">
        <v>938</v>
      </c>
      <c r="D163" s="9"/>
      <c r="E163" s="692" t="s">
        <v>657</v>
      </c>
      <c r="F163" s="692" t="s">
        <v>1992</v>
      </c>
      <c r="G163" s="692" t="s">
        <v>1934</v>
      </c>
      <c r="H163" s="692" t="s">
        <v>111</v>
      </c>
      <c r="I163" s="692" t="s">
        <v>4</v>
      </c>
      <c r="J163" s="692" t="s">
        <v>110</v>
      </c>
      <c r="K163" s="692" t="s">
        <v>3</v>
      </c>
      <c r="L163" s="692" t="s">
        <v>4</v>
      </c>
      <c r="M163" s="692" t="str">
        <f t="shared" si="2"/>
        <v>4-01-02</v>
      </c>
      <c r="N163" s="692"/>
      <c r="O163" s="692"/>
      <c r="P163" s="692"/>
      <c r="Q163" s="762" t="s">
        <v>173</v>
      </c>
      <c r="R163" s="762" t="s">
        <v>1052</v>
      </c>
      <c r="S163" s="762" t="s">
        <v>4012</v>
      </c>
      <c r="T163" s="762">
        <v>22611717</v>
      </c>
      <c r="U163" s="762">
        <v>22611717</v>
      </c>
      <c r="V163" s="762" t="s">
        <v>1947</v>
      </c>
      <c r="W163" s="762" t="s">
        <v>3270</v>
      </c>
      <c r="X163" s="692"/>
      <c r="Y163" s="761"/>
      <c r="Z163" s="10"/>
      <c r="AA163" s="10"/>
      <c r="AB163" s="10"/>
      <c r="AC163" s="8"/>
      <c r="AD163" s="8"/>
      <c r="AE163" s="8"/>
      <c r="AF163" s="8"/>
      <c r="AG163" s="761"/>
      <c r="AH163" s="8"/>
      <c r="AI163" s="10"/>
    </row>
    <row r="164" spans="2:35" ht="15.75" hidden="1">
      <c r="B164" s="692" t="s">
        <v>3493</v>
      </c>
      <c r="C164" s="692" t="s">
        <v>430</v>
      </c>
      <c r="D164" s="9"/>
      <c r="E164" s="692" t="s">
        <v>1079</v>
      </c>
      <c r="F164" s="692" t="s">
        <v>1992</v>
      </c>
      <c r="G164" s="692" t="s">
        <v>3311</v>
      </c>
      <c r="H164" s="692" t="s">
        <v>4396</v>
      </c>
      <c r="I164" s="692" t="s">
        <v>6</v>
      </c>
      <c r="J164" s="692" t="s">
        <v>41</v>
      </c>
      <c r="K164" s="692" t="s">
        <v>18</v>
      </c>
      <c r="L164" s="692" t="s">
        <v>3</v>
      </c>
      <c r="M164" s="692" t="str">
        <f t="shared" si="2"/>
        <v>1-13-01</v>
      </c>
      <c r="N164" s="692"/>
      <c r="O164" s="692"/>
      <c r="P164" s="692"/>
      <c r="Q164" s="762" t="s">
        <v>94</v>
      </c>
      <c r="R164" s="762" t="s">
        <v>1052</v>
      </c>
      <c r="S164" s="762" t="s">
        <v>3312</v>
      </c>
      <c r="T164" s="762">
        <v>22367259</v>
      </c>
      <c r="U164" s="762">
        <v>22360612</v>
      </c>
      <c r="V164" s="762" t="s">
        <v>3313</v>
      </c>
      <c r="W164" s="762" t="s">
        <v>3314</v>
      </c>
      <c r="X164" s="692"/>
      <c r="Y164" s="761"/>
      <c r="Z164" s="10"/>
      <c r="AA164" s="10"/>
      <c r="AB164" s="10"/>
      <c r="AC164" s="8"/>
      <c r="AD164" s="8"/>
      <c r="AE164" s="8"/>
      <c r="AF164" s="8"/>
      <c r="AG164" s="761"/>
      <c r="AH164" s="8"/>
      <c r="AI164" s="10"/>
    </row>
    <row r="165" spans="2:35" ht="15.75" hidden="1">
      <c r="B165" s="692" t="s">
        <v>2795</v>
      </c>
      <c r="C165" s="692" t="s">
        <v>504</v>
      </c>
      <c r="D165" s="9"/>
      <c r="E165" s="692" t="s">
        <v>920</v>
      </c>
      <c r="F165" s="692" t="s">
        <v>1992</v>
      </c>
      <c r="G165" s="692" t="s">
        <v>4700</v>
      </c>
      <c r="H165" s="692" t="s">
        <v>450</v>
      </c>
      <c r="I165" s="692" t="s">
        <v>8</v>
      </c>
      <c r="J165" s="692" t="s">
        <v>80</v>
      </c>
      <c r="K165" s="692" t="s">
        <v>8</v>
      </c>
      <c r="L165" s="692" t="s">
        <v>3</v>
      </c>
      <c r="M165" s="692" t="str">
        <f t="shared" si="2"/>
        <v>6-06-01</v>
      </c>
      <c r="N165" s="692"/>
      <c r="O165" s="692"/>
      <c r="P165" s="692"/>
      <c r="Q165" s="762" t="s">
        <v>828</v>
      </c>
      <c r="R165" s="762" t="s">
        <v>1052</v>
      </c>
      <c r="S165" s="762" t="s">
        <v>5892</v>
      </c>
      <c r="T165" s="762">
        <v>27772681</v>
      </c>
      <c r="U165" s="762">
        <v>27740244</v>
      </c>
      <c r="V165" s="762" t="s">
        <v>3315</v>
      </c>
      <c r="W165" s="762" t="s">
        <v>3316</v>
      </c>
      <c r="X165" s="692"/>
      <c r="Y165" s="761"/>
      <c r="Z165" s="10"/>
      <c r="AA165" s="10"/>
      <c r="AB165" s="10"/>
      <c r="AC165" s="8"/>
      <c r="AD165" s="8"/>
      <c r="AE165" s="8"/>
      <c r="AF165" s="8"/>
      <c r="AG165" s="761"/>
      <c r="AH165" s="8"/>
      <c r="AI165" s="10"/>
    </row>
    <row r="166" spans="2:35" ht="15.75" hidden="1">
      <c r="B166" s="692" t="s">
        <v>1821</v>
      </c>
      <c r="C166" s="692" t="s">
        <v>2379</v>
      </c>
      <c r="D166" s="9"/>
      <c r="E166" s="692" t="s">
        <v>921</v>
      </c>
      <c r="F166" s="692" t="s">
        <v>1992</v>
      </c>
      <c r="G166" s="692" t="s">
        <v>3317</v>
      </c>
      <c r="H166" s="692" t="s">
        <v>66</v>
      </c>
      <c r="I166" s="692" t="s">
        <v>3</v>
      </c>
      <c r="J166" s="692" t="s">
        <v>43</v>
      </c>
      <c r="K166" s="692" t="s">
        <v>3</v>
      </c>
      <c r="L166" s="692" t="s">
        <v>3</v>
      </c>
      <c r="M166" s="692" t="str">
        <f t="shared" si="2"/>
        <v>2-01-01</v>
      </c>
      <c r="N166" s="692"/>
      <c r="O166" s="692"/>
      <c r="P166" s="692"/>
      <c r="Q166" s="762" t="s">
        <v>58</v>
      </c>
      <c r="R166" s="762" t="s">
        <v>4804</v>
      </c>
      <c r="S166" s="762" t="s">
        <v>3731</v>
      </c>
      <c r="T166" s="762">
        <v>24314405</v>
      </c>
      <c r="U166" s="762">
        <v>24314405</v>
      </c>
      <c r="V166" s="762" t="s">
        <v>5488</v>
      </c>
      <c r="W166" s="762" t="s">
        <v>3318</v>
      </c>
      <c r="X166" s="692"/>
      <c r="Y166" s="761"/>
      <c r="Z166" s="10"/>
      <c r="AA166" s="10"/>
      <c r="AB166" s="10"/>
      <c r="AC166" s="8"/>
      <c r="AD166" s="8"/>
      <c r="AE166" s="8"/>
      <c r="AF166" s="8"/>
      <c r="AG166" s="761"/>
      <c r="AH166" s="8"/>
      <c r="AI166" s="10"/>
    </row>
    <row r="167" spans="2:35" ht="15.75" hidden="1">
      <c r="B167" s="692" t="s">
        <v>4916</v>
      </c>
      <c r="C167" s="692" t="s">
        <v>293</v>
      </c>
      <c r="D167" s="9"/>
      <c r="E167" s="692" t="s">
        <v>666</v>
      </c>
      <c r="F167" s="692" t="s">
        <v>1992</v>
      </c>
      <c r="G167" s="692" t="s">
        <v>3977</v>
      </c>
      <c r="H167" s="692" t="s">
        <v>4395</v>
      </c>
      <c r="I167" s="692" t="s">
        <v>6</v>
      </c>
      <c r="J167" s="692" t="s">
        <v>41</v>
      </c>
      <c r="K167" s="692" t="s">
        <v>12</v>
      </c>
      <c r="L167" s="692" t="s">
        <v>3</v>
      </c>
      <c r="M167" s="692" t="str">
        <f t="shared" si="2"/>
        <v>1-09-01</v>
      </c>
      <c r="N167" s="692"/>
      <c r="O167" s="692"/>
      <c r="P167" s="692"/>
      <c r="Q167" s="762" t="s">
        <v>165</v>
      </c>
      <c r="R167" s="762" t="s">
        <v>1052</v>
      </c>
      <c r="S167" s="762" t="s">
        <v>4743</v>
      </c>
      <c r="T167" s="762">
        <v>22034621</v>
      </c>
      <c r="U167" s="762"/>
      <c r="V167" s="762" t="s">
        <v>1907</v>
      </c>
      <c r="W167" s="762" t="s">
        <v>3319</v>
      </c>
      <c r="X167" s="692"/>
      <c r="Y167" s="761"/>
      <c r="Z167" s="10"/>
      <c r="AA167" s="10"/>
      <c r="AB167" s="10"/>
      <c r="AC167" s="8"/>
      <c r="AD167" s="8"/>
      <c r="AE167" s="8"/>
      <c r="AF167" s="8"/>
      <c r="AG167" s="761"/>
      <c r="AH167" s="8"/>
      <c r="AI167" s="10"/>
    </row>
    <row r="168" spans="2:35" ht="15.75" hidden="1">
      <c r="B168" s="692" t="s">
        <v>1913</v>
      </c>
      <c r="C168" s="692" t="s">
        <v>691</v>
      </c>
      <c r="D168" s="9"/>
      <c r="E168" s="692" t="s">
        <v>670</v>
      </c>
      <c r="F168" s="692" t="s">
        <v>1992</v>
      </c>
      <c r="G168" s="692" t="s">
        <v>4701</v>
      </c>
      <c r="H168" s="692" t="s">
        <v>111</v>
      </c>
      <c r="I168" s="692" t="s">
        <v>8</v>
      </c>
      <c r="J168" s="692" t="s">
        <v>110</v>
      </c>
      <c r="K168" s="692" t="s">
        <v>8</v>
      </c>
      <c r="L168" s="692" t="s">
        <v>4</v>
      </c>
      <c r="M168" s="692" t="str">
        <f t="shared" si="2"/>
        <v>4-06-02</v>
      </c>
      <c r="N168" s="692"/>
      <c r="O168" s="692"/>
      <c r="P168" s="692"/>
      <c r="Q168" s="762" t="s">
        <v>205</v>
      </c>
      <c r="R168" s="762" t="s">
        <v>1052</v>
      </c>
      <c r="S168" s="762" t="s">
        <v>3346</v>
      </c>
      <c r="T168" s="762">
        <v>22684309</v>
      </c>
      <c r="U168" s="762">
        <v>22684309</v>
      </c>
      <c r="V168" s="762" t="s">
        <v>1948</v>
      </c>
      <c r="W168" s="762" t="s">
        <v>4744</v>
      </c>
      <c r="X168" s="692"/>
      <c r="Y168" s="761"/>
      <c r="Z168" s="10"/>
      <c r="AA168" s="10"/>
      <c r="AB168" s="10"/>
      <c r="AC168" s="8"/>
      <c r="AD168" s="8"/>
      <c r="AE168" s="8"/>
      <c r="AF168" s="8"/>
      <c r="AG168" s="761"/>
      <c r="AH168" s="8"/>
      <c r="AI168" s="10"/>
    </row>
    <row r="169" spans="2:35" ht="15.75" hidden="1">
      <c r="B169" s="692" t="s">
        <v>1757</v>
      </c>
      <c r="C169" s="692" t="s">
        <v>190</v>
      </c>
      <c r="D169" s="9"/>
      <c r="E169" s="692" t="s">
        <v>671</v>
      </c>
      <c r="F169" s="692" t="s">
        <v>1992</v>
      </c>
      <c r="G169" s="692" t="s">
        <v>4702</v>
      </c>
      <c r="H169" s="692" t="s">
        <v>66</v>
      </c>
      <c r="I169" s="692" t="s">
        <v>6</v>
      </c>
      <c r="J169" s="692" t="s">
        <v>43</v>
      </c>
      <c r="K169" s="692" t="s">
        <v>3</v>
      </c>
      <c r="L169" s="692" t="s">
        <v>6</v>
      </c>
      <c r="M169" s="692" t="str">
        <f t="shared" si="2"/>
        <v>2-01-04</v>
      </c>
      <c r="N169" s="692"/>
      <c r="O169" s="692"/>
      <c r="P169" s="692"/>
      <c r="Q169" s="762" t="s">
        <v>455</v>
      </c>
      <c r="R169" s="762" t="s">
        <v>1052</v>
      </c>
      <c r="S169" s="762" t="s">
        <v>4360</v>
      </c>
      <c r="T169" s="762">
        <v>24382450</v>
      </c>
      <c r="U169" s="762">
        <v>24382450</v>
      </c>
      <c r="V169" s="762" t="s">
        <v>1880</v>
      </c>
      <c r="W169" s="762" t="s">
        <v>3347</v>
      </c>
      <c r="X169" s="692"/>
      <c r="Y169" s="761"/>
      <c r="Z169" s="10"/>
      <c r="AA169" s="10"/>
      <c r="AB169" s="10"/>
      <c r="AC169" s="8"/>
      <c r="AD169" s="8"/>
      <c r="AE169" s="8"/>
      <c r="AF169" s="8"/>
      <c r="AG169" s="761"/>
      <c r="AH169" s="8"/>
      <c r="AI169" s="10"/>
    </row>
    <row r="170" spans="2:35" ht="15.75" hidden="1">
      <c r="B170" s="692" t="s">
        <v>3979</v>
      </c>
      <c r="C170" s="692" t="s">
        <v>3967</v>
      </c>
      <c r="D170" s="9"/>
      <c r="E170" s="692" t="s">
        <v>672</v>
      </c>
      <c r="F170" s="692" t="s">
        <v>1992</v>
      </c>
      <c r="G170" s="692" t="s">
        <v>3348</v>
      </c>
      <c r="H170" s="692" t="s">
        <v>47</v>
      </c>
      <c r="I170" s="692" t="s">
        <v>5</v>
      </c>
      <c r="J170" s="692" t="s">
        <v>41</v>
      </c>
      <c r="K170" s="692" t="s">
        <v>8</v>
      </c>
      <c r="L170" s="692" t="s">
        <v>3</v>
      </c>
      <c r="M170" s="692" t="str">
        <f t="shared" si="2"/>
        <v>1-06-01</v>
      </c>
      <c r="N170" s="692"/>
      <c r="O170" s="692"/>
      <c r="P170" s="692"/>
      <c r="Q170" s="762" t="s">
        <v>218</v>
      </c>
      <c r="R170" s="762" t="s">
        <v>1052</v>
      </c>
      <c r="S170" s="762" t="s">
        <v>5902</v>
      </c>
      <c r="T170" s="762">
        <v>22300821</v>
      </c>
      <c r="U170" s="762"/>
      <c r="V170" s="762" t="s">
        <v>4538</v>
      </c>
      <c r="W170" s="762" t="s">
        <v>3349</v>
      </c>
      <c r="X170" s="692"/>
      <c r="Y170" s="761"/>
      <c r="Z170" s="10"/>
      <c r="AA170" s="10"/>
      <c r="AB170" s="10"/>
      <c r="AC170" s="8"/>
      <c r="AD170" s="8"/>
      <c r="AE170" s="8"/>
      <c r="AF170" s="8"/>
      <c r="AG170" s="761"/>
      <c r="AH170" s="8"/>
      <c r="AI170" s="10"/>
    </row>
    <row r="171" spans="2:35" ht="15.75" hidden="1">
      <c r="B171" s="692" t="s">
        <v>2168</v>
      </c>
      <c r="C171" s="692" t="s">
        <v>1139</v>
      </c>
      <c r="D171" s="9"/>
      <c r="E171" s="692" t="s">
        <v>673</v>
      </c>
      <c r="F171" s="692" t="s">
        <v>1992</v>
      </c>
      <c r="G171" s="692" t="s">
        <v>4703</v>
      </c>
      <c r="H171" s="692" t="s">
        <v>4396</v>
      </c>
      <c r="I171" s="692" t="s">
        <v>8</v>
      </c>
      <c r="J171" s="692" t="s">
        <v>41</v>
      </c>
      <c r="K171" s="692" t="s">
        <v>16</v>
      </c>
      <c r="L171" s="692" t="s">
        <v>4</v>
      </c>
      <c r="M171" s="692" t="str">
        <f t="shared" si="2"/>
        <v>1-11-02</v>
      </c>
      <c r="N171" s="692"/>
      <c r="O171" s="692"/>
      <c r="P171" s="692"/>
      <c r="Q171" s="762" t="s">
        <v>89</v>
      </c>
      <c r="R171" s="762" t="s">
        <v>1052</v>
      </c>
      <c r="S171" s="762" t="s">
        <v>5942</v>
      </c>
      <c r="T171" s="762">
        <v>22928412</v>
      </c>
      <c r="U171" s="762">
        <v>25290178</v>
      </c>
      <c r="V171" s="762" t="s">
        <v>3350</v>
      </c>
      <c r="W171" s="762" t="s">
        <v>3351</v>
      </c>
      <c r="X171" s="692"/>
      <c r="Y171" s="761"/>
      <c r="Z171" s="10"/>
      <c r="AA171" s="10"/>
      <c r="AB171" s="10"/>
      <c r="AC171" s="8"/>
      <c r="AD171" s="8"/>
      <c r="AE171" s="8"/>
      <c r="AF171" s="8"/>
      <c r="AG171" s="761"/>
      <c r="AH171" s="8"/>
      <c r="AI171" s="10"/>
    </row>
    <row r="172" spans="2:35" ht="15.75" hidden="1">
      <c r="B172" s="692" t="s">
        <v>1831</v>
      </c>
      <c r="C172" s="692" t="s">
        <v>275</v>
      </c>
      <c r="D172" s="9"/>
      <c r="E172" s="692" t="s">
        <v>677</v>
      </c>
      <c r="F172" s="692" t="s">
        <v>1992</v>
      </c>
      <c r="G172" s="692" t="s">
        <v>3514</v>
      </c>
      <c r="H172" s="692" t="s">
        <v>4394</v>
      </c>
      <c r="I172" s="692" t="s">
        <v>3</v>
      </c>
      <c r="J172" s="692" t="s">
        <v>41</v>
      </c>
      <c r="K172" s="692" t="s">
        <v>3</v>
      </c>
      <c r="L172" s="692" t="s">
        <v>5</v>
      </c>
      <c r="M172" s="692" t="str">
        <f t="shared" si="2"/>
        <v>1-01-03</v>
      </c>
      <c r="N172" s="692"/>
      <c r="O172" s="692"/>
      <c r="P172" s="692"/>
      <c r="Q172" s="762" t="s">
        <v>57</v>
      </c>
      <c r="R172" s="762" t="s">
        <v>1052</v>
      </c>
      <c r="S172" s="762" t="s">
        <v>4539</v>
      </c>
      <c r="T172" s="762">
        <v>22335489</v>
      </c>
      <c r="U172" s="762">
        <v>22572114</v>
      </c>
      <c r="V172" s="762" t="s">
        <v>1834</v>
      </c>
      <c r="W172" s="762" t="s">
        <v>1835</v>
      </c>
      <c r="X172" s="692"/>
      <c r="Y172" s="761"/>
      <c r="Z172" s="10"/>
      <c r="AA172" s="10"/>
      <c r="AB172" s="10"/>
      <c r="AC172" s="8"/>
      <c r="AD172" s="8"/>
      <c r="AE172" s="8"/>
      <c r="AF172" s="8"/>
      <c r="AG172" s="761"/>
      <c r="AH172" s="8"/>
      <c r="AI172" s="10"/>
    </row>
    <row r="173" spans="2:35" ht="15.75">
      <c r="B173" s="692" t="s">
        <v>1795</v>
      </c>
      <c r="C173" s="692" t="s">
        <v>44</v>
      </c>
      <c r="D173" s="9"/>
      <c r="E173" s="692" t="s">
        <v>323</v>
      </c>
      <c r="F173" s="692" t="s">
        <v>1992</v>
      </c>
      <c r="G173" s="692" t="s">
        <v>5724</v>
      </c>
      <c r="H173" s="692" t="s">
        <v>111</v>
      </c>
      <c r="I173" s="692" t="s">
        <v>8</v>
      </c>
      <c r="J173" s="692" t="s">
        <v>110</v>
      </c>
      <c r="K173" s="692" t="s">
        <v>8</v>
      </c>
      <c r="L173" s="692" t="s">
        <v>6</v>
      </c>
      <c r="M173" s="692" t="str">
        <f t="shared" si="2"/>
        <v>4-06-04</v>
      </c>
      <c r="N173" s="692"/>
      <c r="O173" s="692"/>
      <c r="P173" s="692"/>
      <c r="Q173" s="762" t="s">
        <v>3987</v>
      </c>
      <c r="R173" s="762" t="s">
        <v>1052</v>
      </c>
      <c r="S173" s="762" t="s">
        <v>4013</v>
      </c>
      <c r="T173" s="762">
        <v>40520560</v>
      </c>
      <c r="U173" s="762">
        <v>73007405</v>
      </c>
      <c r="V173" s="762" t="s">
        <v>4014</v>
      </c>
      <c r="W173" s="762" t="s">
        <v>3366</v>
      </c>
      <c r="X173" s="692"/>
      <c r="Y173" s="761"/>
      <c r="Z173" s="10"/>
      <c r="AA173" s="10"/>
      <c r="AB173" s="10"/>
      <c r="AC173" s="8"/>
      <c r="AD173" s="8"/>
      <c r="AE173" s="8"/>
      <c r="AF173" s="8"/>
      <c r="AG173" s="761" t="s">
        <v>4493</v>
      </c>
      <c r="AH173" s="8"/>
      <c r="AI173" s="10"/>
    </row>
    <row r="174" spans="2:35" ht="15.75" hidden="1">
      <c r="B174" s="692" t="s">
        <v>2931</v>
      </c>
      <c r="C174" s="692" t="s">
        <v>553</v>
      </c>
      <c r="D174" s="9"/>
      <c r="E174" s="692" t="s">
        <v>342</v>
      </c>
      <c r="F174" s="692" t="s">
        <v>1992</v>
      </c>
      <c r="G174" s="692" t="s">
        <v>3367</v>
      </c>
      <c r="H174" s="692" t="s">
        <v>66</v>
      </c>
      <c r="I174" s="692" t="s">
        <v>8</v>
      </c>
      <c r="J174" s="692" t="s">
        <v>43</v>
      </c>
      <c r="K174" s="692" t="s">
        <v>5</v>
      </c>
      <c r="L174" s="692" t="s">
        <v>4</v>
      </c>
      <c r="M174" s="692" t="str">
        <f t="shared" si="2"/>
        <v>2-03-02</v>
      </c>
      <c r="N174" s="692"/>
      <c r="O174" s="692"/>
      <c r="P174" s="692"/>
      <c r="Q174" s="762" t="s">
        <v>633</v>
      </c>
      <c r="R174" s="762" t="s">
        <v>1052</v>
      </c>
      <c r="S174" s="762" t="s">
        <v>1885</v>
      </c>
      <c r="T174" s="762">
        <v>24948382</v>
      </c>
      <c r="U174" s="762">
        <v>24948382</v>
      </c>
      <c r="V174" s="762" t="s">
        <v>1886</v>
      </c>
      <c r="W174" s="762" t="s">
        <v>3368</v>
      </c>
      <c r="X174" s="692"/>
      <c r="Y174" s="761"/>
      <c r="Z174" s="10"/>
      <c r="AA174" s="10"/>
      <c r="AB174" s="10"/>
      <c r="AC174" s="8"/>
      <c r="AD174" s="8"/>
      <c r="AE174" s="8"/>
      <c r="AF174" s="8"/>
      <c r="AG174" s="761"/>
      <c r="AH174" s="8"/>
      <c r="AI174" s="10"/>
    </row>
    <row r="175" spans="2:35" ht="15.75" hidden="1">
      <c r="B175" s="692" t="s">
        <v>3477</v>
      </c>
      <c r="C175" s="692" t="s">
        <v>2132</v>
      </c>
      <c r="D175" s="9"/>
      <c r="E175" s="692" t="s">
        <v>353</v>
      </c>
      <c r="F175" s="692" t="s">
        <v>1992</v>
      </c>
      <c r="G175" s="692" t="s">
        <v>3369</v>
      </c>
      <c r="H175" s="692" t="s">
        <v>79</v>
      </c>
      <c r="I175" s="692" t="s">
        <v>7</v>
      </c>
      <c r="J175" s="692" t="s">
        <v>80</v>
      </c>
      <c r="K175" s="692" t="s">
        <v>11</v>
      </c>
      <c r="L175" s="692" t="s">
        <v>3</v>
      </c>
      <c r="M175" s="692" t="str">
        <f t="shared" si="2"/>
        <v>6-08-01</v>
      </c>
      <c r="N175" s="692"/>
      <c r="O175" s="692"/>
      <c r="P175" s="692"/>
      <c r="Q175" s="762" t="s">
        <v>1938</v>
      </c>
      <c r="R175" s="762" t="s">
        <v>1052</v>
      </c>
      <c r="S175" s="762" t="s">
        <v>4540</v>
      </c>
      <c r="T175" s="762">
        <v>27734340</v>
      </c>
      <c r="U175" s="762"/>
      <c r="V175" s="762" t="s">
        <v>4541</v>
      </c>
      <c r="W175" s="762" t="s">
        <v>4015</v>
      </c>
      <c r="X175" s="692"/>
      <c r="Y175" s="761"/>
      <c r="Z175" s="10"/>
      <c r="AA175" s="10"/>
      <c r="AB175" s="10"/>
      <c r="AC175" s="8"/>
      <c r="AD175" s="8"/>
      <c r="AE175" s="8"/>
      <c r="AF175" s="8"/>
      <c r="AG175" s="761"/>
      <c r="AH175" s="8"/>
      <c r="AI175" s="10"/>
    </row>
    <row r="176" spans="2:35" ht="15.75" hidden="1">
      <c r="B176" s="692" t="s">
        <v>5480</v>
      </c>
      <c r="C176" s="692" t="s">
        <v>952</v>
      </c>
      <c r="D176" s="9"/>
      <c r="E176" s="692" t="s">
        <v>680</v>
      </c>
      <c r="F176" s="692" t="s">
        <v>1992</v>
      </c>
      <c r="G176" s="692" t="s">
        <v>3515</v>
      </c>
      <c r="H176" s="692" t="s">
        <v>128</v>
      </c>
      <c r="I176" s="692" t="s">
        <v>8</v>
      </c>
      <c r="J176" s="692" t="s">
        <v>56</v>
      </c>
      <c r="K176" s="692" t="s">
        <v>5</v>
      </c>
      <c r="L176" s="692" t="s">
        <v>6</v>
      </c>
      <c r="M176" s="692" t="str">
        <f t="shared" si="2"/>
        <v>3-03-04</v>
      </c>
      <c r="N176" s="692"/>
      <c r="O176" s="692"/>
      <c r="P176" s="692"/>
      <c r="Q176" s="762" t="s">
        <v>1162</v>
      </c>
      <c r="R176" s="762" t="s">
        <v>1052</v>
      </c>
      <c r="S176" s="762" t="s">
        <v>5965</v>
      </c>
      <c r="T176" s="762">
        <v>25180103</v>
      </c>
      <c r="U176" s="762">
        <v>22784865</v>
      </c>
      <c r="V176" s="762" t="s">
        <v>4361</v>
      </c>
      <c r="W176" s="762" t="s">
        <v>3370</v>
      </c>
      <c r="X176" s="692"/>
      <c r="Y176" s="761"/>
      <c r="Z176" s="10"/>
      <c r="AA176" s="10"/>
      <c r="AB176" s="10"/>
      <c r="AC176" s="8"/>
      <c r="AD176" s="8"/>
      <c r="AE176" s="8"/>
      <c r="AF176" s="8"/>
      <c r="AG176" s="761"/>
      <c r="AH176" s="8"/>
      <c r="AI176" s="10"/>
    </row>
    <row r="177" spans="2:35" ht="15.75" hidden="1">
      <c r="B177" s="692" t="s">
        <v>2789</v>
      </c>
      <c r="C177" s="692" t="s">
        <v>901</v>
      </c>
      <c r="D177" s="9"/>
      <c r="E177" s="692" t="s">
        <v>681</v>
      </c>
      <c r="F177" s="692" t="s">
        <v>1992</v>
      </c>
      <c r="G177" s="692" t="s">
        <v>3371</v>
      </c>
      <c r="H177" s="692" t="s">
        <v>117</v>
      </c>
      <c r="I177" s="692" t="s">
        <v>5</v>
      </c>
      <c r="J177" s="692" t="s">
        <v>43</v>
      </c>
      <c r="K177" s="692" t="s">
        <v>13</v>
      </c>
      <c r="L177" s="692" t="s">
        <v>3</v>
      </c>
      <c r="M177" s="692" t="str">
        <f t="shared" si="2"/>
        <v>2-10-01</v>
      </c>
      <c r="N177" s="692"/>
      <c r="O177" s="692"/>
      <c r="P177" s="692"/>
      <c r="Q177" s="762" t="s">
        <v>710</v>
      </c>
      <c r="R177" s="762" t="s">
        <v>1052</v>
      </c>
      <c r="S177" s="762" t="s">
        <v>4745</v>
      </c>
      <c r="T177" s="762">
        <v>24603374</v>
      </c>
      <c r="U177" s="762"/>
      <c r="V177" s="762" t="s">
        <v>3372</v>
      </c>
      <c r="W177" s="762" t="s">
        <v>3373</v>
      </c>
      <c r="X177" s="692"/>
      <c r="Y177" s="761"/>
      <c r="Z177" s="10"/>
      <c r="AA177" s="10"/>
      <c r="AB177" s="10"/>
      <c r="AC177" s="8"/>
      <c r="AD177" s="8"/>
      <c r="AE177" s="8"/>
      <c r="AF177" s="8"/>
      <c r="AG177" s="761"/>
      <c r="AH177" s="8"/>
      <c r="AI177" s="10"/>
    </row>
    <row r="178" spans="2:35" ht="15.75">
      <c r="B178" s="692" t="s">
        <v>2497</v>
      </c>
      <c r="C178" s="692" t="s">
        <v>343</v>
      </c>
      <c r="D178" s="9"/>
      <c r="E178" s="692" t="s">
        <v>682</v>
      </c>
      <c r="F178" s="692" t="s">
        <v>1992</v>
      </c>
      <c r="G178" s="692" t="s">
        <v>1919</v>
      </c>
      <c r="H178" s="692" t="s">
        <v>125</v>
      </c>
      <c r="I178" s="692" t="s">
        <v>5</v>
      </c>
      <c r="J178" s="692" t="s">
        <v>126</v>
      </c>
      <c r="K178" s="692" t="s">
        <v>5</v>
      </c>
      <c r="L178" s="692" t="s">
        <v>11</v>
      </c>
      <c r="M178" s="692" t="str">
        <f t="shared" si="2"/>
        <v>5-03-08</v>
      </c>
      <c r="N178" s="692"/>
      <c r="O178" s="692"/>
      <c r="P178" s="692"/>
      <c r="Q178" s="762" t="s">
        <v>5711</v>
      </c>
      <c r="R178" s="762" t="s">
        <v>1052</v>
      </c>
      <c r="S178" s="762" t="s">
        <v>5928</v>
      </c>
      <c r="T178" s="762">
        <v>26546087</v>
      </c>
      <c r="U178" s="762"/>
      <c r="V178" s="762" t="s">
        <v>3374</v>
      </c>
      <c r="W178" s="762" t="s">
        <v>5929</v>
      </c>
      <c r="X178" s="692"/>
      <c r="Y178" s="761"/>
      <c r="Z178" s="10"/>
      <c r="AA178" s="10"/>
      <c r="AB178" s="10"/>
      <c r="AC178" s="8"/>
      <c r="AD178" s="8"/>
      <c r="AE178" s="8"/>
      <c r="AF178" s="8"/>
      <c r="AG178" s="761" t="s">
        <v>4493</v>
      </c>
      <c r="AH178" s="8"/>
      <c r="AI178" s="10"/>
    </row>
    <row r="179" spans="2:35" ht="15.75" hidden="1">
      <c r="B179" s="692" t="s">
        <v>1816</v>
      </c>
      <c r="C179" s="692" t="s">
        <v>139</v>
      </c>
      <c r="D179" s="9"/>
      <c r="E179" s="692" t="s">
        <v>584</v>
      </c>
      <c r="F179" s="692" t="s">
        <v>1992</v>
      </c>
      <c r="G179" s="692" t="s">
        <v>3383</v>
      </c>
      <c r="H179" s="692" t="s">
        <v>111</v>
      </c>
      <c r="I179" s="692" t="s">
        <v>7</v>
      </c>
      <c r="J179" s="692" t="s">
        <v>110</v>
      </c>
      <c r="K179" s="692" t="s">
        <v>5</v>
      </c>
      <c r="L179" s="692" t="s">
        <v>5</v>
      </c>
      <c r="M179" s="692" t="str">
        <f t="shared" si="2"/>
        <v>4-03-03</v>
      </c>
      <c r="N179" s="692"/>
      <c r="O179" s="692"/>
      <c r="P179" s="692"/>
      <c r="Q179" s="762" t="s">
        <v>780</v>
      </c>
      <c r="R179" s="762" t="s">
        <v>1052</v>
      </c>
      <c r="S179" s="762" t="s">
        <v>3384</v>
      </c>
      <c r="T179" s="762">
        <v>22353355</v>
      </c>
      <c r="U179" s="762">
        <v>22358855</v>
      </c>
      <c r="V179" s="762" t="s">
        <v>3385</v>
      </c>
      <c r="W179" s="762" t="s">
        <v>3386</v>
      </c>
      <c r="X179" s="692"/>
      <c r="Y179" s="761"/>
      <c r="Z179" s="10"/>
      <c r="AA179" s="10"/>
      <c r="AB179" s="10"/>
      <c r="AC179" s="8"/>
      <c r="AD179" s="8"/>
      <c r="AE179" s="8"/>
      <c r="AF179" s="8"/>
      <c r="AG179" s="761"/>
      <c r="AH179" s="8"/>
      <c r="AI179" s="10"/>
    </row>
    <row r="180" spans="2:35" ht="15.75" hidden="1">
      <c r="B180" s="692" t="s">
        <v>1765</v>
      </c>
      <c r="C180" s="692" t="s">
        <v>178</v>
      </c>
      <c r="D180" s="9"/>
      <c r="E180" s="692" t="s">
        <v>48</v>
      </c>
      <c r="F180" s="692" t="s">
        <v>1992</v>
      </c>
      <c r="G180" s="692" t="s">
        <v>1921</v>
      </c>
      <c r="H180" s="692" t="s">
        <v>125</v>
      </c>
      <c r="I180" s="692" t="s">
        <v>8</v>
      </c>
      <c r="J180" s="692" t="s">
        <v>126</v>
      </c>
      <c r="K180" s="692" t="s">
        <v>7</v>
      </c>
      <c r="L180" s="692" t="s">
        <v>5</v>
      </c>
      <c r="M180" s="692" t="str">
        <f t="shared" si="2"/>
        <v>5-05-03</v>
      </c>
      <c r="N180" s="692"/>
      <c r="O180" s="692"/>
      <c r="P180" s="692"/>
      <c r="Q180" s="762" t="s">
        <v>253</v>
      </c>
      <c r="R180" s="762" t="s">
        <v>1052</v>
      </c>
      <c r="S180" s="762" t="s">
        <v>1922</v>
      </c>
      <c r="T180" s="762">
        <v>40017993</v>
      </c>
      <c r="U180" s="762"/>
      <c r="V180" s="762" t="s">
        <v>1923</v>
      </c>
      <c r="W180" s="762" t="s">
        <v>3390</v>
      </c>
      <c r="X180" s="692"/>
      <c r="Y180" s="761"/>
      <c r="Z180" s="10"/>
      <c r="AA180" s="10"/>
      <c r="AB180" s="10"/>
      <c r="AC180" s="8"/>
      <c r="AD180" s="8"/>
      <c r="AE180" s="8"/>
      <c r="AF180" s="8"/>
      <c r="AG180" s="761"/>
      <c r="AH180" s="8"/>
      <c r="AI180" s="10"/>
    </row>
    <row r="181" spans="2:35" ht="15.75" hidden="1">
      <c r="B181" s="692" t="s">
        <v>4499</v>
      </c>
      <c r="C181" s="692" t="s">
        <v>468</v>
      </c>
      <c r="D181" s="9"/>
      <c r="E181" s="692" t="s">
        <v>685</v>
      </c>
      <c r="F181" s="692" t="s">
        <v>1992</v>
      </c>
      <c r="G181" s="692" t="s">
        <v>3391</v>
      </c>
      <c r="H181" s="692" t="s">
        <v>450</v>
      </c>
      <c r="I181" s="692" t="s">
        <v>7</v>
      </c>
      <c r="J181" s="692" t="s">
        <v>80</v>
      </c>
      <c r="K181" s="692" t="s">
        <v>16</v>
      </c>
      <c r="L181" s="692" t="s">
        <v>3</v>
      </c>
      <c r="M181" s="692" t="str">
        <f t="shared" si="2"/>
        <v>6-11-01</v>
      </c>
      <c r="N181" s="692"/>
      <c r="O181" s="692"/>
      <c r="P181" s="692"/>
      <c r="Q181" s="762" t="s">
        <v>477</v>
      </c>
      <c r="R181" s="762" t="s">
        <v>1052</v>
      </c>
      <c r="S181" s="762" t="s">
        <v>3392</v>
      </c>
      <c r="T181" s="762">
        <v>26436128</v>
      </c>
      <c r="U181" s="762">
        <v>26432421</v>
      </c>
      <c r="V181" s="762" t="s">
        <v>3393</v>
      </c>
      <c r="W181" s="762" t="s">
        <v>3394</v>
      </c>
      <c r="X181" s="692"/>
      <c r="Y181" s="761"/>
      <c r="Z181" s="10"/>
      <c r="AA181" s="10"/>
      <c r="AB181" s="10"/>
      <c r="AC181" s="8"/>
      <c r="AD181" s="8"/>
      <c r="AE181" s="8"/>
      <c r="AF181" s="8"/>
      <c r="AG181" s="761"/>
      <c r="AH181" s="8"/>
      <c r="AI181" s="10"/>
    </row>
    <row r="182" spans="2:35" ht="15.75" hidden="1">
      <c r="B182" s="692" t="s">
        <v>3267</v>
      </c>
      <c r="C182" s="692" t="s">
        <v>656</v>
      </c>
      <c r="D182" s="9"/>
      <c r="E182" s="692" t="s">
        <v>674</v>
      </c>
      <c r="F182" s="692" t="s">
        <v>1992</v>
      </c>
      <c r="G182" s="692" t="s">
        <v>4300</v>
      </c>
      <c r="H182" s="692" t="s">
        <v>4395</v>
      </c>
      <c r="I182" s="692" t="s">
        <v>6</v>
      </c>
      <c r="J182" s="692" t="s">
        <v>41</v>
      </c>
      <c r="K182" s="692" t="s">
        <v>12</v>
      </c>
      <c r="L182" s="692" t="s">
        <v>3</v>
      </c>
      <c r="M182" s="692" t="str">
        <f t="shared" si="2"/>
        <v>1-09-01</v>
      </c>
      <c r="N182" s="692"/>
      <c r="O182" s="692"/>
      <c r="P182" s="692"/>
      <c r="Q182" s="762" t="s">
        <v>89</v>
      </c>
      <c r="R182" s="762" t="s">
        <v>1052</v>
      </c>
      <c r="S182" s="762" t="s">
        <v>5489</v>
      </c>
      <c r="T182" s="762">
        <v>22827777</v>
      </c>
      <c r="U182" s="762">
        <v>85592927</v>
      </c>
      <c r="V182" s="762" t="s">
        <v>1910</v>
      </c>
      <c r="W182" s="762" t="s">
        <v>4016</v>
      </c>
      <c r="X182" s="692"/>
      <c r="Y182" s="761"/>
      <c r="Z182" s="10"/>
      <c r="AA182" s="10"/>
      <c r="AB182" s="10"/>
      <c r="AC182" s="8"/>
      <c r="AD182" s="8"/>
      <c r="AE182" s="8"/>
      <c r="AF182" s="8"/>
      <c r="AG182" s="761"/>
      <c r="AH182" s="8"/>
      <c r="AI182" s="10"/>
    </row>
    <row r="183" spans="2:35" ht="15.75" hidden="1">
      <c r="B183" s="692" t="s">
        <v>5483</v>
      </c>
      <c r="C183" s="692" t="s">
        <v>554</v>
      </c>
      <c r="D183" s="9"/>
      <c r="E183" s="692" t="s">
        <v>689</v>
      </c>
      <c r="F183" s="692" t="s">
        <v>1992</v>
      </c>
      <c r="G183" s="692" t="s">
        <v>3395</v>
      </c>
      <c r="H183" s="692" t="s">
        <v>172</v>
      </c>
      <c r="I183" s="692" t="s">
        <v>7</v>
      </c>
      <c r="J183" s="692" t="s">
        <v>41</v>
      </c>
      <c r="K183" s="692" t="s">
        <v>9</v>
      </c>
      <c r="L183" s="692" t="s">
        <v>3</v>
      </c>
      <c r="M183" s="692" t="str">
        <f t="shared" si="2"/>
        <v>1-07-01</v>
      </c>
      <c r="N183" s="692"/>
      <c r="O183" s="692"/>
      <c r="P183" s="692"/>
      <c r="Q183" s="762" t="s">
        <v>336</v>
      </c>
      <c r="R183" s="762" t="s">
        <v>1052</v>
      </c>
      <c r="S183" s="762" t="s">
        <v>4362</v>
      </c>
      <c r="T183" s="762">
        <v>22491516</v>
      </c>
      <c r="U183" s="762">
        <v>22828132</v>
      </c>
      <c r="V183" s="762" t="s">
        <v>1900</v>
      </c>
      <c r="W183" s="762" t="s">
        <v>3396</v>
      </c>
      <c r="X183" s="692"/>
      <c r="Y183" s="761"/>
      <c r="Z183" s="10"/>
      <c r="AA183" s="10"/>
      <c r="AB183" s="10"/>
      <c r="AC183" s="8"/>
      <c r="AD183" s="8"/>
      <c r="AE183" s="8"/>
      <c r="AF183" s="8"/>
      <c r="AG183" s="761"/>
      <c r="AH183" s="8"/>
      <c r="AI183" s="10"/>
    </row>
    <row r="184" spans="2:35" ht="15.75" hidden="1">
      <c r="B184" s="692" t="s">
        <v>5452</v>
      </c>
      <c r="C184" s="692" t="s">
        <v>1731</v>
      </c>
      <c r="D184" s="9"/>
      <c r="E184" s="692" t="s">
        <v>266</v>
      </c>
      <c r="F184" s="692" t="s">
        <v>1992</v>
      </c>
      <c r="G184" s="692" t="s">
        <v>3516</v>
      </c>
      <c r="H184" s="692" t="s">
        <v>79</v>
      </c>
      <c r="I184" s="692" t="s">
        <v>13</v>
      </c>
      <c r="J184" s="692" t="s">
        <v>80</v>
      </c>
      <c r="K184" s="692" t="s">
        <v>13</v>
      </c>
      <c r="L184" s="692" t="s">
        <v>5</v>
      </c>
      <c r="M184" s="692" t="str">
        <f t="shared" si="2"/>
        <v>6-10-03</v>
      </c>
      <c r="N184" s="692"/>
      <c r="O184" s="692"/>
      <c r="P184" s="692"/>
      <c r="Q184" s="762" t="s">
        <v>1790</v>
      </c>
      <c r="R184" s="762" t="s">
        <v>1052</v>
      </c>
      <c r="S184" s="762" t="s">
        <v>5490</v>
      </c>
      <c r="T184" s="762">
        <v>27322886</v>
      </c>
      <c r="U184" s="762"/>
      <c r="V184" s="762" t="s">
        <v>1791</v>
      </c>
      <c r="W184" s="762" t="s">
        <v>4363</v>
      </c>
      <c r="X184" s="692"/>
      <c r="Y184" s="761"/>
      <c r="Z184" s="10"/>
      <c r="AA184" s="10"/>
      <c r="AB184" s="10"/>
      <c r="AC184" s="8"/>
      <c r="AD184" s="8"/>
      <c r="AE184" s="8"/>
      <c r="AF184" s="8"/>
      <c r="AG184" s="761"/>
      <c r="AH184" s="8"/>
      <c r="AI184" s="10"/>
    </row>
    <row r="185" spans="2:35" ht="15.75" hidden="1">
      <c r="B185" s="692" t="s">
        <v>1924</v>
      </c>
      <c r="C185" s="692" t="s">
        <v>704</v>
      </c>
      <c r="D185" s="9"/>
      <c r="E185" s="692" t="s">
        <v>690</v>
      </c>
      <c r="F185" s="692" t="s">
        <v>1992</v>
      </c>
      <c r="G185" s="692" t="s">
        <v>1894</v>
      </c>
      <c r="H185" s="692" t="s">
        <v>111</v>
      </c>
      <c r="I185" s="692" t="s">
        <v>6</v>
      </c>
      <c r="J185" s="692" t="s">
        <v>110</v>
      </c>
      <c r="K185" s="692" t="s">
        <v>4</v>
      </c>
      <c r="L185" s="692" t="s">
        <v>6</v>
      </c>
      <c r="M185" s="692" t="str">
        <f t="shared" si="2"/>
        <v>4-02-04</v>
      </c>
      <c r="N185" s="692"/>
      <c r="O185" s="692"/>
      <c r="P185" s="692"/>
      <c r="Q185" s="762" t="s">
        <v>629</v>
      </c>
      <c r="R185" s="762" t="s">
        <v>1052</v>
      </c>
      <c r="S185" s="762" t="s">
        <v>3397</v>
      </c>
      <c r="T185" s="762">
        <v>21017459</v>
      </c>
      <c r="U185" s="762"/>
      <c r="V185" s="762" t="s">
        <v>1895</v>
      </c>
      <c r="W185" s="762" t="s">
        <v>4017</v>
      </c>
      <c r="X185" s="692"/>
      <c r="Y185" s="761"/>
      <c r="Z185" s="10"/>
      <c r="AA185" s="10"/>
      <c r="AB185" s="10"/>
      <c r="AC185" s="8"/>
      <c r="AD185" s="8"/>
      <c r="AE185" s="8"/>
      <c r="AF185" s="8"/>
      <c r="AG185" s="761"/>
      <c r="AH185" s="8"/>
      <c r="AI185" s="10"/>
    </row>
    <row r="186" spans="2:35" ht="15.75" hidden="1">
      <c r="B186" s="692" t="s">
        <v>4925</v>
      </c>
      <c r="C186" s="692" t="s">
        <v>903</v>
      </c>
      <c r="D186" s="9"/>
      <c r="E186" s="692" t="s">
        <v>691</v>
      </c>
      <c r="F186" s="692" t="s">
        <v>1992</v>
      </c>
      <c r="G186" s="692" t="s">
        <v>1913</v>
      </c>
      <c r="H186" s="692" t="s">
        <v>111</v>
      </c>
      <c r="I186" s="692" t="s">
        <v>6</v>
      </c>
      <c r="J186" s="692" t="s">
        <v>110</v>
      </c>
      <c r="K186" s="692" t="s">
        <v>4</v>
      </c>
      <c r="L186" s="692" t="s">
        <v>3</v>
      </c>
      <c r="M186" s="692" t="str">
        <f t="shared" si="2"/>
        <v>4-02-01</v>
      </c>
      <c r="N186" s="692"/>
      <c r="O186" s="692"/>
      <c r="P186" s="692"/>
      <c r="Q186" s="762" t="s">
        <v>1914</v>
      </c>
      <c r="R186" s="762" t="s">
        <v>1052</v>
      </c>
      <c r="S186" s="762" t="s">
        <v>5920</v>
      </c>
      <c r="T186" s="762">
        <v>22374454</v>
      </c>
      <c r="U186" s="762"/>
      <c r="V186" s="762" t="s">
        <v>1915</v>
      </c>
      <c r="W186" s="762" t="s">
        <v>3398</v>
      </c>
      <c r="X186" s="692"/>
      <c r="Y186" s="761"/>
      <c r="Z186" s="10"/>
      <c r="AA186" s="10"/>
      <c r="AB186" s="10"/>
      <c r="AC186" s="8"/>
      <c r="AD186" s="8"/>
      <c r="AE186" s="8"/>
      <c r="AF186" s="8"/>
      <c r="AG186" s="761"/>
      <c r="AH186" s="8"/>
      <c r="AI186" s="10"/>
    </row>
    <row r="187" spans="2:35" ht="15.75">
      <c r="B187" s="692" t="s">
        <v>2883</v>
      </c>
      <c r="C187" s="692" t="s">
        <v>533</v>
      </c>
      <c r="D187" s="9"/>
      <c r="E187" s="692" t="s">
        <v>700</v>
      </c>
      <c r="F187" s="692" t="s">
        <v>1992</v>
      </c>
      <c r="G187" s="692" t="s">
        <v>1935</v>
      </c>
      <c r="H187" s="692" t="s">
        <v>812</v>
      </c>
      <c r="I187" s="692" t="s">
        <v>4</v>
      </c>
      <c r="J187" s="692" t="s">
        <v>80</v>
      </c>
      <c r="K187" s="692" t="s">
        <v>3</v>
      </c>
      <c r="L187" s="692" t="s">
        <v>16</v>
      </c>
      <c r="M187" s="692" t="str">
        <f t="shared" si="2"/>
        <v>6-01-11</v>
      </c>
      <c r="N187" s="692"/>
      <c r="O187" s="692"/>
      <c r="P187" s="692"/>
      <c r="Q187" s="762" t="s">
        <v>746</v>
      </c>
      <c r="R187" s="762" t="s">
        <v>1052</v>
      </c>
      <c r="S187" s="762" t="s">
        <v>5491</v>
      </c>
      <c r="T187" s="762">
        <v>26420289</v>
      </c>
      <c r="U187" s="762">
        <v>87772105</v>
      </c>
      <c r="V187" s="762" t="s">
        <v>4542</v>
      </c>
      <c r="W187" s="762" t="s">
        <v>3415</v>
      </c>
      <c r="X187" s="692"/>
      <c r="Y187" s="761"/>
      <c r="Z187" s="10"/>
      <c r="AA187" s="10"/>
      <c r="AB187" s="10"/>
      <c r="AC187" s="8"/>
      <c r="AD187" s="8"/>
      <c r="AE187" s="8"/>
      <c r="AF187" s="8"/>
      <c r="AG187" s="761" t="s">
        <v>4493</v>
      </c>
      <c r="AH187" s="8"/>
      <c r="AI187" s="10"/>
    </row>
    <row r="188" spans="2:35" ht="15.75" hidden="1">
      <c r="B188" s="692" t="s">
        <v>2190</v>
      </c>
      <c r="C188" s="692" t="s">
        <v>1120</v>
      </c>
      <c r="D188" s="9"/>
      <c r="E188" s="692" t="s">
        <v>1164</v>
      </c>
      <c r="F188" s="692" t="s">
        <v>1992</v>
      </c>
      <c r="G188" s="692" t="s">
        <v>3978</v>
      </c>
      <c r="H188" s="692" t="s">
        <v>4394</v>
      </c>
      <c r="I188" s="692" t="s">
        <v>5</v>
      </c>
      <c r="J188" s="692" t="s">
        <v>41</v>
      </c>
      <c r="K188" s="692" t="s">
        <v>3</v>
      </c>
      <c r="L188" s="692" t="s">
        <v>8</v>
      </c>
      <c r="M188" s="692" t="str">
        <f t="shared" si="2"/>
        <v>1-01-06</v>
      </c>
      <c r="N188" s="692"/>
      <c r="O188" s="692"/>
      <c r="P188" s="692"/>
      <c r="Q188" s="762" t="s">
        <v>729</v>
      </c>
      <c r="R188" s="762" t="s">
        <v>1052</v>
      </c>
      <c r="S188" s="762" t="s">
        <v>5963</v>
      </c>
      <c r="T188" s="762">
        <v>40364554</v>
      </c>
      <c r="U188" s="762">
        <v>22270211</v>
      </c>
      <c r="V188" s="762" t="s">
        <v>1926</v>
      </c>
      <c r="W188" s="762" t="s">
        <v>3416</v>
      </c>
      <c r="X188" s="692"/>
      <c r="Y188" s="761"/>
      <c r="Z188" s="10"/>
      <c r="AA188" s="10"/>
      <c r="AB188" s="10"/>
      <c r="AC188" s="8"/>
      <c r="AD188" s="8"/>
      <c r="AE188" s="8"/>
      <c r="AF188" s="8"/>
      <c r="AG188" s="761"/>
      <c r="AH188" s="8"/>
      <c r="AI188" s="10"/>
    </row>
    <row r="189" spans="2:35" ht="15.75" hidden="1">
      <c r="B189" s="692" t="s">
        <v>2572</v>
      </c>
      <c r="C189" s="692" t="s">
        <v>381</v>
      </c>
      <c r="D189" s="9"/>
      <c r="E189" s="692" t="s">
        <v>702</v>
      </c>
      <c r="F189" s="692" t="s">
        <v>1992</v>
      </c>
      <c r="G189" s="692" t="s">
        <v>3517</v>
      </c>
      <c r="H189" s="692" t="s">
        <v>128</v>
      </c>
      <c r="I189" s="692" t="s">
        <v>3</v>
      </c>
      <c r="J189" s="692" t="s">
        <v>56</v>
      </c>
      <c r="K189" s="692" t="s">
        <v>3</v>
      </c>
      <c r="L189" s="692" t="s">
        <v>4</v>
      </c>
      <c r="M189" s="692" t="str">
        <f t="shared" si="2"/>
        <v>3-01-02</v>
      </c>
      <c r="N189" s="692"/>
      <c r="O189" s="692"/>
      <c r="P189" s="692"/>
      <c r="Q189" s="762" t="s">
        <v>707</v>
      </c>
      <c r="R189" s="762" t="s">
        <v>1052</v>
      </c>
      <c r="S189" s="762" t="s">
        <v>5900</v>
      </c>
      <c r="T189" s="762">
        <v>25520931</v>
      </c>
      <c r="U189" s="762">
        <v>25510456</v>
      </c>
      <c r="V189" s="762" t="s">
        <v>1884</v>
      </c>
      <c r="W189" s="762" t="s">
        <v>3417</v>
      </c>
      <c r="X189" s="692"/>
      <c r="Y189" s="761"/>
      <c r="Z189" s="10"/>
      <c r="AA189" s="10"/>
      <c r="AB189" s="10"/>
      <c r="AC189" s="8"/>
      <c r="AD189" s="8"/>
      <c r="AE189" s="8"/>
      <c r="AF189" s="8"/>
      <c r="AG189" s="761"/>
      <c r="AH189" s="8"/>
      <c r="AI189" s="10"/>
    </row>
    <row r="190" spans="2:35" ht="15.75" hidden="1">
      <c r="B190" s="692" t="s">
        <v>1798</v>
      </c>
      <c r="C190" s="692" t="s">
        <v>1102</v>
      </c>
      <c r="D190" s="9"/>
      <c r="E190" s="692" t="s">
        <v>3967</v>
      </c>
      <c r="F190" s="692" t="s">
        <v>1992</v>
      </c>
      <c r="G190" s="692" t="s">
        <v>3979</v>
      </c>
      <c r="H190" s="692" t="s">
        <v>798</v>
      </c>
      <c r="I190" s="692" t="s">
        <v>3</v>
      </c>
      <c r="J190" s="692" t="s">
        <v>126</v>
      </c>
      <c r="K190" s="692" t="s">
        <v>4</v>
      </c>
      <c r="L190" s="692" t="s">
        <v>3</v>
      </c>
      <c r="M190" s="692" t="str">
        <f t="shared" si="2"/>
        <v>5-02-01</v>
      </c>
      <c r="N190" s="692"/>
      <c r="O190" s="692"/>
      <c r="P190" s="692"/>
      <c r="Q190" s="762" t="s">
        <v>3988</v>
      </c>
      <c r="R190" s="762" t="s">
        <v>1052</v>
      </c>
      <c r="S190" s="762" t="s">
        <v>4018</v>
      </c>
      <c r="T190" s="762">
        <v>26864838</v>
      </c>
      <c r="U190" s="762"/>
      <c r="V190" s="762" t="s">
        <v>4019</v>
      </c>
      <c r="W190" s="762" t="s">
        <v>4020</v>
      </c>
      <c r="X190" s="692"/>
      <c r="Y190" s="761"/>
      <c r="Z190" s="10"/>
      <c r="AA190" s="10"/>
      <c r="AB190" s="10"/>
      <c r="AC190" s="8"/>
      <c r="AD190" s="8"/>
      <c r="AE190" s="8"/>
      <c r="AF190" s="8"/>
      <c r="AG190" s="761"/>
      <c r="AH190" s="8"/>
      <c r="AI190" s="10"/>
    </row>
    <row r="191" spans="2:35" ht="15.75" hidden="1">
      <c r="B191" s="692" t="s">
        <v>1830</v>
      </c>
      <c r="C191" s="692" t="s">
        <v>1138</v>
      </c>
      <c r="D191" s="9"/>
      <c r="E191" s="692" t="s">
        <v>704</v>
      </c>
      <c r="F191" s="692" t="s">
        <v>1992</v>
      </c>
      <c r="G191" s="692" t="s">
        <v>1924</v>
      </c>
      <c r="H191" s="692" t="s">
        <v>111</v>
      </c>
      <c r="I191" s="692" t="s">
        <v>9</v>
      </c>
      <c r="J191" s="692" t="s">
        <v>110</v>
      </c>
      <c r="K191" s="692" t="s">
        <v>9</v>
      </c>
      <c r="L191" s="692" t="s">
        <v>3</v>
      </c>
      <c r="M191" s="692" t="str">
        <f t="shared" si="2"/>
        <v>4-07-01</v>
      </c>
      <c r="N191" s="692"/>
      <c r="O191" s="692"/>
      <c r="P191" s="692"/>
      <c r="Q191" s="762" t="s">
        <v>1925</v>
      </c>
      <c r="R191" s="762" t="s">
        <v>1052</v>
      </c>
      <c r="S191" s="762" t="s">
        <v>4746</v>
      </c>
      <c r="T191" s="762">
        <v>22934863</v>
      </c>
      <c r="U191" s="762">
        <v>22393567</v>
      </c>
      <c r="V191" s="762" t="s">
        <v>5492</v>
      </c>
      <c r="W191" s="762" t="s">
        <v>3418</v>
      </c>
      <c r="X191" s="692"/>
      <c r="Y191" s="761"/>
      <c r="Z191" s="10"/>
      <c r="AA191" s="10"/>
      <c r="AB191" s="10"/>
      <c r="AC191" s="8"/>
      <c r="AD191" s="8"/>
      <c r="AE191" s="8"/>
      <c r="AF191" s="8"/>
      <c r="AG191" s="761"/>
      <c r="AH191" s="8"/>
      <c r="AI191" s="10"/>
    </row>
    <row r="192" spans="2:35" ht="15.75" hidden="1">
      <c r="B192" s="692" t="s">
        <v>3143</v>
      </c>
      <c r="C192" s="692" t="s">
        <v>254</v>
      </c>
      <c r="D192" s="9"/>
      <c r="E192" s="692" t="s">
        <v>705</v>
      </c>
      <c r="F192" s="692" t="s">
        <v>1992</v>
      </c>
      <c r="G192" s="692" t="s">
        <v>1911</v>
      </c>
      <c r="H192" s="692" t="s">
        <v>111</v>
      </c>
      <c r="I192" s="692" t="s">
        <v>4</v>
      </c>
      <c r="J192" s="692" t="s">
        <v>110</v>
      </c>
      <c r="K192" s="692" t="s">
        <v>3</v>
      </c>
      <c r="L192" s="692" t="s">
        <v>5</v>
      </c>
      <c r="M192" s="692" t="str">
        <f t="shared" si="2"/>
        <v>4-01-03</v>
      </c>
      <c r="N192" s="692"/>
      <c r="O192" s="692"/>
      <c r="P192" s="692"/>
      <c r="Q192" s="762" t="s">
        <v>211</v>
      </c>
      <c r="R192" s="762" t="s">
        <v>1052</v>
      </c>
      <c r="S192" s="762" t="s">
        <v>3419</v>
      </c>
      <c r="T192" s="762">
        <v>22659026</v>
      </c>
      <c r="U192" s="762">
        <v>22659026</v>
      </c>
      <c r="V192" s="762" t="s">
        <v>1912</v>
      </c>
      <c r="W192" s="762" t="s">
        <v>5493</v>
      </c>
      <c r="X192" s="692"/>
      <c r="Y192" s="761"/>
      <c r="Z192" s="10"/>
      <c r="AA192" s="10"/>
      <c r="AB192" s="10"/>
      <c r="AC192" s="8"/>
      <c r="AD192" s="8"/>
      <c r="AE192" s="8"/>
      <c r="AF192" s="8"/>
      <c r="AG192" s="761"/>
      <c r="AH192" s="8"/>
      <c r="AI192" s="10"/>
    </row>
    <row r="193" spans="2:35" ht="15.75" hidden="1">
      <c r="B193" s="692" t="s">
        <v>732</v>
      </c>
      <c r="C193" s="692" t="s">
        <v>899</v>
      </c>
      <c r="D193" s="9"/>
      <c r="E193" s="692" t="s">
        <v>3519</v>
      </c>
      <c r="F193" s="692" t="s">
        <v>1992</v>
      </c>
      <c r="G193" s="692" t="s">
        <v>3521</v>
      </c>
      <c r="H193" s="692" t="s">
        <v>81</v>
      </c>
      <c r="I193" s="692" t="s">
        <v>3</v>
      </c>
      <c r="J193" s="692" t="s">
        <v>80</v>
      </c>
      <c r="K193" s="692" t="s">
        <v>3</v>
      </c>
      <c r="L193" s="692" t="s">
        <v>11</v>
      </c>
      <c r="M193" s="692" t="str">
        <f t="shared" si="2"/>
        <v>6-01-08</v>
      </c>
      <c r="N193" s="692"/>
      <c r="O193" s="692"/>
      <c r="P193" s="692"/>
      <c r="Q193" s="762" t="s">
        <v>3520</v>
      </c>
      <c r="R193" s="762" t="s">
        <v>1052</v>
      </c>
      <c r="S193" s="762" t="s">
        <v>5973</v>
      </c>
      <c r="T193" s="762">
        <v>26633839</v>
      </c>
      <c r="U193" s="762">
        <v>26632505</v>
      </c>
      <c r="V193" s="762" t="s">
        <v>4747</v>
      </c>
      <c r="W193" s="762" t="s">
        <v>3732</v>
      </c>
      <c r="X193" s="692"/>
      <c r="Y193" s="761"/>
      <c r="Z193" s="10"/>
      <c r="AA193" s="10"/>
      <c r="AB193" s="10"/>
      <c r="AC193" s="8"/>
      <c r="AD193" s="8"/>
      <c r="AE193" s="8"/>
      <c r="AF193" s="8"/>
      <c r="AG193" s="761"/>
      <c r="AH193" s="8"/>
      <c r="AI193" s="10"/>
    </row>
    <row r="194" spans="2:35" ht="15.75">
      <c r="B194" s="692" t="s">
        <v>484</v>
      </c>
      <c r="C194" s="692" t="s">
        <v>364</v>
      </c>
      <c r="D194" s="9"/>
      <c r="E194" s="692" t="s">
        <v>714</v>
      </c>
      <c r="F194" s="692" t="s">
        <v>1992</v>
      </c>
      <c r="G194" s="692" t="s">
        <v>5494</v>
      </c>
      <c r="H194" s="692" t="s">
        <v>4395</v>
      </c>
      <c r="I194" s="692" t="s">
        <v>6</v>
      </c>
      <c r="J194" s="692" t="s">
        <v>41</v>
      </c>
      <c r="K194" s="692" t="s">
        <v>12</v>
      </c>
      <c r="L194" s="692" t="s">
        <v>4</v>
      </c>
      <c r="M194" s="692" t="str">
        <f t="shared" si="2"/>
        <v>1-09-02</v>
      </c>
      <c r="N194" s="692"/>
      <c r="O194" s="692"/>
      <c r="P194" s="692"/>
      <c r="Q194" s="762" t="s">
        <v>89</v>
      </c>
      <c r="R194" s="762" t="s">
        <v>1052</v>
      </c>
      <c r="S194" s="762" t="s">
        <v>1920</v>
      </c>
      <c r="T194" s="762">
        <v>22038128</v>
      </c>
      <c r="U194" s="762">
        <v>22826512</v>
      </c>
      <c r="V194" s="762" t="s">
        <v>5938</v>
      </c>
      <c r="W194" s="762" t="s">
        <v>3432</v>
      </c>
      <c r="X194" s="692"/>
      <c r="Y194" s="761"/>
      <c r="Z194" s="10"/>
      <c r="AA194" s="10"/>
      <c r="AB194" s="10"/>
      <c r="AC194" s="8"/>
      <c r="AD194" s="8"/>
      <c r="AE194" s="8"/>
      <c r="AF194" s="8"/>
      <c r="AG194" s="761" t="s">
        <v>4493</v>
      </c>
      <c r="AH194" s="8"/>
      <c r="AI194" s="10"/>
    </row>
    <row r="195" spans="2:35" ht="15.75" hidden="1">
      <c r="B195" s="692" t="s">
        <v>461</v>
      </c>
      <c r="C195" s="692" t="s">
        <v>162</v>
      </c>
      <c r="D195" s="9"/>
      <c r="E195" s="692" t="s">
        <v>320</v>
      </c>
      <c r="F195" s="692" t="s">
        <v>1992</v>
      </c>
      <c r="G195" s="692" t="s">
        <v>3694</v>
      </c>
      <c r="H195" s="692" t="s">
        <v>125</v>
      </c>
      <c r="I195" s="692" t="s">
        <v>5</v>
      </c>
      <c r="J195" s="692" t="s">
        <v>126</v>
      </c>
      <c r="K195" s="692" t="s">
        <v>5</v>
      </c>
      <c r="L195" s="692" t="s">
        <v>11</v>
      </c>
      <c r="M195" s="692" t="str">
        <f t="shared" ref="M195:M258" si="3">CONCATENATE(J195,"-",K195,"-",L195)</f>
        <v>5-03-08</v>
      </c>
      <c r="N195" s="692"/>
      <c r="O195" s="692"/>
      <c r="P195" s="692"/>
      <c r="Q195" s="762" t="s">
        <v>3697</v>
      </c>
      <c r="R195" s="762" t="s">
        <v>1052</v>
      </c>
      <c r="S195" s="762" t="s">
        <v>5943</v>
      </c>
      <c r="T195" s="762">
        <v>26545042</v>
      </c>
      <c r="U195" s="762">
        <v>26545044</v>
      </c>
      <c r="V195" s="762" t="s">
        <v>3733</v>
      </c>
      <c r="W195" s="762" t="s">
        <v>3734</v>
      </c>
      <c r="X195" s="692"/>
      <c r="Y195" s="761"/>
      <c r="Z195" s="10"/>
      <c r="AA195" s="10"/>
      <c r="AB195" s="10"/>
      <c r="AC195" s="8"/>
      <c r="AD195" s="8"/>
      <c r="AE195" s="8"/>
      <c r="AF195" s="8"/>
      <c r="AG195" s="761"/>
      <c r="AH195" s="8"/>
      <c r="AI195" s="10"/>
    </row>
    <row r="196" spans="2:35" ht="15.75" hidden="1">
      <c r="B196" s="692" t="s">
        <v>1836</v>
      </c>
      <c r="C196" s="692" t="s">
        <v>288</v>
      </c>
      <c r="D196" s="9"/>
      <c r="E196" s="692" t="s">
        <v>313</v>
      </c>
      <c r="F196" s="692" t="s">
        <v>1992</v>
      </c>
      <c r="G196" s="692" t="s">
        <v>4704</v>
      </c>
      <c r="H196" s="692" t="s">
        <v>750</v>
      </c>
      <c r="I196" s="692" t="s">
        <v>6</v>
      </c>
      <c r="J196" s="692" t="s">
        <v>68</v>
      </c>
      <c r="K196" s="692" t="s">
        <v>8</v>
      </c>
      <c r="L196" s="692" t="s">
        <v>4</v>
      </c>
      <c r="M196" s="692" t="str">
        <f t="shared" si="3"/>
        <v>7-06-02</v>
      </c>
      <c r="N196" s="692"/>
      <c r="O196" s="692"/>
      <c r="P196" s="692"/>
      <c r="Q196" s="762" t="s">
        <v>217</v>
      </c>
      <c r="R196" s="762" t="s">
        <v>1052</v>
      </c>
      <c r="S196" s="762" t="s">
        <v>4936</v>
      </c>
      <c r="T196" s="762">
        <v>40003554</v>
      </c>
      <c r="U196" s="762"/>
      <c r="V196" s="762" t="s">
        <v>5495</v>
      </c>
      <c r="W196" s="762" t="s">
        <v>4544</v>
      </c>
      <c r="X196" s="692"/>
      <c r="Y196" s="761"/>
      <c r="Z196" s="10"/>
      <c r="AA196" s="10"/>
      <c r="AB196" s="10"/>
      <c r="AC196" s="8"/>
      <c r="AD196" s="8"/>
      <c r="AE196" s="8"/>
      <c r="AF196" s="8"/>
      <c r="AG196" s="761"/>
      <c r="AH196" s="8"/>
      <c r="AI196" s="10"/>
    </row>
    <row r="197" spans="2:35" ht="15.75" hidden="1">
      <c r="B197" s="692" t="s">
        <v>1889</v>
      </c>
      <c r="C197" s="692" t="s">
        <v>505</v>
      </c>
      <c r="D197" s="9"/>
      <c r="E197" s="692" t="s">
        <v>715</v>
      </c>
      <c r="F197" s="692" t="s">
        <v>1992</v>
      </c>
      <c r="G197" s="692" t="s">
        <v>4301</v>
      </c>
      <c r="H197" s="692" t="s">
        <v>4395</v>
      </c>
      <c r="I197" s="692" t="s">
        <v>5</v>
      </c>
      <c r="J197" s="692" t="s">
        <v>41</v>
      </c>
      <c r="K197" s="692" t="s">
        <v>4</v>
      </c>
      <c r="L197" s="692" t="s">
        <v>5</v>
      </c>
      <c r="M197" s="692" t="str">
        <f t="shared" si="3"/>
        <v>1-02-03</v>
      </c>
      <c r="N197" s="692"/>
      <c r="O197" s="692"/>
      <c r="P197" s="692"/>
      <c r="Q197" s="762" t="s">
        <v>789</v>
      </c>
      <c r="R197" s="762" t="s">
        <v>1052</v>
      </c>
      <c r="S197" s="762" t="s">
        <v>3735</v>
      </c>
      <c r="T197" s="762">
        <v>22886113</v>
      </c>
      <c r="U197" s="762">
        <v>22281178</v>
      </c>
      <c r="V197" s="762" t="s">
        <v>4937</v>
      </c>
      <c r="W197" s="762" t="s">
        <v>3736</v>
      </c>
      <c r="X197" s="692"/>
      <c r="Y197" s="761"/>
      <c r="Z197" s="10"/>
      <c r="AA197" s="10"/>
      <c r="AB197" s="10"/>
      <c r="AC197" s="8"/>
      <c r="AD197" s="8"/>
      <c r="AE197" s="8"/>
      <c r="AF197" s="8"/>
      <c r="AG197" s="761"/>
      <c r="AH197" s="8"/>
      <c r="AI197" s="10"/>
    </row>
    <row r="198" spans="2:35" ht="15.75">
      <c r="B198" s="692" t="s">
        <v>4695</v>
      </c>
      <c r="C198" s="692" t="s">
        <v>382</v>
      </c>
      <c r="D198" s="9"/>
      <c r="E198" s="692" t="s">
        <v>3532</v>
      </c>
      <c r="F198" s="692" t="s">
        <v>1992</v>
      </c>
      <c r="G198" s="692" t="s">
        <v>3533</v>
      </c>
      <c r="H198" s="692" t="s">
        <v>4395</v>
      </c>
      <c r="I198" s="692" t="s">
        <v>5</v>
      </c>
      <c r="J198" s="692" t="s">
        <v>41</v>
      </c>
      <c r="K198" s="692" t="s">
        <v>4</v>
      </c>
      <c r="L198" s="692" t="s">
        <v>5</v>
      </c>
      <c r="M198" s="692" t="str">
        <f t="shared" si="3"/>
        <v>1-02-03</v>
      </c>
      <c r="N198" s="692"/>
      <c r="O198" s="692"/>
      <c r="P198" s="692"/>
      <c r="Q198" s="762" t="s">
        <v>4325</v>
      </c>
      <c r="R198" s="762" t="s">
        <v>1052</v>
      </c>
      <c r="S198" s="762" t="s">
        <v>2133</v>
      </c>
      <c r="T198" s="762">
        <v>22152393</v>
      </c>
      <c r="U198" s="762">
        <v>22152398</v>
      </c>
      <c r="V198" s="762" t="s">
        <v>4938</v>
      </c>
      <c r="W198" s="762" t="s">
        <v>3261</v>
      </c>
      <c r="X198" s="692"/>
      <c r="Y198" s="761"/>
      <c r="Z198" s="10"/>
      <c r="AA198" s="10"/>
      <c r="AB198" s="10"/>
      <c r="AC198" s="8"/>
      <c r="AD198" s="8"/>
      <c r="AE198" s="8"/>
      <c r="AF198" s="8"/>
      <c r="AG198" s="761" t="s">
        <v>4493</v>
      </c>
      <c r="AH198" s="8"/>
      <c r="AI198" s="10"/>
    </row>
    <row r="199" spans="2:35" ht="15.75" hidden="1">
      <c r="B199" s="692" t="s">
        <v>165</v>
      </c>
      <c r="C199" s="692" t="s">
        <v>1136</v>
      </c>
      <c r="D199" s="9"/>
      <c r="E199" s="692" t="s">
        <v>3534</v>
      </c>
      <c r="F199" s="692" t="s">
        <v>1992</v>
      </c>
      <c r="G199" s="692" t="s">
        <v>4501</v>
      </c>
      <c r="H199" s="692" t="s">
        <v>66</v>
      </c>
      <c r="I199" s="692" t="s">
        <v>6</v>
      </c>
      <c r="J199" s="692" t="s">
        <v>43</v>
      </c>
      <c r="K199" s="692" t="s">
        <v>3</v>
      </c>
      <c r="L199" s="692" t="s">
        <v>4</v>
      </c>
      <c r="M199" s="692" t="str">
        <f t="shared" si="3"/>
        <v>2-01-02</v>
      </c>
      <c r="N199" s="692"/>
      <c r="O199" s="692"/>
      <c r="P199" s="692"/>
      <c r="Q199" s="762" t="s">
        <v>3535</v>
      </c>
      <c r="R199" s="762" t="s">
        <v>1052</v>
      </c>
      <c r="S199" s="762" t="s">
        <v>3737</v>
      </c>
      <c r="T199" s="762">
        <v>24334736</v>
      </c>
      <c r="U199" s="762">
        <v>24339892</v>
      </c>
      <c r="V199" s="762" t="s">
        <v>4939</v>
      </c>
      <c r="W199" s="762" t="s">
        <v>3738</v>
      </c>
      <c r="X199" s="692"/>
      <c r="Y199" s="761"/>
      <c r="Z199" s="10"/>
      <c r="AA199" s="10"/>
      <c r="AB199" s="10"/>
      <c r="AC199" s="8"/>
      <c r="AD199" s="8"/>
      <c r="AE199" s="8"/>
      <c r="AF199" s="8"/>
      <c r="AG199" s="761"/>
      <c r="AH199" s="8"/>
      <c r="AI199" s="10"/>
    </row>
    <row r="200" spans="2:35" ht="15.75" hidden="1">
      <c r="B200" s="692" t="s">
        <v>2892</v>
      </c>
      <c r="C200" s="692" t="s">
        <v>909</v>
      </c>
      <c r="D200" s="9"/>
      <c r="E200" s="692" t="s">
        <v>3695</v>
      </c>
      <c r="F200" s="692" t="s">
        <v>1992</v>
      </c>
      <c r="G200" s="692" t="s">
        <v>4502</v>
      </c>
      <c r="H200" s="692" t="s">
        <v>4395</v>
      </c>
      <c r="I200" s="692" t="s">
        <v>5</v>
      </c>
      <c r="J200" s="692" t="s">
        <v>41</v>
      </c>
      <c r="K200" s="692" t="s">
        <v>4</v>
      </c>
      <c r="L200" s="692" t="s">
        <v>5</v>
      </c>
      <c r="M200" s="692" t="str">
        <f t="shared" si="3"/>
        <v>1-02-03</v>
      </c>
      <c r="N200" s="692"/>
      <c r="O200" s="692"/>
      <c r="P200" s="692"/>
      <c r="Q200" s="762" t="s">
        <v>3698</v>
      </c>
      <c r="R200" s="762" t="s">
        <v>1052</v>
      </c>
      <c r="S200" s="762" t="s">
        <v>4940</v>
      </c>
      <c r="T200" s="762">
        <v>22280562</v>
      </c>
      <c r="U200" s="762">
        <v>22280562</v>
      </c>
      <c r="V200" s="762" t="s">
        <v>3739</v>
      </c>
      <c r="W200" s="762" t="s">
        <v>4364</v>
      </c>
      <c r="X200" s="692"/>
      <c r="Y200" s="761"/>
      <c r="Z200" s="10"/>
      <c r="AA200" s="10"/>
      <c r="AB200" s="10"/>
      <c r="AC200" s="8"/>
      <c r="AD200" s="8"/>
      <c r="AE200" s="8"/>
      <c r="AF200" s="8"/>
      <c r="AG200" s="761"/>
      <c r="AH200" s="8"/>
      <c r="AI200" s="10"/>
    </row>
    <row r="201" spans="2:35" ht="15.75" hidden="1">
      <c r="B201" s="692" t="s">
        <v>4314</v>
      </c>
      <c r="C201" s="692" t="s">
        <v>4313</v>
      </c>
      <c r="D201" s="9"/>
      <c r="E201" s="692" t="s">
        <v>3696</v>
      </c>
      <c r="F201" s="692" t="s">
        <v>1992</v>
      </c>
      <c r="G201" s="692" t="s">
        <v>3765</v>
      </c>
      <c r="H201" s="692" t="s">
        <v>4394</v>
      </c>
      <c r="I201" s="692" t="s">
        <v>5</v>
      </c>
      <c r="J201" s="692" t="s">
        <v>41</v>
      </c>
      <c r="K201" s="692" t="s">
        <v>3</v>
      </c>
      <c r="L201" s="692" t="s">
        <v>8</v>
      </c>
      <c r="M201" s="692" t="str">
        <f t="shared" si="3"/>
        <v>1-01-06</v>
      </c>
      <c r="N201" s="692"/>
      <c r="O201" s="692"/>
      <c r="P201" s="692"/>
      <c r="Q201" s="762" t="s">
        <v>729</v>
      </c>
      <c r="R201" s="762" t="s">
        <v>1052</v>
      </c>
      <c r="S201" s="762" t="s">
        <v>3740</v>
      </c>
      <c r="T201" s="762">
        <v>22140489</v>
      </c>
      <c r="U201" s="762"/>
      <c r="V201" s="762" t="s">
        <v>3741</v>
      </c>
      <c r="W201" s="762" t="s">
        <v>5926</v>
      </c>
      <c r="X201" s="692"/>
      <c r="Y201" s="761"/>
      <c r="Z201" s="10"/>
      <c r="AA201" s="10"/>
      <c r="AB201" s="10"/>
      <c r="AC201" s="8"/>
      <c r="AD201" s="8"/>
      <c r="AE201" s="8"/>
      <c r="AF201" s="8"/>
      <c r="AG201" s="761"/>
      <c r="AH201" s="8"/>
      <c r="AI201" s="10"/>
    </row>
    <row r="202" spans="2:35" ht="15.75" hidden="1">
      <c r="B202" s="692" t="s">
        <v>4693</v>
      </c>
      <c r="C202" s="692" t="s">
        <v>1744</v>
      </c>
      <c r="D202" s="9"/>
      <c r="E202" s="692" t="s">
        <v>3766</v>
      </c>
      <c r="F202" s="692" t="s">
        <v>1992</v>
      </c>
      <c r="G202" s="692" t="s">
        <v>3767</v>
      </c>
      <c r="H202" s="692" t="s">
        <v>298</v>
      </c>
      <c r="I202" s="692" t="s">
        <v>6</v>
      </c>
      <c r="J202" s="692" t="s">
        <v>126</v>
      </c>
      <c r="K202" s="692" t="s">
        <v>3</v>
      </c>
      <c r="L202" s="692" t="s">
        <v>3</v>
      </c>
      <c r="M202" s="692" t="str">
        <f t="shared" si="3"/>
        <v>5-01-01</v>
      </c>
      <c r="N202" s="692"/>
      <c r="O202" s="692"/>
      <c r="P202" s="692"/>
      <c r="Q202" s="762" t="s">
        <v>3768</v>
      </c>
      <c r="R202" s="762" t="s">
        <v>1052</v>
      </c>
      <c r="S202" s="762" t="s">
        <v>3769</v>
      </c>
      <c r="T202" s="762">
        <v>22662134</v>
      </c>
      <c r="U202" s="762">
        <v>22662134</v>
      </c>
      <c r="V202" s="762" t="s">
        <v>3770</v>
      </c>
      <c r="W202" s="762" t="s">
        <v>5893</v>
      </c>
      <c r="X202" s="692"/>
      <c r="Y202" s="761"/>
      <c r="Z202" s="10"/>
      <c r="AA202" s="10"/>
      <c r="AB202" s="10"/>
      <c r="AC202" s="8"/>
      <c r="AD202" s="8"/>
      <c r="AE202" s="8"/>
      <c r="AF202" s="8"/>
      <c r="AG202" s="761"/>
      <c r="AH202" s="8"/>
      <c r="AI202" s="10"/>
    </row>
    <row r="203" spans="2:35" ht="15.75" hidden="1">
      <c r="B203" s="692" t="s">
        <v>3975</v>
      </c>
      <c r="C203" s="692" t="s">
        <v>341</v>
      </c>
      <c r="D203" s="9"/>
      <c r="E203" s="692" t="s">
        <v>3536</v>
      </c>
      <c r="F203" s="692" t="s">
        <v>1992</v>
      </c>
      <c r="G203" s="692" t="s">
        <v>3537</v>
      </c>
      <c r="H203" s="692" t="s">
        <v>4394</v>
      </c>
      <c r="I203" s="692" t="s">
        <v>3</v>
      </c>
      <c r="J203" s="692" t="s">
        <v>41</v>
      </c>
      <c r="K203" s="692" t="s">
        <v>3</v>
      </c>
      <c r="L203" s="692" t="s">
        <v>16</v>
      </c>
      <c r="M203" s="692" t="str">
        <f t="shared" si="3"/>
        <v>1-01-11</v>
      </c>
      <c r="N203" s="692"/>
      <c r="O203" s="692"/>
      <c r="P203" s="692"/>
      <c r="Q203" s="762" t="s">
        <v>1723</v>
      </c>
      <c r="R203" s="762" t="s">
        <v>1052</v>
      </c>
      <c r="S203" s="762" t="s">
        <v>3771</v>
      </c>
      <c r="T203" s="762">
        <v>22266596</v>
      </c>
      <c r="U203" s="762">
        <v>22274907</v>
      </c>
      <c r="V203" s="762" t="s">
        <v>4021</v>
      </c>
      <c r="W203" s="762" t="s">
        <v>4022</v>
      </c>
      <c r="X203" s="692"/>
      <c r="Y203" s="761"/>
      <c r="Z203" s="10"/>
      <c r="AA203" s="10"/>
      <c r="AB203" s="10"/>
      <c r="AC203" s="8"/>
      <c r="AD203" s="8"/>
      <c r="AE203" s="8"/>
      <c r="AF203" s="8"/>
      <c r="AG203" s="761"/>
      <c r="AH203" s="8"/>
      <c r="AI203" s="10"/>
    </row>
    <row r="204" spans="2:35" ht="15.75" hidden="1">
      <c r="B204" s="692" t="s">
        <v>3348</v>
      </c>
      <c r="C204" s="692" t="s">
        <v>672</v>
      </c>
      <c r="D204" s="9"/>
      <c r="E204" s="692" t="s">
        <v>3538</v>
      </c>
      <c r="F204" s="692" t="s">
        <v>1992</v>
      </c>
      <c r="G204" s="692" t="s">
        <v>3539</v>
      </c>
      <c r="H204" s="692" t="s">
        <v>4396</v>
      </c>
      <c r="I204" s="692" t="s">
        <v>7</v>
      </c>
      <c r="J204" s="692" t="s">
        <v>41</v>
      </c>
      <c r="K204" s="692" t="s">
        <v>118</v>
      </c>
      <c r="L204" s="692" t="s">
        <v>3</v>
      </c>
      <c r="M204" s="692" t="str">
        <f t="shared" si="3"/>
        <v>1-14-01</v>
      </c>
      <c r="N204" s="692"/>
      <c r="O204" s="692"/>
      <c r="P204" s="692"/>
      <c r="Q204" s="762" t="s">
        <v>238</v>
      </c>
      <c r="R204" s="762" t="s">
        <v>1052</v>
      </c>
      <c r="S204" s="762" t="s">
        <v>3772</v>
      </c>
      <c r="T204" s="762">
        <v>22978043</v>
      </c>
      <c r="U204" s="762">
        <v>22416185</v>
      </c>
      <c r="V204" s="762" t="s">
        <v>4023</v>
      </c>
      <c r="W204" s="762" t="s">
        <v>3773</v>
      </c>
      <c r="X204" s="692"/>
      <c r="Y204" s="761"/>
      <c r="Z204" s="10"/>
      <c r="AA204" s="10"/>
      <c r="AB204" s="10"/>
      <c r="AC204" s="8"/>
      <c r="AD204" s="8"/>
      <c r="AE204" s="8"/>
      <c r="AF204" s="8"/>
      <c r="AG204" s="761"/>
      <c r="AH204" s="8"/>
      <c r="AI204" s="10"/>
    </row>
    <row r="205" spans="2:35" ht="15.75" hidden="1">
      <c r="B205" s="692" t="s">
        <v>5520</v>
      </c>
      <c r="C205" s="692" t="s">
        <v>5519</v>
      </c>
      <c r="D205" s="9"/>
      <c r="E205" s="692" t="s">
        <v>3540</v>
      </c>
      <c r="F205" s="692" t="s">
        <v>1992</v>
      </c>
      <c r="G205" s="692" t="s">
        <v>3542</v>
      </c>
      <c r="H205" s="692" t="s">
        <v>125</v>
      </c>
      <c r="I205" s="692" t="s">
        <v>8</v>
      </c>
      <c r="J205" s="692" t="s">
        <v>126</v>
      </c>
      <c r="K205" s="692" t="s">
        <v>7</v>
      </c>
      <c r="L205" s="692" t="s">
        <v>5</v>
      </c>
      <c r="M205" s="692" t="str">
        <f t="shared" si="3"/>
        <v>5-05-03</v>
      </c>
      <c r="N205" s="692"/>
      <c r="O205" s="692"/>
      <c r="P205" s="692"/>
      <c r="Q205" s="762" t="s">
        <v>3541</v>
      </c>
      <c r="R205" s="762" t="s">
        <v>1052</v>
      </c>
      <c r="S205" s="762" t="s">
        <v>3774</v>
      </c>
      <c r="T205" s="762">
        <v>26701064</v>
      </c>
      <c r="U205" s="762"/>
      <c r="V205" s="762" t="s">
        <v>4545</v>
      </c>
      <c r="W205" s="762" t="s">
        <v>4024</v>
      </c>
      <c r="X205" s="692"/>
      <c r="Y205" s="761"/>
      <c r="Z205" s="10"/>
      <c r="AA205" s="10"/>
      <c r="AB205" s="10"/>
      <c r="AC205" s="8"/>
      <c r="AD205" s="8"/>
      <c r="AE205" s="8"/>
      <c r="AF205" s="8"/>
      <c r="AG205" s="761"/>
      <c r="AH205" s="8"/>
      <c r="AI205" s="10"/>
    </row>
    <row r="206" spans="2:35" ht="15.75" hidden="1">
      <c r="B206" s="692" t="s">
        <v>626</v>
      </c>
      <c r="C206" s="692" t="s">
        <v>583</v>
      </c>
      <c r="D206" s="9"/>
      <c r="E206" s="692" t="s">
        <v>3968</v>
      </c>
      <c r="F206" s="692" t="s">
        <v>1992</v>
      </c>
      <c r="G206" s="692" t="s">
        <v>3980</v>
      </c>
      <c r="H206" s="692" t="s">
        <v>4395</v>
      </c>
      <c r="I206" s="692" t="s">
        <v>6</v>
      </c>
      <c r="J206" s="692" t="s">
        <v>41</v>
      </c>
      <c r="K206" s="692" t="s">
        <v>12</v>
      </c>
      <c r="L206" s="692" t="s">
        <v>7</v>
      </c>
      <c r="M206" s="692" t="str">
        <f t="shared" si="3"/>
        <v>1-09-05</v>
      </c>
      <c r="N206" s="692"/>
      <c r="O206" s="692"/>
      <c r="P206" s="692"/>
      <c r="Q206" s="762" t="s">
        <v>5496</v>
      </c>
      <c r="R206" s="762" t="s">
        <v>1052</v>
      </c>
      <c r="S206" s="762" t="s">
        <v>4748</v>
      </c>
      <c r="T206" s="762">
        <v>22821282</v>
      </c>
      <c r="U206" s="762"/>
      <c r="V206" s="762" t="s">
        <v>4025</v>
      </c>
      <c r="W206" s="762" t="s">
        <v>4026</v>
      </c>
      <c r="X206" s="692"/>
      <c r="Y206" s="761"/>
      <c r="Z206" s="10"/>
      <c r="AA206" s="10"/>
      <c r="AB206" s="10"/>
      <c r="AC206" s="8"/>
      <c r="AD206" s="8"/>
      <c r="AE206" s="8"/>
      <c r="AF206" s="8"/>
      <c r="AG206" s="761"/>
      <c r="AH206" s="8"/>
      <c r="AI206" s="10"/>
    </row>
    <row r="207" spans="2:35" ht="15.75" hidden="1">
      <c r="B207" s="692" t="s">
        <v>5471</v>
      </c>
      <c r="C207" s="692" t="s">
        <v>394</v>
      </c>
      <c r="D207" s="9"/>
      <c r="E207" s="692" t="s">
        <v>3969</v>
      </c>
      <c r="F207" s="692" t="s">
        <v>1992</v>
      </c>
      <c r="G207" s="692" t="s">
        <v>3981</v>
      </c>
      <c r="H207" s="692" t="s">
        <v>125</v>
      </c>
      <c r="I207" s="692" t="s">
        <v>5</v>
      </c>
      <c r="J207" s="692" t="s">
        <v>126</v>
      </c>
      <c r="K207" s="692" t="s">
        <v>5</v>
      </c>
      <c r="L207" s="692" t="s">
        <v>6</v>
      </c>
      <c r="M207" s="692" t="str">
        <f t="shared" si="3"/>
        <v>5-03-04</v>
      </c>
      <c r="N207" s="692"/>
      <c r="O207" s="692"/>
      <c r="P207" s="692"/>
      <c r="Q207" s="762" t="s">
        <v>804</v>
      </c>
      <c r="R207" s="762" t="s">
        <v>1052</v>
      </c>
      <c r="S207" s="762" t="s">
        <v>4027</v>
      </c>
      <c r="T207" s="762">
        <v>26536181</v>
      </c>
      <c r="U207" s="762">
        <v>26536181</v>
      </c>
      <c r="V207" s="762" t="s">
        <v>5924</v>
      </c>
      <c r="W207" s="762" t="s">
        <v>4028</v>
      </c>
      <c r="X207" s="692"/>
      <c r="Y207" s="761"/>
      <c r="Z207" s="10"/>
      <c r="AA207" s="10"/>
      <c r="AB207" s="10"/>
      <c r="AC207" s="8"/>
      <c r="AD207" s="8"/>
      <c r="AE207" s="8"/>
      <c r="AF207" s="8"/>
      <c r="AG207" s="761"/>
      <c r="AH207" s="8"/>
      <c r="AI207" s="10"/>
    </row>
    <row r="208" spans="2:35" ht="15.75" hidden="1">
      <c r="B208" s="692" t="s">
        <v>1794</v>
      </c>
      <c r="C208" s="692" t="s">
        <v>1739</v>
      </c>
      <c r="D208" s="9"/>
      <c r="E208" s="692" t="s">
        <v>3970</v>
      </c>
      <c r="F208" s="692" t="s">
        <v>1992</v>
      </c>
      <c r="G208" s="692" t="s">
        <v>4041</v>
      </c>
      <c r="H208" s="692" t="s">
        <v>4394</v>
      </c>
      <c r="I208" s="692" t="s">
        <v>5</v>
      </c>
      <c r="J208" s="692" t="s">
        <v>41</v>
      </c>
      <c r="K208" s="692" t="s">
        <v>70</v>
      </c>
      <c r="L208" s="692" t="s">
        <v>4</v>
      </c>
      <c r="M208" s="692" t="str">
        <f t="shared" si="3"/>
        <v>1-18-02</v>
      </c>
      <c r="N208" s="692"/>
      <c r="O208" s="692"/>
      <c r="P208" s="692"/>
      <c r="Q208" s="762" t="s">
        <v>3989</v>
      </c>
      <c r="R208" s="762" t="s">
        <v>1052</v>
      </c>
      <c r="S208" s="762" t="s">
        <v>4941</v>
      </c>
      <c r="T208" s="762">
        <v>22734271</v>
      </c>
      <c r="U208" s="762">
        <v>22733414</v>
      </c>
      <c r="V208" s="762" t="s">
        <v>4029</v>
      </c>
      <c r="W208" s="762" t="s">
        <v>4030</v>
      </c>
      <c r="X208" s="692"/>
      <c r="Y208" s="761"/>
      <c r="Z208" s="10"/>
      <c r="AA208" s="10"/>
      <c r="AB208" s="10"/>
      <c r="AC208" s="8"/>
      <c r="AD208" s="8"/>
      <c r="AE208" s="8"/>
      <c r="AF208" s="8"/>
      <c r="AG208" s="761"/>
      <c r="AH208" s="8"/>
      <c r="AI208" s="10"/>
    </row>
    <row r="209" spans="2:35" ht="15.75" hidden="1">
      <c r="B209" s="692" t="s">
        <v>3517</v>
      </c>
      <c r="C209" s="692" t="s">
        <v>702</v>
      </c>
      <c r="D209" s="9"/>
      <c r="E209" s="692" t="s">
        <v>3971</v>
      </c>
      <c r="F209" s="692" t="s">
        <v>1992</v>
      </c>
      <c r="G209" s="692" t="s">
        <v>3982</v>
      </c>
      <c r="H209" s="692" t="s">
        <v>109</v>
      </c>
      <c r="I209" s="692" t="s">
        <v>5</v>
      </c>
      <c r="J209" s="692" t="s">
        <v>110</v>
      </c>
      <c r="K209" s="692" t="s">
        <v>13</v>
      </c>
      <c r="L209" s="692" t="s">
        <v>3</v>
      </c>
      <c r="M209" s="692" t="str">
        <f t="shared" si="3"/>
        <v>4-10-01</v>
      </c>
      <c r="N209" s="692"/>
      <c r="O209" s="692"/>
      <c r="P209" s="692"/>
      <c r="Q209" s="762" t="s">
        <v>453</v>
      </c>
      <c r="R209" s="762" t="s">
        <v>1052</v>
      </c>
      <c r="S209" s="762" t="s">
        <v>4749</v>
      </c>
      <c r="T209" s="762">
        <v>27665737</v>
      </c>
      <c r="U209" s="762">
        <v>27665737</v>
      </c>
      <c r="V209" s="762" t="s">
        <v>4365</v>
      </c>
      <c r="W209" s="762" t="s">
        <v>4366</v>
      </c>
      <c r="X209" s="692"/>
      <c r="Y209" s="761"/>
      <c r="Z209" s="10"/>
      <c r="AA209" s="10"/>
      <c r="AB209" s="10"/>
      <c r="AC209" s="8"/>
      <c r="AD209" s="8"/>
      <c r="AE209" s="8"/>
      <c r="AF209" s="8"/>
      <c r="AG209" s="761"/>
      <c r="AH209" s="8"/>
      <c r="AI209" s="10"/>
    </row>
    <row r="210" spans="2:35" ht="15.75">
      <c r="B210" s="692" t="s">
        <v>2031</v>
      </c>
      <c r="C210" s="692" t="s">
        <v>1108</v>
      </c>
      <c r="D210" s="9"/>
      <c r="E210" s="692" t="s">
        <v>3972</v>
      </c>
      <c r="F210" s="692" t="s">
        <v>1992</v>
      </c>
      <c r="G210" s="692" t="s">
        <v>3983</v>
      </c>
      <c r="H210" s="692" t="s">
        <v>798</v>
      </c>
      <c r="I210" s="692" t="s">
        <v>8</v>
      </c>
      <c r="J210" s="692" t="s">
        <v>126</v>
      </c>
      <c r="K210" s="692" t="s">
        <v>4</v>
      </c>
      <c r="L210" s="692" t="s">
        <v>8</v>
      </c>
      <c r="M210" s="692" t="str">
        <f t="shared" si="3"/>
        <v>5-02-06</v>
      </c>
      <c r="N210" s="692"/>
      <c r="O210" s="692"/>
      <c r="P210" s="692"/>
      <c r="Q210" s="762" t="s">
        <v>800</v>
      </c>
      <c r="R210" s="762" t="s">
        <v>1052</v>
      </c>
      <c r="S210" s="762" t="s">
        <v>4750</v>
      </c>
      <c r="T210" s="762">
        <v>26821213</v>
      </c>
      <c r="U210" s="762">
        <v>26568075</v>
      </c>
      <c r="V210" s="762" t="s">
        <v>5940</v>
      </c>
      <c r="W210" s="762" t="s">
        <v>4367</v>
      </c>
      <c r="X210" s="692"/>
      <c r="Y210" s="761"/>
      <c r="Z210" s="10"/>
      <c r="AA210" s="10"/>
      <c r="AB210" s="10"/>
      <c r="AC210" s="8"/>
      <c r="AD210" s="8"/>
      <c r="AE210" s="8"/>
      <c r="AF210" s="8"/>
      <c r="AG210" s="761" t="s">
        <v>4493</v>
      </c>
      <c r="AH210" s="8"/>
      <c r="AI210" s="10"/>
    </row>
    <row r="211" spans="2:35" ht="15.75" hidden="1">
      <c r="B211" s="692" t="s">
        <v>5717</v>
      </c>
      <c r="C211" s="692" t="s">
        <v>270</v>
      </c>
      <c r="D211" s="9"/>
      <c r="E211" s="692" t="s">
        <v>4302</v>
      </c>
      <c r="F211" s="692" t="s">
        <v>1992</v>
      </c>
      <c r="G211" s="692" t="s">
        <v>4303</v>
      </c>
      <c r="H211" s="692" t="s">
        <v>125</v>
      </c>
      <c r="I211" s="692" t="s">
        <v>5</v>
      </c>
      <c r="J211" s="692" t="s">
        <v>126</v>
      </c>
      <c r="K211" s="692" t="s">
        <v>5</v>
      </c>
      <c r="L211" s="692" t="s">
        <v>12</v>
      </c>
      <c r="M211" s="692" t="str">
        <f t="shared" si="3"/>
        <v>5-03-09</v>
      </c>
      <c r="N211" s="692"/>
      <c r="O211" s="692"/>
      <c r="P211" s="692"/>
      <c r="Q211" s="762" t="s">
        <v>4751</v>
      </c>
      <c r="R211" s="762" t="s">
        <v>1052</v>
      </c>
      <c r="S211" s="762" t="s">
        <v>5961</v>
      </c>
      <c r="T211" s="762">
        <v>84499944</v>
      </c>
      <c r="U211" s="762">
        <v>85889952</v>
      </c>
      <c r="V211" s="762" t="s">
        <v>5962</v>
      </c>
      <c r="W211" s="762" t="s">
        <v>5497</v>
      </c>
      <c r="X211" s="692"/>
      <c r="Y211" s="761"/>
      <c r="Z211" s="10"/>
      <c r="AA211" s="10"/>
      <c r="AB211" s="10"/>
      <c r="AC211" s="8"/>
      <c r="AD211" s="8"/>
      <c r="AE211" s="8"/>
      <c r="AF211" s="8"/>
      <c r="AG211" s="761"/>
      <c r="AH211" s="8"/>
      <c r="AI211" s="10"/>
    </row>
    <row r="212" spans="2:35" ht="15.75" hidden="1">
      <c r="B212" s="692" t="s">
        <v>5726</v>
      </c>
      <c r="C212" s="692" t="s">
        <v>5712</v>
      </c>
      <c r="D212" s="9"/>
      <c r="E212" s="692" t="s">
        <v>4304</v>
      </c>
      <c r="F212" s="692" t="s">
        <v>1992</v>
      </c>
      <c r="G212" s="692" t="s">
        <v>4305</v>
      </c>
      <c r="H212" s="692" t="s">
        <v>798</v>
      </c>
      <c r="I212" s="692" t="s">
        <v>3</v>
      </c>
      <c r="J212" s="692" t="s">
        <v>126</v>
      </c>
      <c r="K212" s="692" t="s">
        <v>4</v>
      </c>
      <c r="L212" s="692" t="s">
        <v>3</v>
      </c>
      <c r="M212" s="692" t="str">
        <f t="shared" si="3"/>
        <v>5-02-01</v>
      </c>
      <c r="N212" s="692"/>
      <c r="O212" s="692"/>
      <c r="P212" s="692"/>
      <c r="Q212" s="762" t="s">
        <v>798</v>
      </c>
      <c r="R212" s="762" t="s">
        <v>4804</v>
      </c>
      <c r="S212" s="762" t="s">
        <v>4368</v>
      </c>
      <c r="T212" s="762">
        <v>25626238</v>
      </c>
      <c r="U212" s="762"/>
      <c r="V212" s="762" t="s">
        <v>4369</v>
      </c>
      <c r="W212" s="762" t="s">
        <v>4370</v>
      </c>
      <c r="X212" s="692"/>
      <c r="Y212" s="761"/>
      <c r="Z212" s="10"/>
      <c r="AA212" s="10"/>
      <c r="AB212" s="10"/>
      <c r="AC212" s="8"/>
      <c r="AD212" s="8"/>
      <c r="AE212" s="8"/>
      <c r="AF212" s="8"/>
      <c r="AG212" s="761"/>
      <c r="AH212" s="8"/>
      <c r="AI212" s="10"/>
    </row>
    <row r="213" spans="2:35" ht="15.75">
      <c r="B213" s="692" t="s">
        <v>3767</v>
      </c>
      <c r="C213" s="692" t="s">
        <v>3766</v>
      </c>
      <c r="D213" s="9"/>
      <c r="E213" s="692" t="s">
        <v>4306</v>
      </c>
      <c r="F213" s="692" t="s">
        <v>1992</v>
      </c>
      <c r="G213" s="692" t="s">
        <v>679</v>
      </c>
      <c r="H213" s="692" t="s">
        <v>4395</v>
      </c>
      <c r="I213" s="692" t="s">
        <v>5</v>
      </c>
      <c r="J213" s="692" t="s">
        <v>41</v>
      </c>
      <c r="K213" s="692" t="s">
        <v>4</v>
      </c>
      <c r="L213" s="692" t="s">
        <v>5</v>
      </c>
      <c r="M213" s="692" t="str">
        <f t="shared" si="3"/>
        <v>1-02-03</v>
      </c>
      <c r="N213" s="692"/>
      <c r="O213" s="692"/>
      <c r="P213" s="692"/>
      <c r="Q213" s="762" t="s">
        <v>4325</v>
      </c>
      <c r="R213" s="762" t="s">
        <v>1052</v>
      </c>
      <c r="S213" s="762" t="s">
        <v>4724</v>
      </c>
      <c r="T213" s="762">
        <v>22152204</v>
      </c>
      <c r="U213" s="762"/>
      <c r="V213" s="762" t="s">
        <v>5891</v>
      </c>
      <c r="W213" s="762" t="s">
        <v>5890</v>
      </c>
      <c r="X213" s="692"/>
      <c r="Y213" s="761"/>
      <c r="Z213" s="10"/>
      <c r="AA213" s="10"/>
      <c r="AB213" s="10"/>
      <c r="AC213" s="8"/>
      <c r="AD213" s="8"/>
      <c r="AE213" s="8"/>
      <c r="AF213" s="8"/>
      <c r="AG213" s="761" t="s">
        <v>4493</v>
      </c>
      <c r="AH213" s="8"/>
      <c r="AI213" s="10"/>
    </row>
    <row r="214" spans="2:35" ht="15.75" hidden="1">
      <c r="B214" s="692" t="s">
        <v>4700</v>
      </c>
      <c r="C214" s="692" t="s">
        <v>920</v>
      </c>
      <c r="D214" s="9"/>
      <c r="E214" s="692" t="s">
        <v>4307</v>
      </c>
      <c r="F214" s="692" t="s">
        <v>1992</v>
      </c>
      <c r="G214" s="692" t="s">
        <v>4308</v>
      </c>
      <c r="H214" s="692" t="s">
        <v>387</v>
      </c>
      <c r="I214" s="692" t="s">
        <v>5</v>
      </c>
      <c r="J214" s="692" t="s">
        <v>41</v>
      </c>
      <c r="K214" s="692" t="s">
        <v>388</v>
      </c>
      <c r="L214" s="692" t="s">
        <v>5</v>
      </c>
      <c r="M214" s="692" t="str">
        <f t="shared" si="3"/>
        <v>1-19-03</v>
      </c>
      <c r="N214" s="692"/>
      <c r="O214" s="692"/>
      <c r="P214" s="692"/>
      <c r="Q214" s="762" t="s">
        <v>422</v>
      </c>
      <c r="R214" s="762" t="s">
        <v>1052</v>
      </c>
      <c r="S214" s="762" t="s">
        <v>4371</v>
      </c>
      <c r="T214" s="762">
        <v>27723034</v>
      </c>
      <c r="U214" s="762">
        <v>27723033</v>
      </c>
      <c r="V214" s="762" t="s">
        <v>4372</v>
      </c>
      <c r="W214" s="762" t="s">
        <v>4373</v>
      </c>
      <c r="X214" s="692"/>
      <c r="Y214" s="761"/>
      <c r="Z214" s="10"/>
      <c r="AA214" s="10"/>
      <c r="AB214" s="10"/>
      <c r="AC214" s="8"/>
      <c r="AD214" s="8"/>
      <c r="AE214" s="8"/>
      <c r="AF214" s="8"/>
      <c r="AG214" s="761"/>
      <c r="AH214" s="8"/>
      <c r="AI214" s="10"/>
    </row>
    <row r="215" spans="2:35" ht="15.75" hidden="1">
      <c r="B215" s="692" t="s">
        <v>4501</v>
      </c>
      <c r="C215" s="692" t="s">
        <v>3534</v>
      </c>
      <c r="D215" s="9"/>
      <c r="E215" s="692" t="s">
        <v>4309</v>
      </c>
      <c r="F215" s="692" t="s">
        <v>1992</v>
      </c>
      <c r="G215" s="692" t="s">
        <v>4310</v>
      </c>
      <c r="H215" s="692" t="s">
        <v>109</v>
      </c>
      <c r="I215" s="692" t="s">
        <v>4</v>
      </c>
      <c r="J215" s="692" t="s">
        <v>110</v>
      </c>
      <c r="K215" s="692" t="s">
        <v>13</v>
      </c>
      <c r="L215" s="692" t="s">
        <v>5</v>
      </c>
      <c r="M215" s="692" t="str">
        <f t="shared" si="3"/>
        <v>4-10-03</v>
      </c>
      <c r="N215" s="692"/>
      <c r="O215" s="692"/>
      <c r="P215" s="692"/>
      <c r="Q215" s="762" t="s">
        <v>4374</v>
      </c>
      <c r="R215" s="762" t="s">
        <v>4804</v>
      </c>
      <c r="S215" s="762" t="s">
        <v>4546</v>
      </c>
      <c r="T215" s="762">
        <v>27644600</v>
      </c>
      <c r="U215" s="762">
        <v>27643005</v>
      </c>
      <c r="V215" s="762" t="s">
        <v>4375</v>
      </c>
      <c r="W215" s="762" t="s">
        <v>4376</v>
      </c>
      <c r="X215" s="692"/>
      <c r="Y215" s="761"/>
      <c r="Z215" s="10"/>
      <c r="AA215" s="10"/>
      <c r="AB215" s="10"/>
      <c r="AC215" s="8"/>
      <c r="AD215" s="8"/>
      <c r="AE215" s="8"/>
      <c r="AF215" s="8"/>
      <c r="AG215" s="761"/>
      <c r="AH215" s="8"/>
      <c r="AI215" s="10"/>
    </row>
    <row r="216" spans="2:35" ht="15.75" hidden="1">
      <c r="B216" s="692" t="s">
        <v>4500</v>
      </c>
      <c r="C216" s="692" t="s">
        <v>232</v>
      </c>
      <c r="D216" s="9"/>
      <c r="E216" s="692" t="s">
        <v>4311</v>
      </c>
      <c r="F216" s="692" t="s">
        <v>1992</v>
      </c>
      <c r="G216" s="692" t="s">
        <v>4312</v>
      </c>
      <c r="H216" s="692" t="s">
        <v>111</v>
      </c>
      <c r="I216" s="692" t="s">
        <v>6</v>
      </c>
      <c r="J216" s="692" t="s">
        <v>110</v>
      </c>
      <c r="K216" s="692" t="s">
        <v>4</v>
      </c>
      <c r="L216" s="692" t="s">
        <v>7</v>
      </c>
      <c r="M216" s="692" t="str">
        <f t="shared" si="3"/>
        <v>4-02-05</v>
      </c>
      <c r="N216" s="692"/>
      <c r="O216" s="692"/>
      <c r="P216" s="692"/>
      <c r="Q216" s="762" t="s">
        <v>745</v>
      </c>
      <c r="R216" s="762" t="s">
        <v>1052</v>
      </c>
      <c r="S216" s="762" t="s">
        <v>5922</v>
      </c>
      <c r="T216" s="762">
        <v>22607305</v>
      </c>
      <c r="U216" s="762">
        <v>22623263</v>
      </c>
      <c r="V216" s="762" t="s">
        <v>5923</v>
      </c>
      <c r="W216" s="762" t="s">
        <v>4377</v>
      </c>
      <c r="X216" s="692"/>
      <c r="Y216" s="761"/>
      <c r="Z216" s="10"/>
      <c r="AA216" s="10"/>
      <c r="AB216" s="10"/>
      <c r="AC216" s="8"/>
      <c r="AD216" s="8"/>
      <c r="AE216" s="8"/>
      <c r="AF216" s="8"/>
      <c r="AG216" s="761"/>
      <c r="AH216" s="8"/>
      <c r="AI216" s="10"/>
    </row>
    <row r="217" spans="2:35" ht="15.75" hidden="1">
      <c r="B217" s="692" t="s">
        <v>3395</v>
      </c>
      <c r="C217" s="692" t="s">
        <v>689</v>
      </c>
      <c r="D217" s="9"/>
      <c r="E217" s="692" t="s">
        <v>4313</v>
      </c>
      <c r="F217" s="692" t="s">
        <v>1992</v>
      </c>
      <c r="G217" s="692" t="s">
        <v>4314</v>
      </c>
      <c r="H217" s="692" t="s">
        <v>4395</v>
      </c>
      <c r="I217" s="692" t="s">
        <v>4</v>
      </c>
      <c r="J217" s="692" t="s">
        <v>41</v>
      </c>
      <c r="K217" s="692" t="s">
        <v>3</v>
      </c>
      <c r="L217" s="692" t="s">
        <v>12</v>
      </c>
      <c r="M217" s="692" t="str">
        <f t="shared" si="3"/>
        <v>1-01-09</v>
      </c>
      <c r="N217" s="692"/>
      <c r="O217" s="692"/>
      <c r="P217" s="692"/>
      <c r="Q217" s="762" t="s">
        <v>1721</v>
      </c>
      <c r="R217" s="762" t="s">
        <v>1052</v>
      </c>
      <c r="S217" s="762" t="s">
        <v>4378</v>
      </c>
      <c r="T217" s="762">
        <v>22312070</v>
      </c>
      <c r="U217" s="762"/>
      <c r="V217" s="762" t="s">
        <v>4379</v>
      </c>
      <c r="W217" s="762" t="s">
        <v>4380</v>
      </c>
      <c r="X217" s="692"/>
      <c r="Y217" s="761"/>
      <c r="Z217" s="10"/>
      <c r="AA217" s="10"/>
      <c r="AB217" s="10"/>
      <c r="AC217" s="8"/>
      <c r="AD217" s="8"/>
      <c r="AE217" s="8"/>
      <c r="AF217" s="8"/>
      <c r="AG217" s="761"/>
      <c r="AH217" s="8"/>
      <c r="AI217" s="10"/>
    </row>
    <row r="218" spans="2:35" ht="15.75" hidden="1">
      <c r="B218" s="692" t="s">
        <v>3510</v>
      </c>
      <c r="C218" s="692" t="s">
        <v>3509</v>
      </c>
      <c r="D218" s="9"/>
      <c r="E218" s="692" t="s">
        <v>4315</v>
      </c>
      <c r="F218" s="692" t="s">
        <v>1992</v>
      </c>
      <c r="G218" s="692" t="s">
        <v>4316</v>
      </c>
      <c r="H218" s="692" t="s">
        <v>117</v>
      </c>
      <c r="I218" s="692" t="s">
        <v>118</v>
      </c>
      <c r="J218" s="692" t="s">
        <v>43</v>
      </c>
      <c r="K218" s="692" t="s">
        <v>13</v>
      </c>
      <c r="L218" s="692" t="s">
        <v>3</v>
      </c>
      <c r="M218" s="692" t="str">
        <f t="shared" si="3"/>
        <v>2-10-01</v>
      </c>
      <c r="N218" s="692"/>
      <c r="O218" s="692"/>
      <c r="P218" s="692"/>
      <c r="Q218" s="762" t="s">
        <v>305</v>
      </c>
      <c r="R218" s="762" t="s">
        <v>1052</v>
      </c>
      <c r="S218" s="762" t="s">
        <v>4942</v>
      </c>
      <c r="T218" s="762">
        <v>24602979</v>
      </c>
      <c r="U218" s="762">
        <v>24604629</v>
      </c>
      <c r="V218" s="762" t="s">
        <v>4359</v>
      </c>
      <c r="W218" s="762" t="s">
        <v>5498</v>
      </c>
      <c r="X218" s="692"/>
      <c r="Y218" s="761"/>
      <c r="Z218" s="10"/>
      <c r="AA218" s="10"/>
      <c r="AB218" s="10"/>
      <c r="AC218" s="8"/>
      <c r="AD218" s="8"/>
      <c r="AE218" s="8"/>
      <c r="AF218" s="8"/>
      <c r="AG218" s="761"/>
      <c r="AH218" s="8"/>
      <c r="AI218" s="10"/>
    </row>
    <row r="219" spans="2:35" ht="15.75" hidden="1">
      <c r="B219" s="692" t="s">
        <v>1861</v>
      </c>
      <c r="C219" s="692" t="s">
        <v>506</v>
      </c>
      <c r="D219" s="9"/>
      <c r="E219" s="692" t="s">
        <v>4503</v>
      </c>
      <c r="F219" s="692" t="s">
        <v>1992</v>
      </c>
      <c r="G219" s="692" t="s">
        <v>4504</v>
      </c>
      <c r="H219" s="692" t="s">
        <v>812</v>
      </c>
      <c r="I219" s="692" t="s">
        <v>4</v>
      </c>
      <c r="J219" s="692" t="s">
        <v>80</v>
      </c>
      <c r="K219" s="692" t="s">
        <v>3</v>
      </c>
      <c r="L219" s="692" t="s">
        <v>16</v>
      </c>
      <c r="M219" s="692" t="str">
        <f t="shared" si="3"/>
        <v>6-01-11</v>
      </c>
      <c r="N219" s="692"/>
      <c r="O219" s="692"/>
      <c r="P219" s="692"/>
      <c r="Q219" s="762" t="s">
        <v>4547</v>
      </c>
      <c r="R219" s="762" t="s">
        <v>1052</v>
      </c>
      <c r="S219" s="762" t="s">
        <v>4548</v>
      </c>
      <c r="T219" s="762">
        <v>26400249</v>
      </c>
      <c r="U219" s="762"/>
      <c r="V219" s="762" t="s">
        <v>4549</v>
      </c>
      <c r="W219" s="762" t="s">
        <v>4550</v>
      </c>
      <c r="X219" s="692"/>
      <c r="Y219" s="761"/>
      <c r="Z219" s="10"/>
      <c r="AA219" s="10"/>
      <c r="AB219" s="10"/>
      <c r="AC219" s="8"/>
      <c r="AD219" s="8"/>
      <c r="AE219" s="8"/>
      <c r="AF219" s="8"/>
      <c r="AG219" s="761"/>
      <c r="AH219" s="8"/>
      <c r="AI219" s="10"/>
    </row>
    <row r="220" spans="2:35" ht="15.75" hidden="1">
      <c r="B220" s="692" t="s">
        <v>4508</v>
      </c>
      <c r="C220" s="692" t="s">
        <v>4507</v>
      </c>
      <c r="D220" s="9"/>
      <c r="E220" s="692" t="s">
        <v>4505</v>
      </c>
      <c r="F220" s="692" t="s">
        <v>1992</v>
      </c>
      <c r="G220" s="692" t="s">
        <v>4506</v>
      </c>
      <c r="H220" s="692" t="s">
        <v>66</v>
      </c>
      <c r="I220" s="692" t="s">
        <v>6</v>
      </c>
      <c r="J220" s="692" t="s">
        <v>43</v>
      </c>
      <c r="K220" s="692" t="s">
        <v>3</v>
      </c>
      <c r="L220" s="692" t="s">
        <v>7</v>
      </c>
      <c r="M220" s="692" t="str">
        <f t="shared" si="3"/>
        <v>2-01-05</v>
      </c>
      <c r="N220" s="692"/>
      <c r="O220" s="692"/>
      <c r="P220" s="692"/>
      <c r="Q220" s="762" t="s">
        <v>4551</v>
      </c>
      <c r="R220" s="762" t="s">
        <v>1052</v>
      </c>
      <c r="S220" s="762" t="s">
        <v>5936</v>
      </c>
      <c r="T220" s="762">
        <v>22019467</v>
      </c>
      <c r="U220" s="762"/>
      <c r="V220" s="762" t="s">
        <v>5499</v>
      </c>
      <c r="W220" s="762" t="s">
        <v>4552</v>
      </c>
      <c r="X220" s="692"/>
      <c r="Y220" s="761"/>
      <c r="Z220" s="10"/>
      <c r="AA220" s="10"/>
      <c r="AB220" s="10"/>
      <c r="AC220" s="8"/>
      <c r="AD220" s="8"/>
      <c r="AE220" s="8"/>
      <c r="AF220" s="8"/>
      <c r="AG220" s="761"/>
      <c r="AH220" s="8"/>
      <c r="AI220" s="10"/>
    </row>
    <row r="221" spans="2:35" ht="15.75" hidden="1">
      <c r="B221" s="692" t="s">
        <v>3504</v>
      </c>
      <c r="C221" s="692" t="s">
        <v>1084</v>
      </c>
      <c r="D221" s="9"/>
      <c r="E221" s="692" t="s">
        <v>4507</v>
      </c>
      <c r="F221" s="692" t="s">
        <v>1992</v>
      </c>
      <c r="G221" s="692" t="s">
        <v>4508</v>
      </c>
      <c r="H221" s="692" t="s">
        <v>4395</v>
      </c>
      <c r="I221" s="692" t="s">
        <v>6</v>
      </c>
      <c r="J221" s="692" t="s">
        <v>41</v>
      </c>
      <c r="K221" s="692" t="s">
        <v>12</v>
      </c>
      <c r="L221" s="692" t="s">
        <v>5</v>
      </c>
      <c r="M221" s="692" t="str">
        <f t="shared" si="3"/>
        <v>1-09-03</v>
      </c>
      <c r="N221" s="692"/>
      <c r="O221" s="692"/>
      <c r="P221" s="692"/>
      <c r="Q221" s="762" t="s">
        <v>4553</v>
      </c>
      <c r="R221" s="762" t="s">
        <v>1052</v>
      </c>
      <c r="S221" s="762" t="s">
        <v>4554</v>
      </c>
      <c r="T221" s="762">
        <v>22035867</v>
      </c>
      <c r="U221" s="762">
        <v>22035912</v>
      </c>
      <c r="V221" s="762" t="s">
        <v>4943</v>
      </c>
      <c r="W221" s="762" t="s">
        <v>4944</v>
      </c>
      <c r="X221" s="692"/>
      <c r="Y221" s="761"/>
      <c r="Z221" s="10"/>
      <c r="AA221" s="10"/>
      <c r="AB221" s="10"/>
      <c r="AC221" s="8"/>
      <c r="AD221" s="8"/>
      <c r="AE221" s="8"/>
      <c r="AF221" s="8"/>
      <c r="AG221" s="761"/>
      <c r="AH221" s="8"/>
      <c r="AI221" s="10"/>
    </row>
    <row r="222" spans="2:35" ht="15.75" hidden="1">
      <c r="B222" s="692" t="s">
        <v>679</v>
      </c>
      <c r="C222" s="692" t="s">
        <v>4306</v>
      </c>
      <c r="D222" s="9"/>
      <c r="E222" s="692" t="s">
        <v>4705</v>
      </c>
      <c r="F222" s="692" t="s">
        <v>1992</v>
      </c>
      <c r="G222" s="692" t="s">
        <v>4706</v>
      </c>
      <c r="H222" s="692" t="s">
        <v>172</v>
      </c>
      <c r="I222" s="692" t="s">
        <v>7</v>
      </c>
      <c r="J222" s="692" t="s">
        <v>41</v>
      </c>
      <c r="K222" s="692" t="s">
        <v>9</v>
      </c>
      <c r="L222" s="692" t="s">
        <v>3</v>
      </c>
      <c r="M222" s="692" t="str">
        <f t="shared" si="3"/>
        <v>1-07-01</v>
      </c>
      <c r="N222" s="692"/>
      <c r="O222" s="692"/>
      <c r="P222" s="692"/>
      <c r="Q222" s="762" t="s">
        <v>4752</v>
      </c>
      <c r="R222" s="762" t="s">
        <v>1052</v>
      </c>
      <c r="S222" s="762" t="s">
        <v>4753</v>
      </c>
      <c r="T222" s="762">
        <v>26548787</v>
      </c>
      <c r="U222" s="762"/>
      <c r="V222" s="762" t="s">
        <v>4754</v>
      </c>
      <c r="W222" s="762" t="s">
        <v>4755</v>
      </c>
      <c r="X222" s="692"/>
      <c r="Y222" s="761"/>
      <c r="Z222" s="10"/>
      <c r="AA222" s="10"/>
      <c r="AB222" s="10"/>
      <c r="AC222" s="8"/>
      <c r="AD222" s="8"/>
      <c r="AE222" s="8"/>
      <c r="AF222" s="8"/>
      <c r="AG222" s="761"/>
      <c r="AH222" s="8"/>
      <c r="AI222" s="10"/>
    </row>
    <row r="223" spans="2:35" ht="15.75" hidden="1">
      <c r="B223" s="692" t="s">
        <v>4294</v>
      </c>
      <c r="C223" s="692" t="s">
        <v>277</v>
      </c>
      <c r="D223" s="9"/>
      <c r="E223" s="692" t="s">
        <v>4707</v>
      </c>
      <c r="F223" s="692" t="s">
        <v>1992</v>
      </c>
      <c r="G223" s="692" t="s">
        <v>4708</v>
      </c>
      <c r="H223" s="692" t="s">
        <v>125</v>
      </c>
      <c r="I223" s="692" t="s">
        <v>5</v>
      </c>
      <c r="J223" s="692" t="s">
        <v>126</v>
      </c>
      <c r="K223" s="692" t="s">
        <v>5</v>
      </c>
      <c r="L223" s="692" t="s">
        <v>11</v>
      </c>
      <c r="M223" s="692" t="str">
        <f t="shared" si="3"/>
        <v>5-03-08</v>
      </c>
      <c r="N223" s="692"/>
      <c r="O223" s="692"/>
      <c r="P223" s="692"/>
      <c r="Q223" s="762" t="s">
        <v>627</v>
      </c>
      <c r="R223" s="762" t="s">
        <v>1052</v>
      </c>
      <c r="S223" s="762" t="s">
        <v>5500</v>
      </c>
      <c r="T223" s="762">
        <v>26535001</v>
      </c>
      <c r="U223" s="762"/>
      <c r="V223" s="762" t="s">
        <v>4945</v>
      </c>
      <c r="W223" s="762" t="s">
        <v>4756</v>
      </c>
      <c r="X223" s="692"/>
      <c r="Y223" s="761"/>
      <c r="Z223" s="10"/>
      <c r="AA223" s="10"/>
      <c r="AB223" s="10"/>
      <c r="AC223" s="8"/>
      <c r="AD223" s="8"/>
      <c r="AE223" s="8"/>
      <c r="AF223" s="8"/>
      <c r="AG223" s="761"/>
      <c r="AH223" s="8"/>
      <c r="AI223" s="10"/>
    </row>
    <row r="224" spans="2:35" ht="15.75" hidden="1">
      <c r="B224" s="692" t="s">
        <v>1994</v>
      </c>
      <c r="C224" s="692" t="s">
        <v>248</v>
      </c>
      <c r="D224" s="9"/>
      <c r="E224" s="692" t="s">
        <v>4946</v>
      </c>
      <c r="F224" s="692" t="s">
        <v>1992</v>
      </c>
      <c r="G224" s="692" t="s">
        <v>4947</v>
      </c>
      <c r="H224" s="692" t="s">
        <v>79</v>
      </c>
      <c r="I224" s="692" t="s">
        <v>7</v>
      </c>
      <c r="J224" s="692" t="s">
        <v>80</v>
      </c>
      <c r="K224" s="692" t="s">
        <v>11</v>
      </c>
      <c r="L224" s="692" t="s">
        <v>3</v>
      </c>
      <c r="M224" s="692" t="str">
        <f t="shared" si="3"/>
        <v>6-08-01</v>
      </c>
      <c r="N224" s="692"/>
      <c r="O224" s="692"/>
      <c r="P224" s="692"/>
      <c r="Q224" s="762" t="s">
        <v>54</v>
      </c>
      <c r="R224" s="762" t="s">
        <v>4804</v>
      </c>
      <c r="S224" s="762" t="s">
        <v>4948</v>
      </c>
      <c r="T224" s="762">
        <v>21006222</v>
      </c>
      <c r="U224" s="762"/>
      <c r="V224" s="762" t="s">
        <v>4949</v>
      </c>
      <c r="W224" s="762" t="s">
        <v>4950</v>
      </c>
      <c r="X224" s="692"/>
      <c r="Y224" s="761"/>
      <c r="Z224" s="10"/>
      <c r="AA224" s="10"/>
      <c r="AB224" s="10"/>
      <c r="AC224" s="8"/>
      <c r="AD224" s="8"/>
      <c r="AE224" s="8"/>
      <c r="AF224" s="8"/>
      <c r="AG224" s="761"/>
      <c r="AH224" s="8"/>
      <c r="AI224" s="10"/>
    </row>
    <row r="225" spans="2:35" ht="15.75" hidden="1">
      <c r="B225" s="692" t="s">
        <v>3311</v>
      </c>
      <c r="C225" s="692" t="s">
        <v>1079</v>
      </c>
      <c r="D225" s="9"/>
      <c r="E225" s="692" t="s">
        <v>726</v>
      </c>
      <c r="F225" s="692" t="s">
        <v>1992</v>
      </c>
      <c r="G225" s="692" t="s">
        <v>4951</v>
      </c>
      <c r="H225" s="692" t="s">
        <v>111</v>
      </c>
      <c r="I225" s="692" t="s">
        <v>6</v>
      </c>
      <c r="J225" s="692" t="s">
        <v>110</v>
      </c>
      <c r="K225" s="692" t="s">
        <v>4</v>
      </c>
      <c r="L225" s="692" t="s">
        <v>5</v>
      </c>
      <c r="M225" s="692" t="str">
        <f t="shared" si="3"/>
        <v>4-02-03</v>
      </c>
      <c r="N225" s="692"/>
      <c r="O225" s="692"/>
      <c r="P225" s="692"/>
      <c r="Q225" s="762" t="s">
        <v>357</v>
      </c>
      <c r="R225" s="762" t="s">
        <v>1052</v>
      </c>
      <c r="S225" s="762" t="s">
        <v>4952</v>
      </c>
      <c r="T225" s="762">
        <v>22618021</v>
      </c>
      <c r="U225" s="762"/>
      <c r="V225" s="762" t="s">
        <v>4953</v>
      </c>
      <c r="W225" s="762" t="s">
        <v>5501</v>
      </c>
      <c r="X225" s="692"/>
      <c r="Y225" s="761"/>
      <c r="Z225" s="10"/>
      <c r="AA225" s="10"/>
      <c r="AB225" s="10"/>
      <c r="AC225" s="8"/>
      <c r="AD225" s="8"/>
      <c r="AE225" s="8"/>
      <c r="AF225" s="8"/>
      <c r="AG225" s="761"/>
      <c r="AH225" s="8"/>
      <c r="AI225" s="10"/>
    </row>
    <row r="226" spans="2:35" ht="15.75" hidden="1">
      <c r="B226" s="692" t="s">
        <v>3539</v>
      </c>
      <c r="C226" s="692" t="s">
        <v>3538</v>
      </c>
      <c r="D226" s="9"/>
      <c r="E226" s="692" t="s">
        <v>5502</v>
      </c>
      <c r="F226" s="692" t="s">
        <v>1992</v>
      </c>
      <c r="G226" s="692" t="s">
        <v>5503</v>
      </c>
      <c r="H226" s="692" t="s">
        <v>111</v>
      </c>
      <c r="I226" s="692" t="s">
        <v>9</v>
      </c>
      <c r="J226" s="692" t="s">
        <v>110</v>
      </c>
      <c r="K226" s="692" t="s">
        <v>9</v>
      </c>
      <c r="L226" s="692" t="s">
        <v>5</v>
      </c>
      <c r="M226" s="692" t="str">
        <f t="shared" si="3"/>
        <v>4-07-03</v>
      </c>
      <c r="N226" s="692"/>
      <c r="O226" s="692"/>
      <c r="P226" s="692"/>
      <c r="Q226" s="762" t="s">
        <v>5504</v>
      </c>
      <c r="R226" s="762" t="s">
        <v>1052</v>
      </c>
      <c r="S226" s="762" t="s">
        <v>5505</v>
      </c>
      <c r="T226" s="762">
        <v>60578608</v>
      </c>
      <c r="U226" s="762">
        <v>83506486</v>
      </c>
      <c r="V226" s="762" t="s">
        <v>5506</v>
      </c>
      <c r="W226" s="762" t="s">
        <v>5507</v>
      </c>
      <c r="X226" s="692"/>
      <c r="Y226" s="761"/>
      <c r="Z226" s="10"/>
      <c r="AA226" s="10"/>
      <c r="AB226" s="10"/>
      <c r="AC226" s="8"/>
      <c r="AD226" s="8"/>
      <c r="AE226" s="8"/>
      <c r="AF226" s="8"/>
      <c r="AG226" s="761"/>
      <c r="AH226" s="8"/>
      <c r="AI226" s="10"/>
    </row>
    <row r="227" spans="2:35" ht="15.75" hidden="1">
      <c r="B227" s="692" t="s">
        <v>2494</v>
      </c>
      <c r="C227" s="692" t="s">
        <v>337</v>
      </c>
      <c r="D227" s="9"/>
      <c r="E227" s="692" t="s">
        <v>5508</v>
      </c>
      <c r="F227" s="692" t="s">
        <v>1992</v>
      </c>
      <c r="G227" s="692" t="s">
        <v>5509</v>
      </c>
      <c r="H227" s="692" t="s">
        <v>65</v>
      </c>
      <c r="I227" s="692" t="s">
        <v>7</v>
      </c>
      <c r="J227" s="692" t="s">
        <v>43</v>
      </c>
      <c r="K227" s="692" t="s">
        <v>8</v>
      </c>
      <c r="L227" s="692" t="s">
        <v>3</v>
      </c>
      <c r="M227" s="692" t="str">
        <f t="shared" si="3"/>
        <v>2-06-01</v>
      </c>
      <c r="N227" s="692"/>
      <c r="O227" s="692"/>
      <c r="P227" s="692"/>
      <c r="Q227" s="762" t="s">
        <v>234</v>
      </c>
      <c r="R227" s="762" t="s">
        <v>1052</v>
      </c>
      <c r="S227" s="762" t="s">
        <v>5510</v>
      </c>
      <c r="T227" s="762">
        <v>24500316</v>
      </c>
      <c r="U227" s="762"/>
      <c r="V227" s="762" t="s">
        <v>5511</v>
      </c>
      <c r="W227" s="762" t="s">
        <v>5512</v>
      </c>
      <c r="X227" s="692"/>
      <c r="Y227" s="761"/>
      <c r="Z227" s="10"/>
      <c r="AA227" s="10"/>
      <c r="AB227" s="10"/>
      <c r="AC227" s="8"/>
      <c r="AD227" s="8"/>
      <c r="AE227" s="8"/>
      <c r="AF227" s="8"/>
      <c r="AG227" s="761"/>
      <c r="AH227" s="8"/>
      <c r="AI227" s="10"/>
    </row>
    <row r="228" spans="2:35" ht="15.75" hidden="1">
      <c r="B228" s="692" t="s">
        <v>3537</v>
      </c>
      <c r="C228" s="692" t="s">
        <v>3536</v>
      </c>
      <c r="D228" s="9"/>
      <c r="E228" s="692" t="s">
        <v>5513</v>
      </c>
      <c r="F228" s="692" t="s">
        <v>1992</v>
      </c>
      <c r="G228" s="692" t="s">
        <v>5514</v>
      </c>
      <c r="H228" s="692" t="s">
        <v>111</v>
      </c>
      <c r="I228" s="692" t="s">
        <v>9</v>
      </c>
      <c r="J228" s="692" t="s">
        <v>110</v>
      </c>
      <c r="K228" s="692" t="s">
        <v>11</v>
      </c>
      <c r="L228" s="692" t="s">
        <v>4</v>
      </c>
      <c r="M228" s="692" t="str">
        <f t="shared" si="3"/>
        <v>4-08-02</v>
      </c>
      <c r="N228" s="692"/>
      <c r="O228" s="692"/>
      <c r="P228" s="692"/>
      <c r="Q228" s="762" t="s">
        <v>5515</v>
      </c>
      <c r="R228" s="762" t="s">
        <v>1052</v>
      </c>
      <c r="S228" s="762" t="s">
        <v>5516</v>
      </c>
      <c r="T228" s="762">
        <v>22657391</v>
      </c>
      <c r="U228" s="762"/>
      <c r="V228" s="762" t="s">
        <v>5517</v>
      </c>
      <c r="W228" s="762" t="s">
        <v>5518</v>
      </c>
      <c r="X228" s="692"/>
      <c r="Y228" s="761"/>
      <c r="Z228" s="10"/>
      <c r="AA228" s="10"/>
      <c r="AB228" s="10"/>
      <c r="AC228" s="8"/>
      <c r="AD228" s="8"/>
      <c r="AE228" s="8"/>
      <c r="AF228" s="8"/>
      <c r="AG228" s="761"/>
      <c r="AH228" s="8"/>
      <c r="AI228" s="10"/>
    </row>
    <row r="229" spans="2:35" ht="15.75" hidden="1">
      <c r="B229" s="692" t="s">
        <v>2928</v>
      </c>
      <c r="C229" s="692" t="s">
        <v>552</v>
      </c>
      <c r="D229" s="9"/>
      <c r="E229" s="692" t="s">
        <v>5519</v>
      </c>
      <c r="F229" s="692" t="s">
        <v>1992</v>
      </c>
      <c r="G229" s="692" t="s">
        <v>5520</v>
      </c>
      <c r="H229" s="692" t="s">
        <v>4396</v>
      </c>
      <c r="I229" s="692" t="s">
        <v>3</v>
      </c>
      <c r="J229" s="692" t="s">
        <v>41</v>
      </c>
      <c r="K229" s="692" t="s">
        <v>11</v>
      </c>
      <c r="L229" s="692" t="s">
        <v>5</v>
      </c>
      <c r="M229" s="692" t="str">
        <f t="shared" si="3"/>
        <v>1-08-03</v>
      </c>
      <c r="N229" s="692"/>
      <c r="O229" s="692"/>
      <c r="P229" s="692"/>
      <c r="Q229" s="762" t="s">
        <v>5521</v>
      </c>
      <c r="R229" s="762" t="s">
        <v>1052</v>
      </c>
      <c r="S229" s="762" t="s">
        <v>5522</v>
      </c>
      <c r="T229" s="762">
        <v>22354119</v>
      </c>
      <c r="U229" s="762"/>
      <c r="V229" s="762" t="s">
        <v>5523</v>
      </c>
      <c r="W229" s="762" t="s">
        <v>5901</v>
      </c>
      <c r="X229" s="692"/>
      <c r="Y229" s="761"/>
      <c r="Z229" s="10"/>
      <c r="AA229" s="10"/>
      <c r="AB229" s="10"/>
      <c r="AC229" s="8"/>
      <c r="AD229" s="8"/>
      <c r="AE229" s="8"/>
      <c r="AF229" s="8"/>
      <c r="AG229" s="761"/>
      <c r="AH229" s="8"/>
      <c r="AI229" s="10"/>
    </row>
    <row r="230" spans="2:35" ht="15.75" hidden="1">
      <c r="B230" s="692" t="s">
        <v>1933</v>
      </c>
      <c r="C230" s="692" t="s">
        <v>932</v>
      </c>
      <c r="D230" s="9"/>
      <c r="E230" s="692" t="s">
        <v>5524</v>
      </c>
      <c r="F230" s="692" t="s">
        <v>1992</v>
      </c>
      <c r="G230" s="692" t="s">
        <v>5525</v>
      </c>
      <c r="H230" s="692" t="s">
        <v>4397</v>
      </c>
      <c r="I230" s="692" t="s">
        <v>8</v>
      </c>
      <c r="J230" s="692" t="s">
        <v>80</v>
      </c>
      <c r="K230" s="692" t="s">
        <v>7</v>
      </c>
      <c r="L230" s="692" t="s">
        <v>6</v>
      </c>
      <c r="M230" s="692" t="str">
        <f t="shared" si="3"/>
        <v>6-05-04</v>
      </c>
      <c r="N230" s="692"/>
      <c r="O230" s="692"/>
      <c r="P230" s="692"/>
      <c r="Q230" s="762" t="s">
        <v>5526</v>
      </c>
      <c r="R230" s="762" t="s">
        <v>1052</v>
      </c>
      <c r="S230" s="762" t="s">
        <v>5527</v>
      </c>
      <c r="T230" s="762">
        <v>87035396</v>
      </c>
      <c r="U230" s="762"/>
      <c r="V230" s="762" t="s">
        <v>5945</v>
      </c>
      <c r="W230" s="762" t="s">
        <v>5528</v>
      </c>
      <c r="X230" s="692"/>
      <c r="Y230" s="761"/>
      <c r="Z230" s="10"/>
      <c r="AA230" s="10"/>
      <c r="AB230" s="10"/>
      <c r="AC230" s="8"/>
      <c r="AD230" s="8"/>
      <c r="AE230" s="8"/>
      <c r="AF230" s="8"/>
      <c r="AG230" s="761"/>
      <c r="AH230" s="8"/>
      <c r="AI230" s="10"/>
    </row>
    <row r="231" spans="2:35" ht="15.75" hidden="1">
      <c r="B231" s="692" t="s">
        <v>1840</v>
      </c>
      <c r="C231" s="692" t="s">
        <v>1127</v>
      </c>
      <c r="D231" s="9"/>
      <c r="E231" s="692" t="s">
        <v>5712</v>
      </c>
      <c r="F231" s="692" t="s">
        <v>1992</v>
      </c>
      <c r="G231" s="692" t="s">
        <v>5726</v>
      </c>
      <c r="H231" s="692" t="s">
        <v>4395</v>
      </c>
      <c r="I231" s="692" t="s">
        <v>5</v>
      </c>
      <c r="J231" s="692" t="s">
        <v>41</v>
      </c>
      <c r="K231" s="692" t="s">
        <v>12</v>
      </c>
      <c r="L231" s="692" t="s">
        <v>3</v>
      </c>
      <c r="M231" s="692" t="str">
        <f t="shared" si="3"/>
        <v>1-09-01</v>
      </c>
      <c r="N231" s="692"/>
      <c r="O231" s="692"/>
      <c r="P231" s="692"/>
      <c r="Q231" s="762" t="s">
        <v>166</v>
      </c>
      <c r="R231" s="762" t="s">
        <v>1052</v>
      </c>
      <c r="S231" s="762" t="s">
        <v>5894</v>
      </c>
      <c r="T231" s="762">
        <v>85481245</v>
      </c>
      <c r="U231" s="762">
        <v>22885824</v>
      </c>
      <c r="V231" s="762" t="s">
        <v>5895</v>
      </c>
      <c r="W231" s="762" t="s">
        <v>5896</v>
      </c>
      <c r="X231" s="692"/>
      <c r="Y231" s="761"/>
      <c r="Z231" s="10"/>
      <c r="AA231" s="10"/>
      <c r="AB231" s="10"/>
      <c r="AC231" s="8"/>
      <c r="AD231" s="8"/>
      <c r="AE231" s="8"/>
      <c r="AF231" s="8"/>
      <c r="AG231" s="761"/>
      <c r="AH231" s="8"/>
      <c r="AI231" s="10"/>
    </row>
    <row r="232" spans="2:35" ht="15.75" hidden="1">
      <c r="B232" s="692" t="s">
        <v>1911</v>
      </c>
      <c r="C232" s="692" t="s">
        <v>705</v>
      </c>
      <c r="E232" s="692" t="s">
        <v>5713</v>
      </c>
      <c r="F232" s="692" t="s">
        <v>1992</v>
      </c>
      <c r="G232" s="692" t="s">
        <v>5727</v>
      </c>
      <c r="H232" s="692" t="s">
        <v>172</v>
      </c>
      <c r="I232" s="692" t="s">
        <v>3</v>
      </c>
      <c r="J232" s="692" t="s">
        <v>41</v>
      </c>
      <c r="K232" s="692" t="s">
        <v>3</v>
      </c>
      <c r="L232" s="692" t="s">
        <v>3</v>
      </c>
      <c r="M232" s="692" t="str">
        <f t="shared" si="3"/>
        <v>1-01-01</v>
      </c>
      <c r="N232" s="692"/>
      <c r="O232" s="692"/>
      <c r="P232" s="692"/>
      <c r="Q232" s="762" t="s">
        <v>5714</v>
      </c>
      <c r="R232" s="762" t="s">
        <v>1052</v>
      </c>
      <c r="S232" s="762" t="s">
        <v>5946</v>
      </c>
      <c r="T232" s="762">
        <v>84954832</v>
      </c>
      <c r="U232" s="762">
        <v>24164832</v>
      </c>
      <c r="V232" s="762" t="s">
        <v>5947</v>
      </c>
      <c r="W232" s="762" t="s">
        <v>5948</v>
      </c>
      <c r="X232" s="692"/>
      <c r="Y232" s="761"/>
      <c r="Z232" s="10"/>
      <c r="AA232" s="10"/>
      <c r="AB232" s="10"/>
      <c r="AC232" s="8"/>
      <c r="AD232" s="8"/>
      <c r="AE232" s="8"/>
      <c r="AF232" s="8"/>
      <c r="AG232" s="761"/>
      <c r="AH232" s="8"/>
      <c r="AI232" s="10"/>
    </row>
    <row r="233" spans="2:35" ht="15.75">
      <c r="B233" s="692" t="s">
        <v>850</v>
      </c>
      <c r="C233" s="692" t="s">
        <v>2055</v>
      </c>
      <c r="E233" s="692" t="s">
        <v>5715</v>
      </c>
      <c r="F233" s="692" t="s">
        <v>1992</v>
      </c>
      <c r="G233" s="692" t="s">
        <v>5885</v>
      </c>
      <c r="H233" s="692" t="s">
        <v>111</v>
      </c>
      <c r="I233" s="692" t="s">
        <v>8</v>
      </c>
      <c r="J233" s="692" t="s">
        <v>110</v>
      </c>
      <c r="K233" s="692" t="s">
        <v>8</v>
      </c>
      <c r="L233" s="692" t="s">
        <v>6</v>
      </c>
      <c r="M233" s="692" t="str">
        <f t="shared" si="3"/>
        <v>4-06-04</v>
      </c>
      <c r="N233" s="692"/>
      <c r="O233" s="692"/>
      <c r="P233" s="692"/>
      <c r="Q233" s="762" t="s">
        <v>3987</v>
      </c>
      <c r="R233" s="762" t="s">
        <v>1052</v>
      </c>
      <c r="S233" s="762" t="s">
        <v>4013</v>
      </c>
      <c r="T233" s="762">
        <v>40520560</v>
      </c>
      <c r="U233" s="762">
        <v>73007405</v>
      </c>
      <c r="V233" s="762" t="s">
        <v>4014</v>
      </c>
      <c r="W233" s="762" t="s">
        <v>3366</v>
      </c>
      <c r="X233" s="692"/>
      <c r="Y233" s="761"/>
      <c r="Z233" s="10"/>
      <c r="AA233" s="10"/>
      <c r="AB233" s="10"/>
      <c r="AC233" s="8"/>
      <c r="AD233" s="8"/>
      <c r="AE233" s="8"/>
      <c r="AF233" s="8"/>
      <c r="AG233" s="761" t="s">
        <v>4493</v>
      </c>
      <c r="AH233" s="8"/>
      <c r="AI233" s="10"/>
    </row>
  </sheetData>
  <sheetProtection algorithmName="SHA-512" hashValue="v8ijxGd2QWGobFPMf3C+G9jYWhbO7GErB+lvjUuTOpYFLAVhk9BatGkb/WaTNihqvp8reer8TTMR5x0cS+5iXQ==" saltValue="yBJQVNs7rMvp/4j2KL+vxA==" spinCount="100000" sheet="1" objects="1" scenarios="1"/>
  <autoFilter ref="A2:AI233">
    <filterColumn colId="32">
      <customFilters>
        <customFilter operator="notEqual" val=" "/>
      </customFilters>
    </filterColumn>
  </autoFilter>
  <sortState ref="B3:C233">
    <sortCondition ref="B3:B23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A80"/>
  <sheetViews>
    <sheetView showGridLines="0" tabSelected="1" showRuler="0" zoomScale="90" zoomScaleNormal="90" workbookViewId="0">
      <selection activeCell="A5" sqref="A5"/>
    </sheetView>
  </sheetViews>
  <sheetFormatPr baseColWidth="10" defaultRowHeight="14.25"/>
  <cols>
    <col min="1" max="1" width="4.85546875" style="22" customWidth="1"/>
    <col min="2" max="2" width="3.85546875" style="22" customWidth="1"/>
    <col min="3" max="3" width="22.28515625" style="22" customWidth="1"/>
    <col min="4" max="4" width="28.42578125" style="22" customWidth="1"/>
    <col min="5" max="5" width="6" style="22" customWidth="1"/>
    <col min="6" max="6" width="11.85546875" style="22" customWidth="1"/>
    <col min="7" max="7" width="4.28515625" style="22" customWidth="1"/>
    <col min="8" max="8" width="22.140625" style="22" customWidth="1"/>
    <col min="9" max="9" width="13.42578125" style="22" customWidth="1"/>
    <col min="10" max="10" width="2" style="22" customWidth="1"/>
    <col min="11" max="12" width="6" style="22" customWidth="1"/>
    <col min="13" max="13" width="5.85546875" style="22" customWidth="1"/>
    <col min="14" max="14" width="0.5703125" style="22" customWidth="1"/>
    <col min="15" max="15" width="16.42578125" style="22" customWidth="1"/>
    <col min="16" max="16" width="2.5703125" style="22" customWidth="1"/>
    <col min="17" max="26" width="11.42578125" style="22"/>
    <col min="27" max="27" width="11.42578125" style="29"/>
    <col min="28" max="16384" width="11.42578125" style="22"/>
  </cols>
  <sheetData>
    <row r="1" spans="3:27" ht="6.75" customHeight="1"/>
    <row r="2" spans="3:27" ht="14.25" customHeight="1">
      <c r="C2" s="21" t="s">
        <v>1238</v>
      </c>
      <c r="I2" s="785" t="s">
        <v>1</v>
      </c>
      <c r="J2" s="785"/>
      <c r="K2" s="785"/>
      <c r="L2" s="786"/>
      <c r="M2" s="787" t="str">
        <f>IFERROR(VLOOKUP(D11,codigo,2,0),"")</f>
        <v/>
      </c>
      <c r="N2" s="788"/>
      <c r="O2" s="789"/>
      <c r="AA2" s="22"/>
    </row>
    <row r="3" spans="3:27" ht="14.25" customHeight="1">
      <c r="C3" s="22" t="s">
        <v>1239</v>
      </c>
      <c r="I3" s="785"/>
      <c r="J3" s="785"/>
      <c r="K3" s="785"/>
      <c r="L3" s="786"/>
      <c r="M3" s="790"/>
      <c r="N3" s="791"/>
      <c r="O3" s="792"/>
      <c r="AA3" s="22"/>
    </row>
    <row r="4" spans="3:27" ht="14.25" customHeight="1">
      <c r="C4" s="22" t="s">
        <v>1240</v>
      </c>
      <c r="M4" s="23" t="s">
        <v>2</v>
      </c>
      <c r="N4" s="23"/>
      <c r="O4" s="24"/>
      <c r="AA4" s="22"/>
    </row>
    <row r="5" spans="3:27" ht="14.25" customHeight="1">
      <c r="N5" s="25"/>
      <c r="O5" s="26" t="str">
        <f>IF(M2="","XX","")</f>
        <v>XX</v>
      </c>
      <c r="AA5" s="22"/>
    </row>
    <row r="6" spans="3:27" s="27" customFormat="1" ht="34.5">
      <c r="C6" s="793" t="s">
        <v>5681</v>
      </c>
      <c r="D6" s="793"/>
      <c r="E6" s="793"/>
      <c r="F6" s="793"/>
      <c r="G6" s="793"/>
      <c r="H6" s="793"/>
      <c r="I6" s="793"/>
      <c r="J6" s="793"/>
      <c r="K6" s="793"/>
      <c r="L6" s="793"/>
      <c r="M6" s="793"/>
      <c r="N6" s="793"/>
      <c r="O6" s="793"/>
      <c r="Z6" s="28"/>
    </row>
    <row r="7" spans="3:27" ht="18.75" customHeight="1">
      <c r="C7" s="794" t="s">
        <v>2002</v>
      </c>
      <c r="D7" s="794"/>
      <c r="E7" s="794"/>
      <c r="F7" s="794"/>
      <c r="G7" s="794"/>
      <c r="H7" s="794"/>
      <c r="I7" s="794"/>
      <c r="J7" s="794"/>
      <c r="K7" s="794"/>
      <c r="L7" s="794"/>
      <c r="M7" s="794"/>
      <c r="N7" s="794"/>
      <c r="O7" s="794"/>
    </row>
    <row r="8" spans="3:27" ht="18.75" customHeight="1">
      <c r="C8" s="794"/>
      <c r="D8" s="794"/>
      <c r="E8" s="794"/>
      <c r="F8" s="794"/>
      <c r="G8" s="794"/>
      <c r="H8" s="794"/>
      <c r="I8" s="794"/>
      <c r="J8" s="794"/>
      <c r="K8" s="794"/>
      <c r="L8" s="794"/>
      <c r="M8" s="794"/>
      <c r="N8" s="794"/>
      <c r="O8" s="794"/>
    </row>
    <row r="9" spans="3:27">
      <c r="C9" s="30"/>
      <c r="D9" s="30"/>
      <c r="E9" s="30"/>
      <c r="F9" s="30"/>
      <c r="G9" s="30"/>
      <c r="H9" s="30"/>
      <c r="I9" s="30"/>
      <c r="J9" s="30"/>
      <c r="K9" s="30"/>
      <c r="L9" s="30"/>
      <c r="M9" s="23"/>
      <c r="N9" s="23"/>
      <c r="O9" s="24"/>
    </row>
    <row r="10" spans="3:27" ht="6" customHeight="1">
      <c r="C10" s="31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3:27" ht="27">
      <c r="C11" s="32" t="s">
        <v>878</v>
      </c>
      <c r="D11" s="33"/>
      <c r="E11" s="30"/>
      <c r="F11" s="32" t="s">
        <v>15</v>
      </c>
      <c r="G11" s="776" t="str">
        <f>IFERROR(VLOOKUP(M2,datos,3,0),"")</f>
        <v/>
      </c>
      <c r="H11" s="777"/>
      <c r="I11" s="777"/>
      <c r="J11" s="777"/>
      <c r="K11" s="777"/>
      <c r="L11" s="777"/>
      <c r="M11" s="777"/>
      <c r="N11" s="777"/>
      <c r="O11" s="778"/>
    </row>
    <row r="12" spans="3:27" ht="8.25" customHeight="1">
      <c r="C12" s="34"/>
      <c r="D12" s="35"/>
      <c r="E12" s="35"/>
      <c r="F12" s="35"/>
      <c r="G12" s="35"/>
      <c r="H12" s="35"/>
      <c r="I12" s="35"/>
      <c r="J12" s="35"/>
      <c r="K12" s="36"/>
      <c r="L12" s="36"/>
      <c r="M12" s="36"/>
      <c r="N12" s="36"/>
      <c r="O12" s="36"/>
      <c r="P12" s="37"/>
    </row>
    <row r="13" spans="3:27" s="37" customFormat="1" ht="17.25" customHeight="1">
      <c r="C13" s="38" t="s">
        <v>5450</v>
      </c>
      <c r="D13" s="39" t="str">
        <f>IFERROR(VLOOKUP(M2,datos,16,0),"")</f>
        <v/>
      </c>
      <c r="E13" s="36"/>
      <c r="F13" s="38" t="s">
        <v>5451</v>
      </c>
      <c r="G13" s="779" t="str">
        <f>IFERROR(VLOOKUP(M2,datos,17,0),"")</f>
        <v/>
      </c>
      <c r="H13" s="780"/>
      <c r="I13" s="36"/>
      <c r="N13" s="40"/>
      <c r="O13" s="30"/>
      <c r="P13" s="22"/>
      <c r="AA13" s="41"/>
    </row>
    <row r="14" spans="3:27" ht="8.25" customHeight="1">
      <c r="C14" s="32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3:27" ht="32.25" customHeight="1">
      <c r="C15" s="42" t="s">
        <v>1051</v>
      </c>
      <c r="D15" s="781" t="str">
        <f>IFERROR(VLOOKUP(M2,datos,18,0),"")</f>
        <v/>
      </c>
      <c r="E15" s="782"/>
      <c r="F15" s="782"/>
      <c r="G15" s="782"/>
      <c r="H15" s="782"/>
      <c r="I15" s="783"/>
      <c r="J15" s="30"/>
      <c r="L15" s="32" t="s">
        <v>10</v>
      </c>
      <c r="M15" s="765" t="str">
        <f>IFERROR(VLOOKUP(M2,datos,14,0),"")</f>
        <v/>
      </c>
      <c r="N15" s="784"/>
      <c r="O15" s="766"/>
    </row>
    <row r="16" spans="3:27" ht="7.5" customHeight="1">
      <c r="C16" s="32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3:27" ht="17.25" customHeight="1">
      <c r="C17" s="34" t="s">
        <v>1241</v>
      </c>
      <c r="D17" s="767" t="str">
        <f>IFERROR(VLOOKUP(K17,prov,2,0),"")</f>
        <v/>
      </c>
      <c r="E17" s="795"/>
      <c r="F17" s="795"/>
      <c r="G17" s="795"/>
      <c r="H17" s="768"/>
      <c r="I17" s="43" t="str">
        <f>IFERROR(VLOOKUP(D17,ubicac,2,0),"")</f>
        <v/>
      </c>
      <c r="K17" s="44" t="str">
        <f>IFERROR(VLOOKUP(M2,datos,9,0),"")</f>
        <v/>
      </c>
      <c r="L17" s="45"/>
      <c r="M17" s="45"/>
      <c r="Z17" s="29"/>
      <c r="AA17" s="22"/>
    </row>
    <row r="18" spans="3:27" s="49" customFormat="1" ht="8.25" customHeight="1">
      <c r="C18" s="34"/>
      <c r="D18" s="46"/>
      <c r="E18" s="46"/>
      <c r="F18" s="47"/>
      <c r="G18" s="48"/>
      <c r="H18" s="48"/>
      <c r="I18" s="47"/>
      <c r="J18" s="47"/>
      <c r="K18" s="47"/>
      <c r="L18" s="47"/>
      <c r="M18" s="48"/>
      <c r="N18" s="48"/>
      <c r="O18" s="48"/>
      <c r="AA18" s="50"/>
    </row>
    <row r="19" spans="3:27" s="49" customFormat="1" ht="17.25" customHeight="1">
      <c r="C19" s="34" t="s">
        <v>875</v>
      </c>
      <c r="D19" s="767" t="str">
        <f>IFERROR(VLOOKUP(M2,datos,13,0),"")</f>
        <v/>
      </c>
      <c r="E19" s="768"/>
      <c r="F19" s="775" t="s">
        <v>876</v>
      </c>
      <c r="G19" s="775"/>
      <c r="H19" s="769" t="str">
        <f>IFERROR(VLOOKUP(M2,datos,19,0),"")</f>
        <v/>
      </c>
      <c r="I19" s="770"/>
      <c r="J19" s="770"/>
      <c r="K19" s="770"/>
      <c r="L19" s="770"/>
      <c r="M19" s="770"/>
      <c r="N19" s="770"/>
      <c r="O19" s="771"/>
      <c r="AA19" s="50"/>
    </row>
    <row r="20" spans="3:27" s="49" customFormat="1">
      <c r="C20" s="34"/>
      <c r="D20" s="46"/>
      <c r="E20" s="46"/>
      <c r="F20" s="775"/>
      <c r="G20" s="775"/>
      <c r="H20" s="772"/>
      <c r="I20" s="773"/>
      <c r="J20" s="773"/>
      <c r="K20" s="773"/>
      <c r="L20" s="773"/>
      <c r="M20" s="773"/>
      <c r="N20" s="773"/>
      <c r="O20" s="774"/>
      <c r="AA20" s="50"/>
    </row>
    <row r="21" spans="3:27" s="49" customFormat="1" ht="8.25" customHeight="1">
      <c r="C21" s="34"/>
      <c r="D21" s="46"/>
      <c r="E21" s="46"/>
      <c r="F21" s="47"/>
      <c r="G21" s="48"/>
      <c r="H21" s="48"/>
      <c r="I21" s="47"/>
      <c r="J21" s="47"/>
      <c r="K21" s="47"/>
      <c r="L21" s="47"/>
      <c r="M21" s="48"/>
      <c r="N21" s="48"/>
      <c r="O21" s="48"/>
      <c r="AA21" s="50"/>
    </row>
    <row r="22" spans="3:27" s="49" customFormat="1" ht="17.25" customHeight="1">
      <c r="C22" s="32" t="s">
        <v>877</v>
      </c>
      <c r="D22" s="765" t="str">
        <f>IFERROR(VLOOKUP(M2,datos,4,0),"")</f>
        <v/>
      </c>
      <c r="E22" s="784"/>
      <c r="F22" s="766"/>
      <c r="G22" s="30"/>
      <c r="H22" s="38" t="s">
        <v>14</v>
      </c>
      <c r="I22" s="765" t="str">
        <f>IFERROR(VLOOKUP(M2,datos,5,0),"")</f>
        <v/>
      </c>
      <c r="J22" s="766"/>
      <c r="K22" s="47"/>
      <c r="L22" s="47"/>
      <c r="M22" s="48"/>
      <c r="N22" s="48"/>
      <c r="O22" s="48"/>
      <c r="AA22" s="50"/>
    </row>
    <row r="23" spans="3:27" s="49" customFormat="1" ht="8.25" customHeight="1">
      <c r="C23" s="51"/>
      <c r="D23" s="51"/>
      <c r="E23" s="51"/>
      <c r="F23" s="51"/>
      <c r="G23" s="51"/>
      <c r="H23" s="51"/>
      <c r="I23" s="51"/>
      <c r="J23" s="51"/>
      <c r="K23" s="52"/>
      <c r="L23" s="52"/>
      <c r="M23" s="53"/>
      <c r="N23" s="53"/>
      <c r="O23" s="53"/>
      <c r="AA23" s="50"/>
    </row>
    <row r="24" spans="3:27" s="49" customFormat="1" ht="8.25" customHeight="1">
      <c r="C24" s="54"/>
      <c r="D24" s="54"/>
      <c r="E24" s="54"/>
      <c r="F24" s="54"/>
      <c r="G24" s="54"/>
      <c r="H24" s="54"/>
      <c r="I24" s="55"/>
      <c r="J24" s="54"/>
      <c r="K24" s="56"/>
      <c r="L24" s="56"/>
      <c r="M24" s="48"/>
      <c r="N24" s="48"/>
      <c r="O24" s="57"/>
      <c r="AA24" s="50"/>
    </row>
    <row r="25" spans="3:27" s="49" customFormat="1" ht="17.25" customHeight="1">
      <c r="C25" s="58" t="s">
        <v>1217</v>
      </c>
      <c r="E25" s="59"/>
      <c r="F25" s="59"/>
      <c r="G25" s="59"/>
      <c r="H25" s="59"/>
      <c r="I25" s="55"/>
      <c r="J25" s="60"/>
      <c r="K25" s="60"/>
      <c r="L25" s="60"/>
      <c r="M25" s="60"/>
      <c r="N25" s="61"/>
      <c r="O25" s="62"/>
      <c r="AA25" s="50"/>
    </row>
    <row r="26" spans="3:27" s="49" customFormat="1" ht="14.25" customHeight="1">
      <c r="C26" s="796" t="s">
        <v>2003</v>
      </c>
      <c r="D26" s="796"/>
      <c r="E26" s="797"/>
      <c r="F26" s="798"/>
      <c r="G26" s="63"/>
      <c r="H26" s="799" t="str">
        <f>IF(F26="Sí","Complete el Cuadro 8 (Parte 1, 2 y 3) de este formulario.","")</f>
        <v/>
      </c>
      <c r="I26" s="799"/>
      <c r="J26" s="799"/>
      <c r="K26" s="799"/>
      <c r="L26" s="799"/>
      <c r="M26" s="799"/>
      <c r="N26" s="61"/>
      <c r="O26" s="64"/>
      <c r="AA26" s="50"/>
    </row>
    <row r="27" spans="3:27" s="49" customFormat="1" ht="14.25" customHeight="1">
      <c r="C27" s="796"/>
      <c r="D27" s="796"/>
      <c r="E27" s="797"/>
      <c r="F27" s="798"/>
      <c r="G27" s="63"/>
      <c r="H27" s="799"/>
      <c r="I27" s="799"/>
      <c r="J27" s="799"/>
      <c r="K27" s="799"/>
      <c r="L27" s="799"/>
      <c r="M27" s="799"/>
      <c r="N27" s="61"/>
      <c r="O27" s="64"/>
      <c r="AA27" s="50"/>
    </row>
    <row r="28" spans="3:27" s="49" customFormat="1" ht="18" customHeight="1">
      <c r="C28" s="65" t="str">
        <f>IFERROR(VLOOKUP(M2,datos,32,0),"")</f>
        <v/>
      </c>
      <c r="E28" s="66" t="s">
        <v>4390</v>
      </c>
      <c r="F28" s="67"/>
      <c r="G28" s="68"/>
      <c r="H28" s="683" t="str">
        <f>IF(F28="Sí","Complete el formulario para Académica Nocturna y, el Cuadro 1 de este formulario.","")</f>
        <v/>
      </c>
      <c r="I28" s="50"/>
      <c r="J28" s="684"/>
      <c r="K28" s="50"/>
      <c r="L28" s="50"/>
      <c r="M28" s="83"/>
      <c r="N28" s="69"/>
      <c r="O28" s="70"/>
      <c r="AA28" s="50"/>
    </row>
    <row r="29" spans="3:27" s="49" customFormat="1" ht="18" customHeight="1">
      <c r="C29" s="65" t="str">
        <f>IFERROR(VLOOKUP(M2,datos,21,0),"")</f>
        <v/>
      </c>
      <c r="E29" s="66" t="s">
        <v>2004</v>
      </c>
      <c r="F29" s="67"/>
      <c r="G29" s="68"/>
      <c r="H29" s="683" t="str">
        <f>IF(F29="Sí","Complete el formulario para Plan Nacional y, el Cuadro 1 de este formulario.","")</f>
        <v/>
      </c>
      <c r="I29" s="50"/>
      <c r="J29" s="684"/>
      <c r="K29" s="50"/>
      <c r="L29" s="50"/>
      <c r="M29" s="83"/>
      <c r="N29" s="69"/>
      <c r="O29" s="70"/>
      <c r="AA29" s="50"/>
    </row>
    <row r="30" spans="3:27" s="49" customFormat="1" ht="18" customHeight="1">
      <c r="C30" s="71" t="str">
        <f>IFERROR(VLOOKUP(M2,datos,31,0),"")</f>
        <v/>
      </c>
      <c r="E30" s="66" t="s">
        <v>1237</v>
      </c>
      <c r="F30" s="67"/>
      <c r="G30" s="68"/>
      <c r="H30" s="683" t="str">
        <f>IF(F30="Sí","Complete el Cuadro 1 de este formulario.","")</f>
        <v/>
      </c>
      <c r="I30" s="50"/>
      <c r="J30" s="684"/>
      <c r="K30" s="50"/>
      <c r="L30" s="50"/>
      <c r="M30" s="685"/>
      <c r="N30" s="72"/>
      <c r="O30" s="72"/>
      <c r="AA30" s="50"/>
    </row>
    <row r="31" spans="3:27" s="78" customFormat="1" ht="8.25" customHeight="1">
      <c r="C31" s="73"/>
      <c r="D31" s="74"/>
      <c r="E31" s="73"/>
      <c r="F31" s="73"/>
      <c r="G31" s="75"/>
      <c r="H31" s="76"/>
      <c r="I31" s="76"/>
      <c r="J31" s="77"/>
      <c r="K31" s="77"/>
      <c r="L31" s="77"/>
      <c r="M31" s="77"/>
      <c r="N31" s="77"/>
      <c r="O31" s="77"/>
      <c r="W31" s="79"/>
    </row>
    <row r="32" spans="3:27" s="49" customFormat="1" ht="6" customHeight="1">
      <c r="C32" s="37"/>
      <c r="D32" s="80"/>
      <c r="E32" s="46"/>
      <c r="F32" s="36"/>
      <c r="G32" s="48"/>
      <c r="H32" s="36"/>
      <c r="I32" s="81"/>
      <c r="J32" s="82"/>
      <c r="K32" s="82"/>
      <c r="L32" s="82"/>
      <c r="M32" s="83"/>
      <c r="N32" s="83"/>
      <c r="O32" s="83"/>
      <c r="P32" s="69"/>
      <c r="Q32" s="84"/>
      <c r="X32" s="50"/>
    </row>
    <row r="33" spans="1:27" s="49" customFormat="1" ht="15.75">
      <c r="C33" s="808" t="s">
        <v>2005</v>
      </c>
      <c r="D33" s="808"/>
      <c r="E33" s="808"/>
      <c r="F33" s="808"/>
      <c r="G33" s="808"/>
      <c r="H33" s="808"/>
      <c r="I33" s="808"/>
      <c r="J33" s="808"/>
      <c r="K33" s="808"/>
      <c r="L33" s="808"/>
      <c r="M33" s="85"/>
      <c r="N33" s="85"/>
      <c r="O33" s="85"/>
      <c r="P33" s="85"/>
      <c r="Q33" s="85"/>
    </row>
    <row r="34" spans="1:27" s="49" customFormat="1" ht="15.75">
      <c r="C34" s="803" t="s">
        <v>4594</v>
      </c>
      <c r="D34" s="803"/>
      <c r="E34" s="86"/>
      <c r="G34" s="87"/>
      <c r="H34" s="805" t="s">
        <v>5449</v>
      </c>
      <c r="I34" s="806"/>
      <c r="J34" s="806"/>
      <c r="K34" s="807"/>
      <c r="L34" s="86"/>
      <c r="M34" s="88"/>
      <c r="N34" s="88"/>
      <c r="O34" s="89"/>
      <c r="P34" s="90" t="s">
        <v>2006</v>
      </c>
      <c r="Q34" s="37"/>
    </row>
    <row r="35" spans="1:27" s="49" customFormat="1" ht="15.75">
      <c r="C35" s="803" t="s">
        <v>3466</v>
      </c>
      <c r="D35" s="803"/>
      <c r="E35" s="86"/>
      <c r="G35" s="87"/>
      <c r="H35" s="805" t="s">
        <v>2011</v>
      </c>
      <c r="I35" s="806"/>
      <c r="J35" s="806"/>
      <c r="K35" s="807"/>
      <c r="L35" s="86"/>
      <c r="M35" s="88"/>
      <c r="N35" s="88"/>
      <c r="O35" s="91"/>
      <c r="P35" s="90" t="s">
        <v>2006</v>
      </c>
      <c r="Q35" s="37"/>
    </row>
    <row r="36" spans="1:27" s="49" customFormat="1" ht="15.75" customHeight="1">
      <c r="C36" s="708" t="s">
        <v>2008</v>
      </c>
      <c r="D36" s="708"/>
      <c r="E36" s="86"/>
      <c r="G36" s="87" t="str">
        <f>IFERROR(VLOOKUP(M2,datos,29,0),"")</f>
        <v/>
      </c>
      <c r="H36" s="805" t="s">
        <v>2009</v>
      </c>
      <c r="I36" s="806"/>
      <c r="J36" s="806"/>
      <c r="K36" s="807"/>
      <c r="L36" s="86"/>
      <c r="P36" s="90"/>
      <c r="Q36" s="37"/>
    </row>
    <row r="37" spans="1:27" s="49" customFormat="1" ht="15.75" customHeight="1">
      <c r="C37" s="804" t="s">
        <v>2010</v>
      </c>
      <c r="D37" s="804"/>
      <c r="E37" s="86"/>
      <c r="G37" s="87"/>
      <c r="I37" s="763" t="str">
        <f>IF(L36="X","Complete el formulario de Bachillerato Internacional y el Cuadro 1 y 2 de este formulario.","")</f>
        <v/>
      </c>
      <c r="J37" s="763"/>
      <c r="K37" s="763"/>
      <c r="L37" s="763"/>
      <c r="M37" s="763"/>
      <c r="N37" s="763"/>
      <c r="O37" s="763"/>
      <c r="P37" s="90"/>
      <c r="Q37" s="37"/>
    </row>
    <row r="38" spans="1:27" s="49" customFormat="1" ht="15.75" customHeight="1">
      <c r="C38" s="804" t="s">
        <v>2007</v>
      </c>
      <c r="D38" s="804"/>
      <c r="E38" s="86"/>
      <c r="G38" s="87"/>
      <c r="I38" s="763"/>
      <c r="J38" s="763"/>
      <c r="K38" s="763"/>
      <c r="L38" s="763"/>
      <c r="M38" s="763"/>
      <c r="N38" s="763"/>
      <c r="O38" s="763"/>
      <c r="P38" s="90" t="s">
        <v>2006</v>
      </c>
      <c r="Q38" s="37"/>
    </row>
    <row r="39" spans="1:27" s="78" customFormat="1" ht="6" customHeight="1">
      <c r="C39" s="92"/>
      <c r="D39" s="93"/>
      <c r="E39" s="92"/>
      <c r="F39" s="92"/>
      <c r="G39" s="94"/>
      <c r="H39" s="95"/>
      <c r="I39" s="764"/>
      <c r="J39" s="764"/>
      <c r="K39" s="764"/>
      <c r="L39" s="764"/>
      <c r="M39" s="764"/>
      <c r="N39" s="764"/>
      <c r="O39" s="764"/>
    </row>
    <row r="40" spans="1:27" ht="18" customHeight="1">
      <c r="C40" s="96" t="s">
        <v>3776</v>
      </c>
      <c r="D40" s="97"/>
      <c r="E40" s="97"/>
      <c r="F40" s="97"/>
      <c r="G40" s="97"/>
      <c r="H40" s="96" t="s">
        <v>3779</v>
      </c>
      <c r="I40" s="97"/>
      <c r="J40" s="97"/>
      <c r="K40" s="97"/>
      <c r="L40" s="97"/>
      <c r="M40" s="97"/>
      <c r="N40" s="97"/>
      <c r="O40" s="97"/>
    </row>
    <row r="41" spans="1:27" ht="17.25" customHeight="1">
      <c r="C41" s="38" t="s">
        <v>3777</v>
      </c>
      <c r="D41" s="765" t="str">
        <f>IFERROR(VLOOKUP(M2,datos,15,0),"")</f>
        <v/>
      </c>
      <c r="E41" s="784"/>
      <c r="F41" s="766"/>
      <c r="G41" s="36"/>
      <c r="H41" s="38" t="s">
        <v>3777</v>
      </c>
      <c r="I41" s="800"/>
      <c r="J41" s="801"/>
      <c r="K41" s="801"/>
      <c r="L41" s="801"/>
      <c r="M41" s="801"/>
      <c r="N41" s="801"/>
      <c r="O41" s="802"/>
      <c r="Z41" s="29"/>
      <c r="AA41" s="22"/>
    </row>
    <row r="42" spans="1:27" ht="8.25" customHeight="1">
      <c r="C42" s="98"/>
      <c r="D42" s="30"/>
      <c r="E42" s="30"/>
      <c r="F42" s="30"/>
      <c r="G42" s="30"/>
      <c r="H42" s="98"/>
      <c r="I42" s="30"/>
      <c r="J42" s="30"/>
      <c r="K42" s="30"/>
      <c r="L42" s="30"/>
      <c r="M42" s="30"/>
      <c r="N42" s="30"/>
      <c r="O42" s="30"/>
      <c r="Z42" s="29"/>
      <c r="AA42" s="22"/>
    </row>
    <row r="43" spans="1:27" ht="20.25" customHeight="1">
      <c r="C43" s="38" t="s">
        <v>3778</v>
      </c>
      <c r="D43" s="809"/>
      <c r="E43" s="810"/>
      <c r="F43" s="811"/>
      <c r="H43" s="38" t="s">
        <v>3778</v>
      </c>
      <c r="I43" s="809"/>
      <c r="J43" s="810"/>
      <c r="K43" s="810"/>
      <c r="L43" s="810"/>
      <c r="M43" s="810"/>
      <c r="N43" s="810"/>
      <c r="O43" s="811"/>
      <c r="Z43" s="29"/>
      <c r="AA43" s="22"/>
    </row>
    <row r="44" spans="1:27" s="49" customFormat="1" ht="8.25" customHeight="1">
      <c r="C44" s="47"/>
      <c r="E44" s="99"/>
      <c r="F44" s="99"/>
      <c r="G44" s="99"/>
      <c r="H44" s="47"/>
      <c r="I44" s="100"/>
      <c r="J44" s="100"/>
      <c r="K44" s="100"/>
      <c r="L44" s="100"/>
      <c r="M44" s="99"/>
      <c r="N44" s="99"/>
      <c r="O44" s="99"/>
      <c r="Z44" s="50"/>
    </row>
    <row r="45" spans="1:27" ht="17.25" customHeight="1">
      <c r="C45" s="38" t="s">
        <v>4043</v>
      </c>
      <c r="D45" s="101"/>
      <c r="F45" s="102"/>
      <c r="H45" s="38" t="s">
        <v>4043</v>
      </c>
      <c r="I45" s="812"/>
      <c r="J45" s="813"/>
      <c r="K45" s="814"/>
      <c r="O45" s="30"/>
      <c r="Z45" s="29"/>
      <c r="AA45" s="22"/>
    </row>
    <row r="46" spans="1:27" ht="8.25" customHeight="1"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Z46" s="29"/>
      <c r="AA46" s="22"/>
    </row>
    <row r="47" spans="1:27" ht="17.25" customHeight="1">
      <c r="C47" s="34"/>
      <c r="D47" s="815"/>
      <c r="E47" s="815"/>
      <c r="F47" s="30"/>
      <c r="Z47" s="29"/>
      <c r="AA47" s="22"/>
    </row>
    <row r="48" spans="1:27" ht="20.25" customHeight="1">
      <c r="A48" s="103"/>
      <c r="B48" s="103" t="s">
        <v>1232</v>
      </c>
      <c r="F48" s="30"/>
      <c r="G48" s="817" t="s">
        <v>4769</v>
      </c>
      <c r="H48" s="818"/>
      <c r="I48" s="818"/>
      <c r="J48" s="818"/>
      <c r="K48" s="818"/>
      <c r="L48" s="818"/>
      <c r="M48" s="818"/>
      <c r="N48" s="818"/>
      <c r="O48" s="819"/>
      <c r="Z48" s="29"/>
      <c r="AA48" s="22"/>
    </row>
    <row r="49" spans="1:27" ht="20.25" customHeight="1">
      <c r="A49" s="103"/>
      <c r="B49" s="103" t="s">
        <v>1233</v>
      </c>
      <c r="D49" s="104"/>
      <c r="E49" s="104"/>
      <c r="F49" s="105"/>
      <c r="G49" s="820"/>
      <c r="H49" s="821"/>
      <c r="I49" s="821"/>
      <c r="J49" s="821"/>
      <c r="K49" s="821"/>
      <c r="L49" s="821"/>
      <c r="M49" s="821"/>
      <c r="N49" s="821"/>
      <c r="O49" s="822"/>
      <c r="Z49" s="29"/>
      <c r="AA49" s="22"/>
    </row>
    <row r="50" spans="1:27" ht="20.25" customHeight="1">
      <c r="F50" s="105"/>
      <c r="G50" s="820"/>
      <c r="H50" s="821"/>
      <c r="I50" s="821"/>
      <c r="J50" s="821"/>
      <c r="K50" s="821"/>
      <c r="L50" s="821"/>
      <c r="M50" s="821"/>
      <c r="N50" s="821"/>
      <c r="O50" s="822"/>
      <c r="Z50" s="29"/>
      <c r="AA50" s="22"/>
    </row>
    <row r="51" spans="1:27" ht="20.25" customHeight="1">
      <c r="D51" s="826"/>
      <c r="E51" s="826"/>
      <c r="G51" s="820"/>
      <c r="H51" s="821"/>
      <c r="I51" s="821"/>
      <c r="J51" s="821"/>
      <c r="K51" s="821"/>
      <c r="L51" s="821"/>
      <c r="M51" s="821"/>
      <c r="N51" s="821"/>
      <c r="O51" s="822"/>
      <c r="Z51" s="29"/>
      <c r="AA51" s="22"/>
    </row>
    <row r="52" spans="1:27" ht="20.25" customHeight="1">
      <c r="D52" s="816" t="s">
        <v>1242</v>
      </c>
      <c r="E52" s="816"/>
      <c r="G52" s="823"/>
      <c r="H52" s="824"/>
      <c r="I52" s="824"/>
      <c r="J52" s="824"/>
      <c r="K52" s="824"/>
      <c r="L52" s="824"/>
      <c r="M52" s="824"/>
      <c r="N52" s="824"/>
      <c r="O52" s="825"/>
      <c r="Z52" s="29"/>
      <c r="AA52" s="22"/>
    </row>
    <row r="75" ht="15" customHeight="1"/>
    <row r="76" ht="14.25" customHeight="1"/>
    <row r="77" ht="14.25" customHeight="1"/>
    <row r="78" ht="14.25" customHeight="1"/>
    <row r="79" ht="14.25" customHeight="1"/>
    <row r="80" ht="15" customHeight="1"/>
  </sheetData>
  <sheetProtection algorithmName="SHA-512" hashValue="oXkDQq/Sqvf2qUBe6B6dCoE83Lm30dudleE7TReDloZc3enqnGYuZrFwK9WSLuX1pg8RJraUNApWE6z4NjvnEQ==" saltValue="m0z0ib9Ez6C3XchOGm2f7g==" spinCount="100000" sheet="1" objects="1" scenarios="1"/>
  <mergeCells count="35">
    <mergeCell ref="D43:F43"/>
    <mergeCell ref="I45:K45"/>
    <mergeCell ref="D47:E47"/>
    <mergeCell ref="D52:E52"/>
    <mergeCell ref="I43:O43"/>
    <mergeCell ref="G48:O52"/>
    <mergeCell ref="D51:E51"/>
    <mergeCell ref="D41:F41"/>
    <mergeCell ref="C26:E27"/>
    <mergeCell ref="F26:F27"/>
    <mergeCell ref="H26:M27"/>
    <mergeCell ref="I41:O41"/>
    <mergeCell ref="C34:D34"/>
    <mergeCell ref="C35:D35"/>
    <mergeCell ref="C37:D37"/>
    <mergeCell ref="H36:K36"/>
    <mergeCell ref="H35:K35"/>
    <mergeCell ref="C33:L33"/>
    <mergeCell ref="H34:K34"/>
    <mergeCell ref="C38:D38"/>
    <mergeCell ref="I2:L3"/>
    <mergeCell ref="M2:O3"/>
    <mergeCell ref="C6:O6"/>
    <mergeCell ref="C7:O8"/>
    <mergeCell ref="D17:H17"/>
    <mergeCell ref="G11:O11"/>
    <mergeCell ref="G13:H13"/>
    <mergeCell ref="D15:I15"/>
    <mergeCell ref="M15:O15"/>
    <mergeCell ref="D22:F22"/>
    <mergeCell ref="I37:O39"/>
    <mergeCell ref="I22:J22"/>
    <mergeCell ref="D19:E19"/>
    <mergeCell ref="H19:O20"/>
    <mergeCell ref="F19:G20"/>
  </mergeCells>
  <conditionalFormatting sqref="I22:J22 D13 M15:N15 D15:I15 D19:E19 D22:F22 G11:O11 N13 G13:H13">
    <cfRule type="cellIs" dxfId="279" priority="46" operator="equal">
      <formula>#N/A</formula>
    </cfRule>
  </conditionalFormatting>
  <conditionalFormatting sqref="O26:O27">
    <cfRule type="notContainsBlanks" dxfId="278" priority="47">
      <formula>LEN(TRIM(O26))&gt;0</formula>
    </cfRule>
  </conditionalFormatting>
  <conditionalFormatting sqref="N26:N27">
    <cfRule type="cellIs" dxfId="277" priority="19" operator="equal">
      <formula>"x"</formula>
    </cfRule>
  </conditionalFormatting>
  <conditionalFormatting sqref="P26:P27">
    <cfRule type="cellIs" dxfId="276" priority="17" operator="equal">
      <formula>"x"</formula>
    </cfRule>
  </conditionalFormatting>
  <conditionalFormatting sqref="P26:P27 N26:N27">
    <cfRule type="cellIs" dxfId="275" priority="16" operator="equal">
      <formula>"NO"</formula>
    </cfRule>
  </conditionalFormatting>
  <conditionalFormatting sqref="K17">
    <cfRule type="cellIs" dxfId="274" priority="14" operator="equal">
      <formula>#N/A</formula>
    </cfRule>
  </conditionalFormatting>
  <conditionalFormatting sqref="D17">
    <cfRule type="cellIs" dxfId="273" priority="13" operator="equal">
      <formula>#N/A</formula>
    </cfRule>
  </conditionalFormatting>
  <conditionalFormatting sqref="C29">
    <cfRule type="cellIs" dxfId="272" priority="12" operator="equal">
      <formula>"00000"</formula>
    </cfRule>
  </conditionalFormatting>
  <conditionalFormatting sqref="I17">
    <cfRule type="cellIs" dxfId="271" priority="9" operator="equal">
      <formula>#N/A</formula>
    </cfRule>
  </conditionalFormatting>
  <conditionalFormatting sqref="C29:C30">
    <cfRule type="cellIs" dxfId="270" priority="6" operator="equal">
      <formula>0</formula>
    </cfRule>
  </conditionalFormatting>
  <conditionalFormatting sqref="C28">
    <cfRule type="cellIs" dxfId="269" priority="4" operator="equal">
      <formula>"00000"</formula>
    </cfRule>
  </conditionalFormatting>
  <conditionalFormatting sqref="C28">
    <cfRule type="cellIs" dxfId="268" priority="3" operator="equal">
      <formula>0</formula>
    </cfRule>
  </conditionalFormatting>
  <conditionalFormatting sqref="F26:F30">
    <cfRule type="containsBlanks" dxfId="267" priority="2">
      <formula>LEN(TRIM(F26))=0</formula>
    </cfRule>
  </conditionalFormatting>
  <conditionalFormatting sqref="G36">
    <cfRule type="cellIs" dxfId="266" priority="1" operator="equal">
      <formula>0</formula>
    </cfRule>
  </conditionalFormatting>
  <dataValidations xWindow="122" yWindow="211" count="4">
    <dataValidation type="list" allowBlank="1" showInputMessage="1" showErrorMessage="1" sqref="F26 F28:F30 G31 G39">
      <formula1>sino</formula1>
    </dataValidation>
    <dataValidation allowBlank="1" showInputMessage="1" showErrorMessage="1" promptTitle="SOLO INSTIT. CON CÓDIGO PRESUP." prompt="_x000a_Digite únicamente los últimos 4 dígitos del Código Presupuestario." sqref="D11"/>
    <dataValidation type="list" allowBlank="1" showInputMessage="1" showErrorMessage="1" sqref="G18">
      <formula1>Canton</formula1>
    </dataValidation>
    <dataValidation type="list" allowBlank="1" showInputMessage="1" showErrorMessage="1" sqref="E34:E38 L35 L34 L36">
      <formula1>MARCA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scale="76" orientation="landscape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Z79"/>
  <sheetViews>
    <sheetView showGridLines="0" showRuler="0" zoomScale="90" zoomScaleNormal="90" workbookViewId="0">
      <selection activeCell="A3" sqref="A3"/>
    </sheetView>
  </sheetViews>
  <sheetFormatPr baseColWidth="10" defaultRowHeight="14.25"/>
  <cols>
    <col min="1" max="1" width="6.7109375" style="22" customWidth="1"/>
    <col min="2" max="2" width="24" style="22" customWidth="1"/>
    <col min="3" max="3" width="26.85546875" style="22" customWidth="1"/>
    <col min="4" max="4" width="6" style="22" customWidth="1"/>
    <col min="5" max="5" width="11.85546875" style="22" customWidth="1"/>
    <col min="6" max="6" width="3.42578125" style="22" customWidth="1"/>
    <col min="7" max="7" width="22.140625" style="22" customWidth="1"/>
    <col min="8" max="8" width="13.42578125" style="22" customWidth="1"/>
    <col min="9" max="9" width="2" style="22" customWidth="1"/>
    <col min="10" max="12" width="6" style="22" customWidth="1"/>
    <col min="13" max="13" width="0.5703125" style="22" customWidth="1"/>
    <col min="14" max="14" width="16.42578125" style="22" customWidth="1"/>
    <col min="15" max="15" width="0.7109375" style="22" customWidth="1"/>
    <col min="16" max="25" width="11.42578125" style="22"/>
    <col min="26" max="26" width="11.42578125" style="29"/>
    <col min="27" max="16384" width="11.42578125" style="22"/>
  </cols>
  <sheetData>
    <row r="1" spans="2:26" ht="14.25" customHeight="1">
      <c r="B1" s="21" t="s">
        <v>1238</v>
      </c>
      <c r="H1" s="785" t="s">
        <v>1</v>
      </c>
      <c r="I1" s="785"/>
      <c r="J1" s="785"/>
      <c r="K1" s="786"/>
      <c r="L1" s="787" t="str">
        <f>IFERROR(VLOOKUP(C10,nombres,2,0),"")</f>
        <v/>
      </c>
      <c r="M1" s="788"/>
      <c r="N1" s="789"/>
      <c r="Z1" s="22"/>
    </row>
    <row r="2" spans="2:26" ht="14.25" customHeight="1">
      <c r="B2" s="22" t="s">
        <v>1239</v>
      </c>
      <c r="H2" s="785"/>
      <c r="I2" s="785"/>
      <c r="J2" s="785"/>
      <c r="K2" s="786"/>
      <c r="L2" s="790"/>
      <c r="M2" s="791"/>
      <c r="N2" s="792"/>
      <c r="Z2" s="22"/>
    </row>
    <row r="3" spans="2:26" ht="14.25" customHeight="1">
      <c r="B3" s="22" t="s">
        <v>1240</v>
      </c>
      <c r="L3" s="23" t="s">
        <v>2</v>
      </c>
      <c r="M3" s="23"/>
      <c r="N3" s="24"/>
      <c r="Z3" s="22"/>
    </row>
    <row r="4" spans="2:26" ht="14.25" customHeight="1">
      <c r="M4" s="25"/>
      <c r="N4" s="25"/>
      <c r="Z4" s="22"/>
    </row>
    <row r="5" spans="2:26" s="27" customFormat="1" ht="34.5">
      <c r="B5" s="793" t="s">
        <v>5681</v>
      </c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Y5" s="28"/>
    </row>
    <row r="6" spans="2:26" ht="18.75" customHeight="1">
      <c r="B6" s="794" t="s">
        <v>2002</v>
      </c>
      <c r="C6" s="794"/>
      <c r="D6" s="794"/>
      <c r="E6" s="794"/>
      <c r="F6" s="794"/>
      <c r="G6" s="794"/>
      <c r="H6" s="794"/>
      <c r="I6" s="794"/>
      <c r="J6" s="794"/>
      <c r="K6" s="794"/>
      <c r="L6" s="794"/>
      <c r="M6" s="794"/>
      <c r="N6" s="794"/>
    </row>
    <row r="7" spans="2:26" ht="18.75" customHeight="1">
      <c r="B7" s="794"/>
      <c r="C7" s="794"/>
      <c r="D7" s="794"/>
      <c r="E7" s="794"/>
      <c r="F7" s="794"/>
      <c r="G7" s="794"/>
      <c r="H7" s="794"/>
      <c r="I7" s="794"/>
      <c r="J7" s="794"/>
      <c r="K7" s="794"/>
      <c r="L7" s="794"/>
      <c r="M7" s="794"/>
      <c r="N7" s="794"/>
    </row>
    <row r="8" spans="2:26">
      <c r="B8" s="30"/>
      <c r="C8" s="30"/>
      <c r="D8" s="30"/>
      <c r="E8" s="30"/>
    </row>
    <row r="9" spans="2:26" ht="6" customHeight="1">
      <c r="B9" s="3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2:26" ht="25.5">
      <c r="B10" s="32" t="s">
        <v>15</v>
      </c>
      <c r="C10" s="776"/>
      <c r="D10" s="777"/>
      <c r="E10" s="777"/>
      <c r="F10" s="777"/>
      <c r="G10" s="777"/>
      <c r="H10" s="777"/>
      <c r="I10" s="777"/>
      <c r="J10" s="778"/>
      <c r="K10" s="672"/>
    </row>
    <row r="11" spans="2:26" ht="8.25" customHeight="1">
      <c r="B11" s="34"/>
      <c r="C11" s="35"/>
      <c r="D11" s="673"/>
      <c r="E11" s="35"/>
      <c r="F11" s="35"/>
      <c r="G11" s="35"/>
      <c r="H11" s="35"/>
      <c r="I11" s="35"/>
      <c r="J11" s="36"/>
      <c r="K11" s="36"/>
      <c r="L11" s="36"/>
      <c r="M11" s="36"/>
      <c r="N11" s="36"/>
      <c r="O11" s="37"/>
    </row>
    <row r="12" spans="2:26" s="37" customFormat="1" ht="17.25" customHeight="1">
      <c r="B12" s="38" t="s">
        <v>5450</v>
      </c>
      <c r="C12" s="39" t="str">
        <f>IFERROR(VLOOKUP(L1,sincod,16,0),"")</f>
        <v/>
      </c>
      <c r="D12" s="36"/>
      <c r="E12" s="38" t="s">
        <v>5451</v>
      </c>
      <c r="F12" s="779" t="str">
        <f>IFERROR(VLOOKUP(L1,sincod,17,0),"")</f>
        <v/>
      </c>
      <c r="G12" s="780"/>
      <c r="H12" s="36"/>
      <c r="M12" s="40"/>
      <c r="N12" s="30"/>
      <c r="O12" s="22"/>
      <c r="Z12" s="41"/>
    </row>
    <row r="13" spans="2:26" ht="8.25" customHeight="1">
      <c r="B13" s="32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2:26" ht="32.25" customHeight="1">
      <c r="B14" s="42" t="s">
        <v>1051</v>
      </c>
      <c r="C14" s="781" t="str">
        <f>IFERROR(VLOOKUP(L1,sincod,18,0),"")</f>
        <v/>
      </c>
      <c r="D14" s="782"/>
      <c r="E14" s="782"/>
      <c r="F14" s="782"/>
      <c r="G14" s="782"/>
      <c r="H14" s="783"/>
      <c r="I14" s="30"/>
      <c r="K14" s="32" t="s">
        <v>10</v>
      </c>
      <c r="L14" s="765" t="str">
        <f>IFERROR(VLOOKUP(L1,sincod,14,0),"")</f>
        <v/>
      </c>
      <c r="M14" s="784"/>
      <c r="N14" s="766"/>
    </row>
    <row r="15" spans="2:26" ht="7.5" customHeight="1">
      <c r="B15" s="32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2:26" ht="17.25" customHeight="1">
      <c r="B16" s="34" t="s">
        <v>1241</v>
      </c>
      <c r="C16" s="767" t="str">
        <f>IFERROR(VLOOKUP(J16,prov,2,0),"")</f>
        <v/>
      </c>
      <c r="D16" s="795"/>
      <c r="E16" s="795"/>
      <c r="F16" s="795"/>
      <c r="G16" s="768"/>
      <c r="H16" s="43" t="str">
        <f>IFERROR(VLOOKUP(C16,PROV1,2,0),"")</f>
        <v/>
      </c>
      <c r="J16" s="44" t="str">
        <f>IFERROR(VLOOKUP(L1,sincod,9,0),"")</f>
        <v/>
      </c>
      <c r="K16" s="36"/>
      <c r="L16" s="36"/>
      <c r="Y16" s="29"/>
      <c r="Z16" s="22"/>
    </row>
    <row r="17" spans="2:26" s="49" customFormat="1" ht="8.25" customHeight="1">
      <c r="B17" s="34"/>
      <c r="C17" s="46"/>
      <c r="D17" s="46"/>
      <c r="E17" s="47"/>
      <c r="F17" s="48"/>
      <c r="G17" s="48"/>
      <c r="H17" s="47"/>
      <c r="I17" s="47"/>
      <c r="J17" s="47"/>
      <c r="K17" s="47"/>
      <c r="L17" s="48"/>
      <c r="M17" s="48"/>
      <c r="N17" s="48"/>
      <c r="Z17" s="50"/>
    </row>
    <row r="18" spans="2:26" s="49" customFormat="1" ht="17.25" customHeight="1">
      <c r="B18" s="34" t="s">
        <v>875</v>
      </c>
      <c r="C18" s="767" t="str">
        <f>IFERROR(VLOOKUP(L1,sincod,13,0),"")</f>
        <v/>
      </c>
      <c r="D18" s="768"/>
      <c r="E18" s="775" t="s">
        <v>876</v>
      </c>
      <c r="F18" s="775"/>
      <c r="G18" s="769" t="str">
        <f>IFERROR(VLOOKUP(L1,sincod,19,0),"")</f>
        <v/>
      </c>
      <c r="H18" s="770"/>
      <c r="I18" s="770"/>
      <c r="J18" s="770"/>
      <c r="K18" s="770"/>
      <c r="L18" s="770"/>
      <c r="M18" s="770"/>
      <c r="N18" s="771"/>
      <c r="Z18" s="50"/>
    </row>
    <row r="19" spans="2:26" s="49" customFormat="1">
      <c r="B19" s="34"/>
      <c r="C19" s="46"/>
      <c r="D19" s="46"/>
      <c r="E19" s="775"/>
      <c r="F19" s="775"/>
      <c r="G19" s="772"/>
      <c r="H19" s="773"/>
      <c r="I19" s="773"/>
      <c r="J19" s="773"/>
      <c r="K19" s="773"/>
      <c r="L19" s="773"/>
      <c r="M19" s="773"/>
      <c r="N19" s="774"/>
      <c r="Z19" s="50"/>
    </row>
    <row r="20" spans="2:26" s="49" customFormat="1" ht="8.25" customHeight="1">
      <c r="B20" s="34"/>
      <c r="C20" s="46"/>
      <c r="D20" s="46"/>
      <c r="E20" s="47"/>
      <c r="F20" s="48"/>
      <c r="G20" s="48"/>
      <c r="H20" s="47"/>
      <c r="I20" s="47"/>
      <c r="J20" s="47"/>
      <c r="K20" s="47"/>
      <c r="L20" s="48"/>
      <c r="M20" s="48"/>
      <c r="N20" s="48"/>
      <c r="Z20" s="50"/>
    </row>
    <row r="21" spans="2:26" s="49" customFormat="1" ht="17.25" customHeight="1">
      <c r="B21" s="32" t="s">
        <v>877</v>
      </c>
      <c r="C21" s="765" t="str">
        <f>IFERROR(VLOOKUP(L1,sincod,4,0),"")</f>
        <v/>
      </c>
      <c r="D21" s="784"/>
      <c r="E21" s="766"/>
      <c r="F21" s="30"/>
      <c r="G21" s="38" t="s">
        <v>14</v>
      </c>
      <c r="H21" s="765" t="str">
        <f>IFERROR(VLOOKUP(L1,sincod,5,0),"")</f>
        <v/>
      </c>
      <c r="I21" s="766"/>
      <c r="J21" s="47"/>
      <c r="K21" s="47"/>
      <c r="L21" s="48"/>
      <c r="M21" s="48"/>
      <c r="N21" s="48"/>
      <c r="Z21" s="50"/>
    </row>
    <row r="22" spans="2:26" s="49" customFormat="1" ht="8.25" customHeight="1">
      <c r="B22" s="51"/>
      <c r="C22" s="51"/>
      <c r="D22" s="51"/>
      <c r="E22" s="51"/>
      <c r="F22" s="51"/>
      <c r="G22" s="51"/>
      <c r="H22" s="51"/>
      <c r="I22" s="51"/>
      <c r="J22" s="52"/>
      <c r="K22" s="52"/>
      <c r="L22" s="53"/>
      <c r="M22" s="53"/>
      <c r="N22" s="53"/>
      <c r="Z22" s="50"/>
    </row>
    <row r="23" spans="2:26" s="49" customFormat="1" ht="8.25" customHeight="1">
      <c r="B23" s="54"/>
      <c r="C23" s="54"/>
      <c r="D23" s="54"/>
      <c r="E23" s="54"/>
      <c r="F23" s="54"/>
      <c r="G23" s="54"/>
      <c r="H23" s="55"/>
      <c r="I23" s="54"/>
      <c r="J23" s="56"/>
      <c r="K23" s="56"/>
      <c r="L23" s="48"/>
      <c r="M23" s="48"/>
      <c r="N23" s="57"/>
      <c r="Z23" s="50"/>
    </row>
    <row r="24" spans="2:26" s="49" customFormat="1" ht="17.25" customHeight="1">
      <c r="B24" s="58" t="s">
        <v>1217</v>
      </c>
      <c r="D24" s="59"/>
      <c r="E24" s="59"/>
      <c r="F24" s="59"/>
      <c r="G24" s="59"/>
      <c r="H24" s="55"/>
      <c r="I24" s="60"/>
      <c r="J24" s="60"/>
      <c r="K24" s="60"/>
      <c r="L24" s="60"/>
      <c r="M24" s="61"/>
      <c r="N24" s="62"/>
      <c r="Z24" s="50"/>
    </row>
    <row r="25" spans="2:26" s="49" customFormat="1" ht="14.25" customHeight="1">
      <c r="B25" s="796" t="s">
        <v>2003</v>
      </c>
      <c r="C25" s="796"/>
      <c r="D25" s="797"/>
      <c r="E25" s="798"/>
      <c r="F25" s="59"/>
      <c r="G25" s="799" t="str">
        <f>IF(E25="Sí","Complete el Cuadro 8 (Parte 1, 2 y 3) de este formulario.","")</f>
        <v/>
      </c>
      <c r="H25" s="799"/>
      <c r="I25" s="799"/>
      <c r="J25" s="799"/>
      <c r="K25" s="799"/>
      <c r="L25" s="799"/>
      <c r="M25" s="61"/>
      <c r="N25" s="64"/>
      <c r="Z25" s="50"/>
    </row>
    <row r="26" spans="2:26" s="49" customFormat="1" ht="14.25" customHeight="1">
      <c r="B26" s="796"/>
      <c r="C26" s="796"/>
      <c r="D26" s="797"/>
      <c r="E26" s="798"/>
      <c r="F26" s="59"/>
      <c r="G26" s="799"/>
      <c r="H26" s="799"/>
      <c r="I26" s="799"/>
      <c r="J26" s="799"/>
      <c r="K26" s="799"/>
      <c r="L26" s="799"/>
      <c r="M26" s="61"/>
      <c r="N26" s="64"/>
      <c r="Z26" s="50"/>
    </row>
    <row r="27" spans="2:26" s="49" customFormat="1" ht="18" customHeight="1">
      <c r="B27" s="65" t="str">
        <f>IFERROR(VLOOKUP(L1,sincod,21,0),"")</f>
        <v/>
      </c>
      <c r="D27" s="66" t="s">
        <v>2004</v>
      </c>
      <c r="E27" s="67"/>
      <c r="F27" s="674"/>
      <c r="G27" s="683" t="str">
        <f>IF(E27="Sí","Complete el formulario para Plan Nacional y, el Cuadro 1 de este formulario.","")</f>
        <v/>
      </c>
      <c r="H27" s="50"/>
      <c r="I27" s="684"/>
      <c r="J27" s="50"/>
      <c r="K27" s="50"/>
      <c r="L27" s="83"/>
      <c r="M27" s="69"/>
      <c r="N27" s="70"/>
      <c r="Z27" s="50"/>
    </row>
    <row r="28" spans="2:26" s="49" customFormat="1" ht="18" customHeight="1">
      <c r="B28" s="65" t="str">
        <f>IFERROR(VLOOKUP(#REF!,sincod,31,0),"")</f>
        <v/>
      </c>
      <c r="D28" s="66" t="s">
        <v>1237</v>
      </c>
      <c r="E28" s="67"/>
      <c r="F28" s="674"/>
      <c r="G28" s="701" t="str">
        <f>IF(E28="Sí","Complete el Cuadro 1 de este formulario.","")</f>
        <v/>
      </c>
      <c r="H28" s="50"/>
      <c r="I28" s="684"/>
      <c r="J28" s="50"/>
      <c r="K28" s="50"/>
      <c r="L28" s="685"/>
      <c r="M28" s="72"/>
      <c r="N28" s="72"/>
      <c r="Z28" s="50"/>
    </row>
    <row r="29" spans="2:26" s="49" customFormat="1" ht="18" customHeight="1">
      <c r="B29" s="65"/>
      <c r="D29" s="66" t="s">
        <v>4955</v>
      </c>
      <c r="E29" s="67"/>
      <c r="F29" s="674"/>
      <c r="G29" s="683"/>
      <c r="H29" s="50"/>
      <c r="I29" s="684"/>
      <c r="J29" s="50"/>
      <c r="K29" s="50"/>
      <c r="L29" s="685"/>
      <c r="M29" s="72"/>
      <c r="N29" s="72"/>
      <c r="Z29" s="50"/>
    </row>
    <row r="30" spans="2:26" s="78" customFormat="1" ht="8.25" customHeight="1">
      <c r="B30" s="73"/>
      <c r="C30" s="74"/>
      <c r="D30" s="73"/>
      <c r="E30" s="73"/>
      <c r="F30" s="75"/>
      <c r="G30" s="76"/>
      <c r="H30" s="76"/>
      <c r="I30" s="77"/>
      <c r="J30" s="77"/>
      <c r="K30" s="77"/>
      <c r="L30" s="77"/>
      <c r="M30" s="77"/>
      <c r="N30" s="77"/>
      <c r="V30" s="79"/>
    </row>
    <row r="31" spans="2:26" s="49" customFormat="1" ht="6" customHeight="1">
      <c r="B31" s="37"/>
      <c r="C31" s="80"/>
      <c r="D31" s="46"/>
      <c r="E31" s="36"/>
      <c r="F31" s="48"/>
      <c r="G31" s="36"/>
      <c r="H31" s="81"/>
      <c r="I31" s="82"/>
      <c r="J31" s="82"/>
      <c r="K31" s="82"/>
      <c r="L31" s="83"/>
      <c r="M31" s="83"/>
      <c r="N31" s="83"/>
      <c r="O31" s="69"/>
      <c r="P31" s="84"/>
      <c r="W31" s="50"/>
    </row>
    <row r="32" spans="2:26" s="49" customFormat="1" ht="15.75">
      <c r="B32" s="808" t="s">
        <v>2005</v>
      </c>
      <c r="C32" s="808"/>
      <c r="D32" s="808"/>
      <c r="E32" s="808"/>
      <c r="F32" s="808"/>
      <c r="G32" s="808"/>
      <c r="H32" s="808"/>
      <c r="I32" s="808"/>
      <c r="J32" s="808"/>
      <c r="K32" s="808"/>
      <c r="L32" s="85"/>
      <c r="M32" s="85"/>
      <c r="N32" s="85"/>
      <c r="O32" s="85"/>
      <c r="P32" s="85"/>
    </row>
    <row r="33" spans="2:26" s="49" customFormat="1" ht="15.75">
      <c r="B33" s="803" t="s">
        <v>4594</v>
      </c>
      <c r="C33" s="803"/>
      <c r="D33" s="86"/>
      <c r="F33" s="87"/>
      <c r="G33" s="805" t="s">
        <v>5449</v>
      </c>
      <c r="H33" s="806"/>
      <c r="I33" s="806"/>
      <c r="J33" s="807"/>
      <c r="K33" s="86"/>
      <c r="L33" s="88"/>
      <c r="M33" s="88"/>
      <c r="N33" s="89"/>
      <c r="O33" s="90" t="s">
        <v>2006</v>
      </c>
      <c r="P33" s="37"/>
    </row>
    <row r="34" spans="2:26" s="49" customFormat="1" ht="15.75">
      <c r="B34" s="803" t="s">
        <v>3466</v>
      </c>
      <c r="C34" s="803"/>
      <c r="D34" s="86"/>
      <c r="F34" s="87"/>
      <c r="G34" s="805" t="s">
        <v>2011</v>
      </c>
      <c r="H34" s="806"/>
      <c r="I34" s="806"/>
      <c r="J34" s="807"/>
      <c r="K34" s="86"/>
      <c r="L34" s="88"/>
      <c r="M34" s="88"/>
      <c r="N34" s="91"/>
      <c r="O34" s="90" t="s">
        <v>2006</v>
      </c>
      <c r="P34" s="37"/>
    </row>
    <row r="35" spans="2:26" s="49" customFormat="1" ht="15.75">
      <c r="B35" s="804" t="s">
        <v>2008</v>
      </c>
      <c r="C35" s="804"/>
      <c r="D35" s="86"/>
      <c r="F35" s="87" t="str">
        <f>IFERROR(VLOOKUP(L1,sincod,29,0),"")</f>
        <v/>
      </c>
      <c r="G35" s="805" t="s">
        <v>2009</v>
      </c>
      <c r="H35" s="806"/>
      <c r="I35" s="806"/>
      <c r="J35" s="807"/>
      <c r="K35" s="86"/>
      <c r="L35" s="88"/>
      <c r="M35" s="88"/>
      <c r="N35" s="89"/>
      <c r="O35" s="90" t="s">
        <v>2006</v>
      </c>
      <c r="P35" s="37"/>
    </row>
    <row r="36" spans="2:26" s="49" customFormat="1">
      <c r="B36" s="804" t="s">
        <v>2010</v>
      </c>
      <c r="C36" s="804"/>
      <c r="D36" s="86"/>
      <c r="F36" s="87"/>
      <c r="G36" s="754"/>
      <c r="H36" s="763" t="str">
        <f>IF(K35="X","Complete el formulario de Bachillerato Internacional y el Cuadro 1 y 2 de este formulario.","")</f>
        <v/>
      </c>
      <c r="I36" s="763"/>
      <c r="J36" s="763"/>
      <c r="K36" s="763"/>
      <c r="L36" s="763"/>
      <c r="M36" s="763"/>
      <c r="N36" s="763"/>
      <c r="O36" s="90"/>
      <c r="P36" s="37"/>
    </row>
    <row r="37" spans="2:26" s="49" customFormat="1">
      <c r="B37" s="827" t="s">
        <v>2007</v>
      </c>
      <c r="C37" s="828"/>
      <c r="D37" s="86"/>
      <c r="F37" s="87"/>
      <c r="H37" s="763"/>
      <c r="I37" s="763"/>
      <c r="J37" s="763"/>
      <c r="K37" s="763"/>
      <c r="L37" s="763"/>
      <c r="M37" s="763"/>
      <c r="N37" s="763"/>
      <c r="O37" s="90" t="s">
        <v>2006</v>
      </c>
      <c r="P37" s="37"/>
    </row>
    <row r="38" spans="2:26" s="78" customFormat="1" ht="6" customHeight="1">
      <c r="B38" s="92"/>
      <c r="C38" s="93"/>
      <c r="D38" s="92"/>
      <c r="E38" s="92"/>
      <c r="F38" s="94"/>
      <c r="G38" s="95"/>
      <c r="H38" s="764"/>
      <c r="I38" s="764"/>
      <c r="J38" s="764"/>
      <c r="K38" s="764"/>
      <c r="L38" s="764"/>
      <c r="M38" s="764"/>
      <c r="N38" s="764"/>
    </row>
    <row r="39" spans="2:26" ht="18.75" customHeight="1">
      <c r="B39" s="96" t="s">
        <v>3776</v>
      </c>
      <c r="C39" s="97"/>
      <c r="D39" s="97"/>
      <c r="E39" s="97"/>
      <c r="F39" s="97"/>
      <c r="G39" s="96" t="s">
        <v>3779</v>
      </c>
      <c r="H39" s="97"/>
      <c r="I39" s="97"/>
      <c r="J39" s="97"/>
      <c r="K39" s="97"/>
      <c r="L39" s="97"/>
      <c r="M39" s="97"/>
      <c r="N39" s="97"/>
    </row>
    <row r="40" spans="2:26" ht="18" customHeight="1">
      <c r="B40" s="38" t="s">
        <v>3777</v>
      </c>
      <c r="C40" s="765" t="str">
        <f>IFERROR(VLOOKUP('Portada 2-sin Código Presup.'!L1,sincod,15,0),"")</f>
        <v/>
      </c>
      <c r="D40" s="784"/>
      <c r="E40" s="766"/>
      <c r="F40" s="36"/>
      <c r="G40" s="38" t="s">
        <v>3777</v>
      </c>
      <c r="H40" s="800"/>
      <c r="I40" s="801"/>
      <c r="J40" s="801"/>
      <c r="K40" s="801"/>
      <c r="L40" s="801"/>
      <c r="M40" s="801"/>
      <c r="N40" s="802"/>
      <c r="Y40" s="29"/>
      <c r="Z40" s="22"/>
    </row>
    <row r="41" spans="2:26" ht="8.25" customHeight="1">
      <c r="B41" s="98"/>
      <c r="C41" s="30"/>
      <c r="D41" s="30"/>
      <c r="E41" s="30"/>
      <c r="F41" s="30"/>
      <c r="G41" s="98"/>
      <c r="H41" s="30"/>
      <c r="I41" s="30"/>
      <c r="J41" s="30"/>
      <c r="K41" s="30"/>
      <c r="L41" s="30"/>
      <c r="M41" s="30"/>
      <c r="N41" s="30"/>
      <c r="Y41" s="29"/>
      <c r="Z41" s="22"/>
    </row>
    <row r="42" spans="2:26" ht="20.25" customHeight="1">
      <c r="B42" s="38" t="s">
        <v>3778</v>
      </c>
      <c r="C42" s="809"/>
      <c r="D42" s="810"/>
      <c r="E42" s="811"/>
      <c r="G42" s="38" t="s">
        <v>3778</v>
      </c>
      <c r="H42" s="809"/>
      <c r="I42" s="810"/>
      <c r="J42" s="810"/>
      <c r="K42" s="810"/>
      <c r="L42" s="810"/>
      <c r="M42" s="810"/>
      <c r="N42" s="811"/>
      <c r="Y42" s="29"/>
      <c r="Z42" s="22"/>
    </row>
    <row r="43" spans="2:26" s="49" customFormat="1" ht="8.25" customHeight="1">
      <c r="B43" s="47"/>
      <c r="D43" s="99"/>
      <c r="E43" s="99"/>
      <c r="F43" s="99"/>
      <c r="G43" s="47"/>
      <c r="H43" s="100"/>
      <c r="I43" s="100"/>
      <c r="J43" s="100"/>
      <c r="K43" s="100"/>
      <c r="L43" s="99"/>
      <c r="M43" s="99"/>
      <c r="N43" s="99"/>
      <c r="Y43" s="50"/>
    </row>
    <row r="44" spans="2:26" ht="17.25" customHeight="1">
      <c r="B44" s="38" t="s">
        <v>4043</v>
      </c>
      <c r="C44" s="101"/>
      <c r="E44" s="102"/>
      <c r="G44" s="38" t="s">
        <v>4043</v>
      </c>
      <c r="H44" s="812"/>
      <c r="I44" s="813"/>
      <c r="J44" s="814"/>
      <c r="N44" s="30"/>
      <c r="Y44" s="29"/>
      <c r="Z44" s="22"/>
    </row>
    <row r="45" spans="2:26" ht="8.25" customHeight="1">
      <c r="C45" s="675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Y45" s="29"/>
      <c r="Z45" s="22"/>
    </row>
    <row r="46" spans="2:26" ht="17.25" customHeight="1">
      <c r="B46" s="34"/>
      <c r="C46" s="676"/>
      <c r="D46" s="676"/>
      <c r="E46" s="30"/>
      <c r="Y46" s="29"/>
      <c r="Z46" s="22"/>
    </row>
    <row r="47" spans="2:26" ht="17.25" customHeight="1">
      <c r="C47" s="37"/>
      <c r="D47" s="37"/>
      <c r="E47" s="36"/>
      <c r="F47" s="817" t="s">
        <v>4769</v>
      </c>
      <c r="G47" s="818"/>
      <c r="H47" s="818"/>
      <c r="I47" s="818"/>
      <c r="J47" s="818"/>
      <c r="K47" s="818"/>
      <c r="L47" s="818"/>
      <c r="M47" s="818"/>
      <c r="N47" s="819"/>
      <c r="Y47" s="29"/>
      <c r="Z47" s="22"/>
    </row>
    <row r="48" spans="2:26" ht="17.25" customHeight="1">
      <c r="C48" s="104"/>
      <c r="D48" s="104"/>
      <c r="E48" s="105"/>
      <c r="F48" s="820"/>
      <c r="G48" s="821"/>
      <c r="H48" s="821"/>
      <c r="I48" s="821"/>
      <c r="J48" s="821"/>
      <c r="K48" s="821"/>
      <c r="L48" s="821"/>
      <c r="M48" s="821"/>
      <c r="N48" s="822"/>
      <c r="Y48" s="29"/>
      <c r="Z48" s="22"/>
    </row>
    <row r="49" spans="3:26" ht="17.25" customHeight="1">
      <c r="E49" s="105"/>
      <c r="F49" s="820"/>
      <c r="G49" s="821"/>
      <c r="H49" s="821"/>
      <c r="I49" s="821"/>
      <c r="J49" s="821"/>
      <c r="K49" s="821"/>
      <c r="L49" s="821"/>
      <c r="M49" s="821"/>
      <c r="N49" s="822"/>
      <c r="Y49" s="29"/>
      <c r="Z49" s="22"/>
    </row>
    <row r="50" spans="3:26" ht="17.25" customHeight="1">
      <c r="F50" s="820"/>
      <c r="G50" s="821"/>
      <c r="H50" s="821"/>
      <c r="I50" s="821"/>
      <c r="J50" s="821"/>
      <c r="K50" s="821"/>
      <c r="L50" s="821"/>
      <c r="M50" s="821"/>
      <c r="N50" s="822"/>
      <c r="Y50" s="29"/>
      <c r="Z50" s="22"/>
    </row>
    <row r="51" spans="3:26" ht="17.25" customHeight="1">
      <c r="C51" s="816" t="s">
        <v>1242</v>
      </c>
      <c r="D51" s="816"/>
      <c r="F51" s="823"/>
      <c r="G51" s="824"/>
      <c r="H51" s="824"/>
      <c r="I51" s="824"/>
      <c r="J51" s="824"/>
      <c r="K51" s="824"/>
      <c r="L51" s="824"/>
      <c r="M51" s="824"/>
      <c r="N51" s="825"/>
      <c r="Y51" s="29"/>
      <c r="Z51" s="22"/>
    </row>
    <row r="74" ht="15" customHeight="1"/>
    <row r="75" ht="14.25" customHeight="1"/>
    <row r="76" ht="14.25" customHeight="1"/>
    <row r="77" ht="14.25" customHeight="1"/>
    <row r="78" ht="14.25" customHeight="1"/>
    <row r="79" ht="15" customHeight="1"/>
  </sheetData>
  <sheetProtection algorithmName="SHA-512" hashValue="iMm9qOZ/KT5u3FGidJWsLHtC+LToBtu1aOG7RK9PmpaF1NcpYOY9MDLQ3BR19UN1ow7zTmUFCG04jouErNA+1Q==" saltValue="D6yfpLvP162BT2kCeeICTg==" spinCount="100000" sheet="1" objects="1" scenarios="1"/>
  <mergeCells count="34">
    <mergeCell ref="B37:C37"/>
    <mergeCell ref="H36:N38"/>
    <mergeCell ref="F47:N51"/>
    <mergeCell ref="C51:D51"/>
    <mergeCell ref="C40:E40"/>
    <mergeCell ref="H40:N40"/>
    <mergeCell ref="C42:E42"/>
    <mergeCell ref="H42:N42"/>
    <mergeCell ref="H44:J44"/>
    <mergeCell ref="B6:N7"/>
    <mergeCell ref="C10:J10"/>
    <mergeCell ref="B35:C35"/>
    <mergeCell ref="G35:J35"/>
    <mergeCell ref="B36:C36"/>
    <mergeCell ref="G34:J34"/>
    <mergeCell ref="B32:K32"/>
    <mergeCell ref="B34:C34"/>
    <mergeCell ref="G33:J33"/>
    <mergeCell ref="H1:K2"/>
    <mergeCell ref="B25:D26"/>
    <mergeCell ref="E25:E26"/>
    <mergeCell ref="G25:L26"/>
    <mergeCell ref="B33:C33"/>
    <mergeCell ref="C21:E21"/>
    <mergeCell ref="H21:I21"/>
    <mergeCell ref="C14:H14"/>
    <mergeCell ref="L14:N14"/>
    <mergeCell ref="C16:G16"/>
    <mergeCell ref="C18:D18"/>
    <mergeCell ref="E18:F19"/>
    <mergeCell ref="G18:N19"/>
    <mergeCell ref="F12:G12"/>
    <mergeCell ref="L1:N2"/>
    <mergeCell ref="B5:N5"/>
  </mergeCells>
  <conditionalFormatting sqref="H21:I21 C12 L14:M14 C14:H14 C18:D18 C21:E21 C10:K10 M12 F12:G12">
    <cfRule type="cellIs" dxfId="265" priority="46" operator="equal">
      <formula>#N/A</formula>
    </cfRule>
  </conditionalFormatting>
  <conditionalFormatting sqref="M25:M26">
    <cfRule type="cellIs" dxfId="264" priority="31" operator="equal">
      <formula>"x"</formula>
    </cfRule>
  </conditionalFormatting>
  <conditionalFormatting sqref="O25:O26">
    <cfRule type="cellIs" dxfId="263" priority="30" operator="equal">
      <formula>"x"</formula>
    </cfRule>
  </conditionalFormatting>
  <conditionalFormatting sqref="O25:O26 M25:M26">
    <cfRule type="cellIs" dxfId="262" priority="29" operator="equal">
      <formula>"NO"</formula>
    </cfRule>
  </conditionalFormatting>
  <conditionalFormatting sqref="B27">
    <cfRule type="cellIs" dxfId="261" priority="28" operator="equal">
      <formula>"00000"</formula>
    </cfRule>
  </conditionalFormatting>
  <conditionalFormatting sqref="J16">
    <cfRule type="cellIs" dxfId="260" priority="21" operator="equal">
      <formula>#N/A</formula>
    </cfRule>
  </conditionalFormatting>
  <conditionalFormatting sqref="C16">
    <cfRule type="cellIs" dxfId="259" priority="20" operator="equal">
      <formula>#N/A</formula>
    </cfRule>
  </conditionalFormatting>
  <conditionalFormatting sqref="H16">
    <cfRule type="cellIs" dxfId="258" priority="13" operator="equal">
      <formula>#N/A</formula>
    </cfRule>
  </conditionalFormatting>
  <conditionalFormatting sqref="B27 B29">
    <cfRule type="cellIs" dxfId="257" priority="10" operator="equal">
      <formula>0</formula>
    </cfRule>
  </conditionalFormatting>
  <conditionalFormatting sqref="B29">
    <cfRule type="cellIs" dxfId="256" priority="8" operator="equal">
      <formula>"00000"</formula>
    </cfRule>
  </conditionalFormatting>
  <conditionalFormatting sqref="B28">
    <cfRule type="cellIs" dxfId="255" priority="3" operator="equal">
      <formula>"00000"</formula>
    </cfRule>
  </conditionalFormatting>
  <conditionalFormatting sqref="B28">
    <cfRule type="cellIs" dxfId="254" priority="4" operator="equal">
      <formula>0</formula>
    </cfRule>
  </conditionalFormatting>
  <conditionalFormatting sqref="E25:E29">
    <cfRule type="containsBlanks" dxfId="253" priority="2">
      <formula>LEN(TRIM(E25))=0</formula>
    </cfRule>
  </conditionalFormatting>
  <conditionalFormatting sqref="F35">
    <cfRule type="cellIs" dxfId="252" priority="1" operator="equal">
      <formula>0</formula>
    </cfRule>
  </conditionalFormatting>
  <dataValidations count="4">
    <dataValidation type="list" allowBlank="1" showInputMessage="1" showErrorMessage="1" promptTitle="INSTITUCIONES SIN CODIGO PRESUP." prompt="_x000a_Seleccione el nombre de la Institución." sqref="C10:J10">
      <formula1>lista</formula1>
    </dataValidation>
    <dataValidation type="list" allowBlank="1" showInputMessage="1" showErrorMessage="1" sqref="E25 F30 F38 E27:E29">
      <formula1>sino</formula1>
    </dataValidation>
    <dataValidation type="list" allowBlank="1" showInputMessage="1" showErrorMessage="1" sqref="F17">
      <formula1>Canton</formula1>
    </dataValidation>
    <dataValidation type="list" allowBlank="1" showInputMessage="1" showErrorMessage="1" sqref="D33:D37 K33:K35">
      <formula1>MARCA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scale="82" orientation="landscape" r:id="rId1"/>
  <headerFooter scaleWithDoc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36" id="{6299D632-5F56-4964-A255-044D67861B1E}">
            <xm:f>LEN(TRIM('Portada 1-con Código Presup.'!O26))&gt;0</xm:f>
            <x14:dxf>
              <font>
                <color auto="1"/>
              </font>
              <fill>
                <patternFill>
                  <bgColor rgb="FFFFFFCC"/>
                </patternFill>
              </fill>
              <border>
                <left style="dashed">
                  <color auto="1"/>
                </left>
                <right style="dashed">
                  <color auto="1"/>
                </right>
                <top style="dashed">
                  <color auto="1"/>
                </top>
                <bottom style="dashed">
                  <color auto="1"/>
                </bottom>
                <vertical/>
                <horizontal/>
              </border>
            </x14:dxf>
          </x14:cfRule>
          <xm:sqref>N25:N26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P34"/>
  <sheetViews>
    <sheetView showGridLines="0" showRuler="0" zoomScale="90" zoomScaleNormal="90" workbookViewId="0">
      <selection activeCell="A2" sqref="A2"/>
    </sheetView>
  </sheetViews>
  <sheetFormatPr baseColWidth="10" defaultRowHeight="14.25"/>
  <cols>
    <col min="1" max="1" width="7.7109375" style="218" customWidth="1"/>
    <col min="2" max="2" width="15.7109375" style="218" customWidth="1"/>
    <col min="3" max="3" width="30.28515625" style="218" customWidth="1"/>
    <col min="4" max="4" width="5.85546875" style="218" customWidth="1"/>
    <col min="5" max="10" width="11.140625" style="218" customWidth="1"/>
    <col min="11" max="11" width="15.140625" style="218" customWidth="1"/>
    <col min="12" max="16384" width="11.42578125" style="218"/>
  </cols>
  <sheetData>
    <row r="1" spans="2:16" ht="18">
      <c r="B1" s="610" t="s">
        <v>1949</v>
      </c>
      <c r="C1" s="610"/>
      <c r="D1" s="610"/>
      <c r="H1" s="681"/>
      <c r="I1" s="681"/>
      <c r="J1" s="861">
        <f>IF('Portada 1-con Código Presup.'!$M$2="",'Portada 2-sin Código Presup.'!$K$1,'Portada 1-con Código Presup.'!$M$2)</f>
        <v>0</v>
      </c>
      <c r="K1" s="862"/>
      <c r="L1" s="611"/>
      <c r="N1" s="611"/>
      <c r="O1" s="611"/>
      <c r="P1" s="611"/>
    </row>
    <row r="2" spans="2:16" ht="37.5" customHeight="1" thickBot="1">
      <c r="B2" s="855" t="s">
        <v>4391</v>
      </c>
      <c r="C2" s="855"/>
      <c r="D2" s="855"/>
      <c r="E2" s="855"/>
      <c r="F2" s="855"/>
      <c r="G2" s="855"/>
      <c r="H2" s="855"/>
      <c r="I2" s="855"/>
      <c r="J2" s="855"/>
      <c r="K2" s="855"/>
    </row>
    <row r="3" spans="2:16" ht="26.25" customHeight="1" thickTop="1">
      <c r="B3" s="858" t="s">
        <v>4392</v>
      </c>
      <c r="C3" s="858"/>
      <c r="D3" s="612"/>
      <c r="E3" s="860" t="s">
        <v>1951</v>
      </c>
      <c r="F3" s="848"/>
      <c r="G3" s="848"/>
      <c r="H3" s="847" t="s">
        <v>4389</v>
      </c>
      <c r="I3" s="848"/>
      <c r="J3" s="848"/>
      <c r="K3" s="856" t="s">
        <v>4034</v>
      </c>
    </row>
    <row r="4" spans="2:16" ht="26.25" customHeight="1" thickBot="1">
      <c r="B4" s="859"/>
      <c r="C4" s="859"/>
      <c r="D4" s="633"/>
      <c r="E4" s="634" t="s">
        <v>0</v>
      </c>
      <c r="F4" s="635" t="s">
        <v>883</v>
      </c>
      <c r="G4" s="420" t="s">
        <v>884</v>
      </c>
      <c r="H4" s="419" t="s">
        <v>0</v>
      </c>
      <c r="I4" s="635" t="s">
        <v>883</v>
      </c>
      <c r="J4" s="420" t="s">
        <v>884</v>
      </c>
      <c r="K4" s="857"/>
    </row>
    <row r="5" spans="2:16" ht="26.25" customHeight="1" thickTop="1" thickBot="1">
      <c r="B5" s="636" t="s">
        <v>1215</v>
      </c>
      <c r="C5" s="637"/>
      <c r="D5" s="637"/>
      <c r="E5" s="638">
        <f t="shared" ref="E5:E13" si="0">+F5+G5</f>
        <v>0</v>
      </c>
      <c r="F5" s="639">
        <f>F6+F13+F14+F15+F16</f>
        <v>0</v>
      </c>
      <c r="G5" s="640">
        <f>G6+G13+G14+G15+G16</f>
        <v>0</v>
      </c>
      <c r="H5" s="699"/>
      <c r="I5" s="700"/>
      <c r="J5" s="700"/>
      <c r="K5" s="698">
        <f>+K6+K13+K14+K15</f>
        <v>0</v>
      </c>
    </row>
    <row r="6" spans="2:16" ht="27" customHeight="1">
      <c r="B6" s="641" t="s">
        <v>2002</v>
      </c>
      <c r="C6" s="642"/>
      <c r="D6" s="642"/>
      <c r="E6" s="252">
        <f t="shared" si="0"/>
        <v>0</v>
      </c>
      <c r="F6" s="618">
        <f>SUM(F7:F12)</f>
        <v>0</v>
      </c>
      <c r="G6" s="643">
        <f>SUM(G7:G12)</f>
        <v>0</v>
      </c>
      <c r="H6" s="291">
        <f t="shared" ref="H6:H12" si="1">+I6+J6</f>
        <v>0</v>
      </c>
      <c r="I6" s="618">
        <f>SUM(I7:I12)</f>
        <v>0</v>
      </c>
      <c r="J6" s="291">
        <f>SUM(J7:J12)</f>
        <v>0</v>
      </c>
      <c r="K6" s="124">
        <f>SUM(K7:K12)</f>
        <v>0</v>
      </c>
    </row>
    <row r="7" spans="2:16" ht="24" customHeight="1">
      <c r="B7" s="619" t="s">
        <v>3467</v>
      </c>
      <c r="C7" s="644"/>
      <c r="D7" s="644"/>
      <c r="E7" s="252">
        <f t="shared" si="0"/>
        <v>0</v>
      </c>
      <c r="F7" s="620"/>
      <c r="G7" s="645"/>
      <c r="H7" s="291">
        <f t="shared" si="1"/>
        <v>0</v>
      </c>
      <c r="I7" s="620"/>
      <c r="J7" s="646"/>
      <c r="K7" s="621"/>
      <c r="L7" s="622" t="str">
        <f>IF(AND(OR(E7&gt;0),AND(K7=0)),"Digite el número de secciones",IF(AND(OR(E7=0),AND(K7&gt;E7)),"No hay matrícula digitada",IF(AND(OR(E7&gt;0),AND(K7&gt;E7)),"Hay más secciones que matrícula","")))</f>
        <v/>
      </c>
    </row>
    <row r="8" spans="2:16" ht="24" customHeight="1">
      <c r="B8" s="619" t="s">
        <v>3468</v>
      </c>
      <c r="C8" s="644"/>
      <c r="D8" s="644"/>
      <c r="E8" s="234">
        <f t="shared" si="0"/>
        <v>0</v>
      </c>
      <c r="F8" s="647"/>
      <c r="G8" s="648"/>
      <c r="H8" s="649">
        <f t="shared" si="1"/>
        <v>0</v>
      </c>
      <c r="I8" s="620"/>
      <c r="J8" s="646"/>
      <c r="K8" s="128"/>
      <c r="L8" s="622" t="str">
        <f>IF(AND(OR(E8&gt;0),AND(K8=0)),"Digite el número de secciones",IF(AND(OR(E8=0),AND(K8&gt;E8)),"No hay matrícula digitada",IF(AND(OR(E8&gt;0),AND(K8&gt;E8)),"Hay más secciones que matrícula","")))</f>
        <v/>
      </c>
    </row>
    <row r="9" spans="2:16" ht="24" customHeight="1">
      <c r="B9" s="619" t="s">
        <v>3469</v>
      </c>
      <c r="C9" s="644"/>
      <c r="D9" s="644"/>
      <c r="E9" s="234">
        <f t="shared" si="0"/>
        <v>0</v>
      </c>
      <c r="F9" s="647"/>
      <c r="G9" s="648"/>
      <c r="H9" s="649">
        <f t="shared" si="1"/>
        <v>0</v>
      </c>
      <c r="I9" s="620"/>
      <c r="J9" s="646"/>
      <c r="K9" s="128"/>
      <c r="L9" s="622" t="str">
        <f>IF(AND(OR(E9&gt;0),AND(K9=0)),"Digite el número de secciones",IF(AND(OR(E9=0),AND(K9&gt;E9)),"No hay matrícula digitada",IF(AND(OR(E9&gt;0),AND(K9&gt;E9)),"Hay más secciones que matrícula","")))</f>
        <v/>
      </c>
    </row>
    <row r="10" spans="2:16" ht="24" customHeight="1">
      <c r="B10" s="619" t="s">
        <v>3446</v>
      </c>
      <c r="C10" s="849" t="s">
        <v>3472</v>
      </c>
      <c r="D10" s="850"/>
      <c r="E10" s="234">
        <f t="shared" si="0"/>
        <v>0</v>
      </c>
      <c r="F10" s="647"/>
      <c r="G10" s="648"/>
      <c r="H10" s="649">
        <f t="shared" si="1"/>
        <v>0</v>
      </c>
      <c r="I10" s="620"/>
      <c r="J10" s="646"/>
      <c r="K10" s="128"/>
      <c r="L10" s="622" t="str">
        <f>IF(AND(OR(E10&gt;0),AND(K10=0)),"Digite el número de secciones",IF(AND(OR(E10=0),AND(K10&gt;E10)),"No hay matrícula digitada",IF(AND(OR(E10&gt;0),AND(K10&gt;E10)),"Hay más secciones que matrícula","")))</f>
        <v/>
      </c>
    </row>
    <row r="11" spans="2:16" ht="24" customHeight="1">
      <c r="B11" s="619" t="s">
        <v>3470</v>
      </c>
      <c r="C11" s="849" t="s">
        <v>3472</v>
      </c>
      <c r="D11" s="850"/>
      <c r="E11" s="234">
        <f t="shared" si="0"/>
        <v>0</v>
      </c>
      <c r="F11" s="647"/>
      <c r="G11" s="648"/>
      <c r="H11" s="649">
        <f t="shared" si="1"/>
        <v>0</v>
      </c>
      <c r="I11" s="620"/>
      <c r="J11" s="646"/>
      <c r="K11" s="128"/>
      <c r="L11" s="622" t="str">
        <f>IF(AND(OR(E11&gt;0),AND(K11=0)),"Digite el número de secciones",IF(AND(OR(E11=0),AND(K11&gt;E11)),"No hay matrícula digitada",IF(AND(OR(E11&gt;0),AND(K11&gt;E11)),"Hay más secciones que matrícula","")))</f>
        <v/>
      </c>
    </row>
    <row r="12" spans="2:16" ht="27" customHeight="1">
      <c r="B12" s="619" t="s">
        <v>3471</v>
      </c>
      <c r="C12" s="849" t="s">
        <v>3472</v>
      </c>
      <c r="D12" s="850"/>
      <c r="E12" s="234">
        <f t="shared" si="0"/>
        <v>0</v>
      </c>
      <c r="F12" s="647"/>
      <c r="G12" s="648"/>
      <c r="H12" s="649">
        <f t="shared" si="1"/>
        <v>0</v>
      </c>
      <c r="I12" s="620"/>
      <c r="J12" s="646"/>
      <c r="K12" s="128"/>
      <c r="L12" s="622"/>
    </row>
    <row r="13" spans="2:16" ht="27" customHeight="1">
      <c r="B13" s="650" t="s">
        <v>2009</v>
      </c>
      <c r="C13" s="651"/>
      <c r="D13" s="652" t="str">
        <f>IF(E13=0,"","**")</f>
        <v/>
      </c>
      <c r="E13" s="592">
        <f t="shared" si="0"/>
        <v>0</v>
      </c>
      <c r="F13" s="653"/>
      <c r="G13" s="654"/>
      <c r="H13" s="851" t="str">
        <f>IF(OR(I7&gt;E7,I8&gt;E8,I9&gt;E9,I10&gt;E10,I11&gt;E11,I12&gt;E12,J7&gt;F7,J8&gt;F8,J9&gt;F9,J10&gt;F10,J11&gt;F11,J12&gt;F12),"El dato de repitentes no puede ser mayor a la matrícula,en hombres o mujeres. VERIFICAR!!","")</f>
        <v/>
      </c>
      <c r="I13" s="852"/>
      <c r="J13" s="853"/>
      <c r="K13" s="286"/>
      <c r="L13" s="622" t="str">
        <f>IF(AND(OR(E13&gt;0),AND(K13=0)),"Digite el número de secciones",IF(AND(OR(E13=0),AND(K13&gt;E13)),"No hay matrícula digitada",IF(AND(OR(E13&gt;0),AND(K13&gt;E13)),"Hay más secciones que matrícula","")))</f>
        <v/>
      </c>
    </row>
    <row r="14" spans="2:16" ht="24" customHeight="1">
      <c r="B14" s="655" t="s">
        <v>3433</v>
      </c>
      <c r="C14" s="651"/>
      <c r="D14" s="652" t="str">
        <f>IF(E14=0,"","#")</f>
        <v/>
      </c>
      <c r="E14" s="592">
        <f t="shared" ref="E14:E21" si="2">+F14+G14</f>
        <v>0</v>
      </c>
      <c r="F14" s="653"/>
      <c r="G14" s="654"/>
      <c r="H14" s="854"/>
      <c r="I14" s="843"/>
      <c r="J14" s="844"/>
      <c r="K14" s="716"/>
      <c r="L14" s="622" t="str">
        <f>IF(AND(OR(E14&gt;0),AND(K14=0)),"Digite el número de secciones",IF(AND(OR(E14=0),AND(K14&gt;E14)),"No hay matrícula digitada",IF(AND(OR(E14&gt;0),AND(K14&gt;E14)),"Hay más secciones que matrícula","")))</f>
        <v/>
      </c>
    </row>
    <row r="15" spans="2:16" ht="24" customHeight="1">
      <c r="B15" s="656" t="s">
        <v>1236</v>
      </c>
      <c r="C15" s="657"/>
      <c r="D15" s="658" t="str">
        <f>IF(E15=0,"","##")</f>
        <v/>
      </c>
      <c r="E15" s="659">
        <f t="shared" si="2"/>
        <v>0</v>
      </c>
      <c r="F15" s="660"/>
      <c r="G15" s="661"/>
      <c r="H15" s="854"/>
      <c r="I15" s="843"/>
      <c r="J15" s="844"/>
      <c r="K15" s="717"/>
      <c r="L15" s="622" t="str">
        <f>IF(AND(OR(E15&gt;0),AND(K15=0)),"Digite el número de secciones",IF(AND(OR(E15=0),AND(K15&gt;E15)),"No hay matrícula digitada",IF(AND(OR(E15&gt;0),AND(K15&gt;E15)),"Hay más secciones que matrícula","")))</f>
        <v/>
      </c>
    </row>
    <row r="16" spans="2:16" ht="24" customHeight="1">
      <c r="B16" s="845" t="s">
        <v>1950</v>
      </c>
      <c r="C16" s="845"/>
      <c r="D16" s="846"/>
      <c r="E16" s="252">
        <f t="shared" si="2"/>
        <v>0</v>
      </c>
      <c r="F16" s="618">
        <f>SUM(F17:F21)</f>
        <v>0</v>
      </c>
      <c r="G16" s="662">
        <f>SUM(G17:G21)</f>
        <v>0</v>
      </c>
      <c r="H16" s="854"/>
      <c r="I16" s="843"/>
      <c r="J16" s="844"/>
      <c r="K16" s="840"/>
    </row>
    <row r="17" spans="2:11" ht="22.5" customHeight="1">
      <c r="B17" s="838" t="s">
        <v>1210</v>
      </c>
      <c r="C17" s="838"/>
      <c r="D17" s="663"/>
      <c r="E17" s="234">
        <f t="shared" si="2"/>
        <v>0</v>
      </c>
      <c r="F17" s="647"/>
      <c r="G17" s="648"/>
      <c r="H17" s="665"/>
      <c r="I17" s="843" t="str">
        <f>IF(AND('CUADRO 1'!H6&gt;0,'CUADRO 4'!D27=0),"Debe indicar datos en el Cuadro 4",IF(AND('CUADRO 1'!H6=0,'CUADRO 4'!D27&gt;0),"Indicó datos en el Cuadro 4, debe indicar datos en este Cuadro",""))</f>
        <v/>
      </c>
      <c r="J17" s="844"/>
      <c r="K17" s="841"/>
    </row>
    <row r="18" spans="2:11" ht="22.5" customHeight="1">
      <c r="B18" s="838" t="s">
        <v>4031</v>
      </c>
      <c r="C18" s="838"/>
      <c r="D18" s="663"/>
      <c r="E18" s="234">
        <f t="shared" si="2"/>
        <v>0</v>
      </c>
      <c r="F18" s="647"/>
      <c r="G18" s="648"/>
      <c r="H18" s="665"/>
      <c r="I18" s="843"/>
      <c r="J18" s="844"/>
      <c r="K18" s="841"/>
    </row>
    <row r="19" spans="2:11" ht="22.5" customHeight="1">
      <c r="B19" s="838" t="s">
        <v>4032</v>
      </c>
      <c r="C19" s="838"/>
      <c r="D19" s="663"/>
      <c r="E19" s="234">
        <f t="shared" si="2"/>
        <v>0</v>
      </c>
      <c r="F19" s="647"/>
      <c r="G19" s="283"/>
      <c r="H19" s="665"/>
      <c r="I19" s="843"/>
      <c r="J19" s="844"/>
      <c r="K19" s="841"/>
    </row>
    <row r="20" spans="2:11" ht="22.5" customHeight="1">
      <c r="B20" s="838" t="s">
        <v>4033</v>
      </c>
      <c r="C20" s="838"/>
      <c r="D20" s="663"/>
      <c r="E20" s="234">
        <f t="shared" si="2"/>
        <v>0</v>
      </c>
      <c r="F20" s="647"/>
      <c r="G20" s="283"/>
      <c r="H20" s="665"/>
      <c r="I20" s="664"/>
      <c r="J20" s="718"/>
      <c r="K20" s="841"/>
    </row>
    <row r="21" spans="2:11" ht="22.5" customHeight="1" thickBot="1">
      <c r="B21" s="839" t="s">
        <v>1211</v>
      </c>
      <c r="C21" s="839"/>
      <c r="D21" s="666"/>
      <c r="E21" s="256">
        <f t="shared" si="2"/>
        <v>0</v>
      </c>
      <c r="F21" s="667"/>
      <c r="G21" s="306"/>
      <c r="H21" s="668"/>
      <c r="I21" s="669"/>
      <c r="J21" s="719"/>
      <c r="K21" s="842"/>
    </row>
    <row r="22" spans="2:11" ht="20.25" customHeight="1" thickTop="1">
      <c r="B22" s="670" t="str">
        <f>IF(OR(D13="**"),"** Completar el formulario para Bachillerato Internacional y el Cuadro 2 de este formulario.","")</f>
        <v/>
      </c>
      <c r="C22" s="670"/>
      <c r="D22" s="670"/>
      <c r="E22" s="670"/>
      <c r="F22" s="670"/>
      <c r="G22" s="670"/>
      <c r="H22" s="670"/>
      <c r="I22" s="670"/>
      <c r="J22" s="670"/>
      <c r="K22" s="670"/>
    </row>
    <row r="23" spans="2:11" ht="20.25" customHeight="1">
      <c r="B23" s="671" t="str">
        <f>IF(OR(D14="#"),"# Completar el formulario para Académica Nocturna.","")</f>
        <v/>
      </c>
      <c r="C23" s="671"/>
      <c r="D23" s="671"/>
      <c r="E23" s="671"/>
      <c r="F23" s="671"/>
      <c r="G23" s="671"/>
      <c r="H23" s="671"/>
      <c r="I23" s="671"/>
      <c r="J23" s="671"/>
      <c r="K23" s="671"/>
    </row>
    <row r="24" spans="2:11" ht="20.25" customHeight="1">
      <c r="B24" s="671" t="str">
        <f>IF(D15="##","## Completar el formulario para Plan Nacional.","")</f>
        <v/>
      </c>
      <c r="C24" s="671"/>
      <c r="D24" s="671"/>
      <c r="E24" s="671"/>
      <c r="F24" s="671"/>
      <c r="G24" s="671"/>
      <c r="H24" s="671"/>
      <c r="I24" s="671"/>
      <c r="J24" s="671"/>
      <c r="K24" s="671"/>
    </row>
    <row r="25" spans="2:11" ht="20.25" customHeight="1">
      <c r="B25" s="747" t="str">
        <f>IF(AND('CUADRO 1'!E13&gt;0,OR('Portada 1-con Código Presup.'!L36=""),OR('Portada 2-sin Código Presup.'!K35="")),"En la Portada indicó que no tiene Bachillerato Internacional.",IF(AND(E13=0,OR('Portada 1-con Código Presup.'!L36="X",'Portada 2-sin Código Presup.'!K35="X")),"En la Portada indicó que tiene Bachillerato Internacional.",""))</f>
        <v/>
      </c>
      <c r="C25" s="671"/>
      <c r="D25" s="671"/>
      <c r="E25" s="671"/>
      <c r="F25" s="671"/>
      <c r="G25" s="671"/>
      <c r="H25" s="671"/>
      <c r="I25" s="671"/>
      <c r="J25" s="671"/>
      <c r="K25" s="671"/>
    </row>
    <row r="26" spans="2:11" ht="20.25" customHeight="1">
      <c r="B26" s="747" t="str">
        <f>IF(AND('CUADRO 1'!E14&gt;0,OR('Portada 1-con Código Presup.'!F28="",'Portada 1-con Código Presup.'!F28="No")),"En la Portada indicó que no tiene Sección Académica Nocturna.",IF(AND(E14=0,'Portada 1-con Código Presup.'!F28="Sí"),"En la Portada indicó que tiene Sección Académica Nocturna.",""))</f>
        <v/>
      </c>
      <c r="C26" s="671"/>
      <c r="D26" s="671"/>
      <c r="E26" s="671"/>
      <c r="F26" s="671"/>
      <c r="G26" s="671"/>
      <c r="H26" s="671"/>
      <c r="I26" s="671"/>
      <c r="J26" s="671"/>
      <c r="K26" s="671"/>
    </row>
    <row r="27" spans="2:11" ht="20.25" customHeight="1">
      <c r="B27" s="747" t="str">
        <f>IF(AND(E15&gt;0,OR('Portada 1-con Código Presup.'!F29="",'Portada 1-con Código Presup.'!F29="No"),OR('Portada 2-sin Código Presup.'!E27="",'Portada 2-sin Código Presup.'!E27="No")),"En la Portada indicó que no tiene Plan Nacional.",IF(AND(E15=0,OR('Portada 1-con Código Presup.'!F29="Sí",'Portada 2-sin Código Presup.'!E27="Sí")),"En la Portada indicó que tiene Plan Nacional.",""))</f>
        <v/>
      </c>
      <c r="C27" s="671"/>
      <c r="D27" s="671"/>
      <c r="E27" s="671"/>
      <c r="F27" s="671"/>
      <c r="G27" s="671"/>
      <c r="H27" s="671"/>
      <c r="I27" s="671"/>
      <c r="J27" s="671"/>
      <c r="K27" s="671"/>
    </row>
    <row r="28" spans="2:11" ht="20.25" customHeight="1">
      <c r="B28" s="747" t="str">
        <f>IF(AND(E16&gt;0,OR('Portada 1-con Código Presup.'!F30="",'Portada 1-con Código Presup.'!F30="No"),OR('Portada 2-sin Código Presup.'!E28="",'Portada 2-sin Código Presup.'!E28="No")),"En la Portada indicó que no tiene Proyectos de Educación Abierta.",IF(AND(E16=0,OR('Portada 1-con Código Presup.'!F30="Sí",'Portada 2-sin Código Presup.'!E28="Sí")),"En la Portada indicó que tiene Proyectos de Educación Abierta.",""))</f>
        <v/>
      </c>
      <c r="C28" s="671"/>
      <c r="D28" s="671"/>
      <c r="E28" s="671"/>
      <c r="F28" s="671"/>
      <c r="G28" s="671"/>
      <c r="H28" s="671"/>
      <c r="I28" s="671"/>
      <c r="J28" s="671"/>
      <c r="K28" s="671"/>
    </row>
    <row r="29" spans="2:11" ht="22.5" customHeight="1">
      <c r="B29" s="265" t="s">
        <v>1202</v>
      </c>
      <c r="C29" s="265"/>
      <c r="D29" s="265"/>
      <c r="E29" s="605"/>
      <c r="F29" s="605"/>
      <c r="G29" s="605"/>
      <c r="H29" s="605"/>
      <c r="I29" s="605"/>
      <c r="J29" s="605"/>
      <c r="K29" s="605"/>
    </row>
    <row r="30" spans="2:11" ht="18" customHeight="1">
      <c r="B30" s="829"/>
      <c r="C30" s="830"/>
      <c r="D30" s="830"/>
      <c r="E30" s="830"/>
      <c r="F30" s="830"/>
      <c r="G30" s="830"/>
      <c r="H30" s="830"/>
      <c r="I30" s="830"/>
      <c r="J30" s="830"/>
      <c r="K30" s="831"/>
    </row>
    <row r="31" spans="2:11" ht="18" customHeight="1">
      <c r="B31" s="832"/>
      <c r="C31" s="833"/>
      <c r="D31" s="833"/>
      <c r="E31" s="833"/>
      <c r="F31" s="833"/>
      <c r="G31" s="833"/>
      <c r="H31" s="833"/>
      <c r="I31" s="833"/>
      <c r="J31" s="833"/>
      <c r="K31" s="834"/>
    </row>
    <row r="32" spans="2:11" ht="18" customHeight="1">
      <c r="B32" s="832"/>
      <c r="C32" s="833"/>
      <c r="D32" s="833"/>
      <c r="E32" s="833"/>
      <c r="F32" s="833"/>
      <c r="G32" s="833"/>
      <c r="H32" s="833"/>
      <c r="I32" s="833"/>
      <c r="J32" s="833"/>
      <c r="K32" s="834"/>
    </row>
    <row r="33" spans="2:11" ht="18" customHeight="1">
      <c r="B33" s="832"/>
      <c r="C33" s="833"/>
      <c r="D33" s="833"/>
      <c r="E33" s="833"/>
      <c r="F33" s="833"/>
      <c r="G33" s="833"/>
      <c r="H33" s="833"/>
      <c r="I33" s="833"/>
      <c r="J33" s="833"/>
      <c r="K33" s="834"/>
    </row>
    <row r="34" spans="2:11" ht="18" customHeight="1">
      <c r="B34" s="835"/>
      <c r="C34" s="836"/>
      <c r="D34" s="836"/>
      <c r="E34" s="836"/>
      <c r="F34" s="836"/>
      <c r="G34" s="836"/>
      <c r="H34" s="836"/>
      <c r="I34" s="836"/>
      <c r="J34" s="836"/>
      <c r="K34" s="837"/>
    </row>
  </sheetData>
  <sheetProtection algorithmName="SHA-512" hashValue="Umu9o8ywekeyAtg0iEaEAbx5gqeLaTjzgcTZV1edud/FTP7OECDfKFV1im7us75VA4tJmwJZeBqe3zgi7YlDmg==" saltValue="ZOT2vMBbgbsuNG25Gqz8mw==" spinCount="100000" sheet="1" objects="1" scenarios="1"/>
  <mergeCells count="19">
    <mergeCell ref="J1:K1"/>
    <mergeCell ref="H3:J3"/>
    <mergeCell ref="C12:D12"/>
    <mergeCell ref="H13:J16"/>
    <mergeCell ref="B2:K2"/>
    <mergeCell ref="K3:K4"/>
    <mergeCell ref="B3:C4"/>
    <mergeCell ref="E3:G3"/>
    <mergeCell ref="C11:D11"/>
    <mergeCell ref="C10:D10"/>
    <mergeCell ref="B30:K34"/>
    <mergeCell ref="B18:C18"/>
    <mergeCell ref="B19:C19"/>
    <mergeCell ref="B20:C20"/>
    <mergeCell ref="B21:C21"/>
    <mergeCell ref="K16:K21"/>
    <mergeCell ref="I17:J19"/>
    <mergeCell ref="B17:C17"/>
    <mergeCell ref="B16:D16"/>
  </mergeCells>
  <conditionalFormatting sqref="E13:E15 E5:G5">
    <cfRule type="cellIs" dxfId="250" priority="22" operator="equal">
      <formula>0</formula>
    </cfRule>
  </conditionalFormatting>
  <conditionalFormatting sqref="E7:E12">
    <cfRule type="cellIs" dxfId="249" priority="20" operator="equal">
      <formula>0</formula>
    </cfRule>
  </conditionalFormatting>
  <conditionalFormatting sqref="E6:G6 K6">
    <cfRule type="cellIs" dxfId="248" priority="19" operator="equal">
      <formula>0</formula>
    </cfRule>
  </conditionalFormatting>
  <conditionalFormatting sqref="E17:E21">
    <cfRule type="cellIs" dxfId="247" priority="18" operator="equal">
      <formula>0</formula>
    </cfRule>
  </conditionalFormatting>
  <conditionalFormatting sqref="E16:G16">
    <cfRule type="cellIs" dxfId="246" priority="17" operator="equal">
      <formula>0</formula>
    </cfRule>
  </conditionalFormatting>
  <conditionalFormatting sqref="E16">
    <cfRule type="cellIs" dxfId="245" priority="16" operator="equal">
      <formula>0</formula>
    </cfRule>
  </conditionalFormatting>
  <conditionalFormatting sqref="H5">
    <cfRule type="cellIs" dxfId="244" priority="13" operator="equal">
      <formula>0</formula>
    </cfRule>
  </conditionalFormatting>
  <conditionalFormatting sqref="H7:H12">
    <cfRule type="cellIs" dxfId="243" priority="12" operator="equal">
      <formula>0</formula>
    </cfRule>
  </conditionalFormatting>
  <conditionalFormatting sqref="H6:J6">
    <cfRule type="cellIs" dxfId="242" priority="11" operator="equal">
      <formula>0</formula>
    </cfRule>
  </conditionalFormatting>
  <conditionalFormatting sqref="I7">
    <cfRule type="expression" dxfId="241" priority="7">
      <formula>I7&gt;F7</formula>
    </cfRule>
  </conditionalFormatting>
  <conditionalFormatting sqref="I8:I11">
    <cfRule type="expression" dxfId="240" priority="6">
      <formula>I8&gt;F8</formula>
    </cfRule>
  </conditionalFormatting>
  <conditionalFormatting sqref="J7">
    <cfRule type="expression" dxfId="239" priority="5">
      <formula>J7&gt;G7</formula>
    </cfRule>
  </conditionalFormatting>
  <conditionalFormatting sqref="J8:J11">
    <cfRule type="expression" dxfId="238" priority="4">
      <formula>J8&gt;G8</formula>
    </cfRule>
  </conditionalFormatting>
  <conditionalFormatting sqref="I12">
    <cfRule type="expression" dxfId="237" priority="3">
      <formula>I12&gt;F12</formula>
    </cfRule>
  </conditionalFormatting>
  <conditionalFormatting sqref="J12">
    <cfRule type="expression" dxfId="236" priority="2">
      <formula>J12&gt;G12</formula>
    </cfRule>
  </conditionalFormatting>
  <conditionalFormatting sqref="K5">
    <cfRule type="cellIs" dxfId="235" priority="1" operator="equal">
      <formula>0</formula>
    </cfRule>
  </conditionalFormatting>
  <dataValidations count="1">
    <dataValidation type="whole" operator="greaterThanOrEqual" allowBlank="1" showInputMessage="1" showErrorMessage="1" sqref="H5:H12 E5:G21 K6:K15 I6:J12">
      <formula1>0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scale="77" orientation="landscape" r:id="rId1"/>
  <headerFooter scaleWithDoc="0">
    <oddFooter>&amp;R&amp;"Goudy,Negrita Cursiva"Académica Diurna&amp;"Goudy,Cursiva", página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K22"/>
  <sheetViews>
    <sheetView showGridLines="0" showRuler="0" zoomScale="90" zoomScaleNormal="90" workbookViewId="0">
      <selection activeCell="D7" sqref="D7"/>
    </sheetView>
  </sheetViews>
  <sheetFormatPr baseColWidth="10" defaultRowHeight="14.25"/>
  <cols>
    <col min="1" max="1" width="6.5703125" style="218" customWidth="1"/>
    <col min="2" max="2" width="40.140625" style="218" customWidth="1"/>
    <col min="3" max="5" width="13.5703125" style="218" customWidth="1"/>
    <col min="6" max="6" width="15.140625" style="218" customWidth="1"/>
    <col min="7" max="16384" width="11.42578125" style="218"/>
  </cols>
  <sheetData>
    <row r="1" spans="2:11" ht="18" customHeight="1">
      <c r="E1" s="861">
        <f>IF('Portada 1-con Código Presup.'!$M$2="",'Portada 2-sin Código Presup.'!$K$1,'Portada 1-con Código Presup.'!$M$2)</f>
        <v>0</v>
      </c>
      <c r="F1" s="862"/>
      <c r="G1" s="611"/>
      <c r="H1" s="611"/>
      <c r="I1" s="611"/>
      <c r="J1" s="611"/>
      <c r="K1" s="611"/>
    </row>
    <row r="2" spans="2:11" ht="18">
      <c r="B2" s="610" t="s">
        <v>4036</v>
      </c>
      <c r="E2" s="752"/>
      <c r="F2" s="752"/>
      <c r="G2" s="611"/>
      <c r="H2" s="611"/>
      <c r="I2" s="611"/>
      <c r="J2" s="611"/>
      <c r="K2" s="611"/>
    </row>
    <row r="3" spans="2:11" ht="18.75" thickBot="1">
      <c r="B3" s="855" t="s">
        <v>4577</v>
      </c>
      <c r="C3" s="855"/>
      <c r="D3" s="855"/>
      <c r="E3" s="855"/>
      <c r="F3" s="855"/>
    </row>
    <row r="4" spans="2:11" ht="36.75" customHeight="1" thickTop="1" thickBot="1">
      <c r="B4" s="612" t="s">
        <v>4393</v>
      </c>
      <c r="C4" s="613" t="s">
        <v>0</v>
      </c>
      <c r="D4" s="614" t="s">
        <v>883</v>
      </c>
      <c r="E4" s="615" t="s">
        <v>884</v>
      </c>
      <c r="F4" s="616" t="s">
        <v>4034</v>
      </c>
    </row>
    <row r="5" spans="2:11" ht="24.75" customHeight="1" thickTop="1">
      <c r="B5" s="864" t="s">
        <v>5685</v>
      </c>
      <c r="C5" s="864"/>
      <c r="D5" s="864"/>
      <c r="E5" s="864"/>
      <c r="F5" s="864"/>
    </row>
    <row r="6" spans="2:11" ht="24.75" customHeight="1">
      <c r="B6" s="617" t="s">
        <v>2009</v>
      </c>
      <c r="C6" s="252">
        <f>+D6+E6</f>
        <v>0</v>
      </c>
      <c r="D6" s="618">
        <f>SUM(D7:D9)</f>
        <v>0</v>
      </c>
      <c r="E6" s="291">
        <f>SUM(E7:E9)</f>
        <v>0</v>
      </c>
      <c r="F6" s="124">
        <f>SUM(F7:F9)</f>
        <v>0</v>
      </c>
    </row>
    <row r="7" spans="2:11" ht="24.75" customHeight="1">
      <c r="B7" s="619" t="s">
        <v>3446</v>
      </c>
      <c r="C7" s="252">
        <f>+D7+E7</f>
        <v>0</v>
      </c>
      <c r="D7" s="620"/>
      <c r="E7" s="286"/>
      <c r="F7" s="621"/>
      <c r="G7" s="622" t="str">
        <f>IF(AND(OR(C7&gt;0),AND(F7=0)),"Digite el número de secciones",IF(AND(OR(C7=0),AND(F7&gt;C7)),"No hay matrícula digitada",IF(AND(OR(C7&gt;0),AND(F7&gt;C7)),"Hay más secciones que matrícula","")))</f>
        <v/>
      </c>
    </row>
    <row r="8" spans="2:11" ht="24.75" customHeight="1">
      <c r="B8" s="619" t="s">
        <v>3470</v>
      </c>
      <c r="C8" s="252">
        <f>+D8+E8</f>
        <v>0</v>
      </c>
      <c r="D8" s="620"/>
      <c r="E8" s="286"/>
      <c r="F8" s="621"/>
      <c r="G8" s="622" t="str">
        <f>IF(AND(OR(C8&gt;0),AND(F8=0)),"Digite el número de secciones",IF(AND(OR(C8=0),AND(F8&gt;C8)),"No hay matrícula digitada",IF(AND(OR(C8&gt;0),AND(F8&gt;C8)),"Hay más secciones que matrícula","")))</f>
        <v/>
      </c>
    </row>
    <row r="9" spans="2:11" ht="24.75" customHeight="1" thickBot="1">
      <c r="B9" s="623" t="s">
        <v>3471</v>
      </c>
      <c r="C9" s="293">
        <f>+D9+E9</f>
        <v>0</v>
      </c>
      <c r="D9" s="624"/>
      <c r="E9" s="295"/>
      <c r="F9" s="133"/>
      <c r="G9" s="622" t="str">
        <f>IF(AND(OR(C9&gt;0),AND(F9=0)),"Digite el número de secciones",IF(AND(OR(C9=0),AND(F9&gt;C9)),"No hay matrícula digitada",IF(AND(OR(C9&gt;0),AND(F9&gt;C9)),"Hay más secciones que matrícula","")))</f>
        <v/>
      </c>
    </row>
    <row r="10" spans="2:11" ht="24.75" customHeight="1">
      <c r="B10" s="863" t="s">
        <v>5686</v>
      </c>
      <c r="C10" s="863"/>
      <c r="D10" s="863"/>
      <c r="E10" s="863"/>
      <c r="F10" s="863"/>
      <c r="G10" s="622"/>
    </row>
    <row r="11" spans="2:11" ht="24.75" customHeight="1">
      <c r="B11" s="625" t="s">
        <v>4603</v>
      </c>
      <c r="C11" s="326">
        <f>+D11+E11</f>
        <v>0</v>
      </c>
      <c r="D11" s="626"/>
      <c r="E11" s="328"/>
      <c r="F11" s="865"/>
      <c r="G11" s="622"/>
    </row>
    <row r="12" spans="2:11" ht="24.75" customHeight="1">
      <c r="B12" s="748" t="s">
        <v>5664</v>
      </c>
      <c r="C12" s="579"/>
      <c r="D12" s="749"/>
      <c r="E12" s="750"/>
      <c r="F12" s="866"/>
      <c r="G12" s="622"/>
    </row>
    <row r="13" spans="2:11" ht="24.75" customHeight="1" thickBot="1">
      <c r="B13" s="627" t="s">
        <v>5684</v>
      </c>
      <c r="C13" s="628">
        <f>+D13+E13</f>
        <v>0</v>
      </c>
      <c r="D13" s="629"/>
      <c r="E13" s="630"/>
      <c r="F13" s="867"/>
      <c r="G13" s="622"/>
    </row>
    <row r="14" spans="2:11" s="109" customFormat="1" ht="16.5" thickTop="1">
      <c r="B14" s="724" t="s">
        <v>5978</v>
      </c>
      <c r="C14" s="721"/>
      <c r="D14" s="722"/>
      <c r="E14" s="722"/>
      <c r="F14" s="721"/>
      <c r="G14" s="723"/>
    </row>
    <row r="15" spans="2:11" ht="24" customHeight="1">
      <c r="B15" s="631" t="str">
        <f>IF(AND('CUADRO 1'!E13=0,'CUADRO 2'!C6=0),"",(IF('CUADRO 1'!E13='CUADRO 2'!C6,"","La matrícula del Cuadro 1 y Cuadro 2 son diferentes. VERIFIQUE!!")))</f>
        <v/>
      </c>
      <c r="C15" s="632"/>
      <c r="D15" s="632"/>
      <c r="G15" s="622"/>
    </row>
    <row r="16" spans="2:11" ht="22.5" customHeight="1">
      <c r="B16" s="760" t="str">
        <f>IF(C6=0,"","Complete el formulario para Bachillerato Internacional")</f>
        <v/>
      </c>
      <c r="C16" s="759"/>
      <c r="D16" s="759"/>
      <c r="E16" s="759"/>
      <c r="F16" s="759"/>
    </row>
    <row r="17" spans="2:6" ht="15.75">
      <c r="B17" s="265" t="s">
        <v>1202</v>
      </c>
      <c r="C17" s="605"/>
      <c r="D17" s="605"/>
      <c r="E17" s="605"/>
      <c r="F17" s="605"/>
    </row>
    <row r="18" spans="2:6" ht="18" customHeight="1">
      <c r="B18" s="829"/>
      <c r="C18" s="830"/>
      <c r="D18" s="830"/>
      <c r="E18" s="830"/>
      <c r="F18" s="831"/>
    </row>
    <row r="19" spans="2:6" ht="18" customHeight="1">
      <c r="B19" s="832"/>
      <c r="C19" s="833"/>
      <c r="D19" s="833"/>
      <c r="E19" s="833"/>
      <c r="F19" s="834"/>
    </row>
    <row r="20" spans="2:6" ht="18" customHeight="1">
      <c r="B20" s="832"/>
      <c r="C20" s="833"/>
      <c r="D20" s="833"/>
      <c r="E20" s="833"/>
      <c r="F20" s="834"/>
    </row>
    <row r="21" spans="2:6" ht="18" customHeight="1">
      <c r="B21" s="832"/>
      <c r="C21" s="833"/>
      <c r="D21" s="833"/>
      <c r="E21" s="833"/>
      <c r="F21" s="834"/>
    </row>
    <row r="22" spans="2:6" ht="18" customHeight="1">
      <c r="B22" s="835"/>
      <c r="C22" s="836"/>
      <c r="D22" s="836"/>
      <c r="E22" s="836"/>
      <c r="F22" s="837"/>
    </row>
  </sheetData>
  <sheetProtection algorithmName="SHA-512" hashValue="djOoyHeoKhzCpXEXY/cIrKyQ+fqPUYv+EsLQAZzPTR5YqHBUulyTipuonjklb5kyUuk+ZZkSxjNSr9ihK4FnBw==" saltValue="QXWxs2UnbgzRw1opmHkahA==" spinCount="100000" sheet="1" objects="1" scenarios="1"/>
  <mergeCells count="6">
    <mergeCell ref="E1:F1"/>
    <mergeCell ref="B18:F22"/>
    <mergeCell ref="B10:F10"/>
    <mergeCell ref="B3:F3"/>
    <mergeCell ref="B5:F5"/>
    <mergeCell ref="F11:F13"/>
  </mergeCells>
  <conditionalFormatting sqref="C7:C9">
    <cfRule type="cellIs" dxfId="234" priority="9" operator="equal">
      <formula>0</formula>
    </cfRule>
  </conditionalFormatting>
  <conditionalFormatting sqref="C6:F6">
    <cfRule type="cellIs" dxfId="233" priority="7" operator="equal">
      <formula>0</formula>
    </cfRule>
  </conditionalFormatting>
  <conditionalFormatting sqref="C11:C14">
    <cfRule type="cellIs" dxfId="232" priority="1" operator="equal">
      <formula>0</formula>
    </cfRule>
  </conditionalFormatting>
  <dataValidations count="1">
    <dataValidation type="whole" operator="greaterThanOrEqual" allowBlank="1" showInputMessage="1" showErrorMessage="1" sqref="C6:F9 C11:E14 F11:F12">
      <formula1>0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orientation="landscape" r:id="rId1"/>
  <headerFooter scaleWithDoc="0">
    <oddFooter>&amp;R&amp;"Goudy,Negrita Cursiva"Académica Diurna&amp;"Goudy,Cursiva", página 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Z37"/>
  <sheetViews>
    <sheetView showGridLines="0" zoomScale="90" zoomScaleNormal="90" workbookViewId="0">
      <selection activeCell="V1" sqref="V1:W1"/>
    </sheetView>
  </sheetViews>
  <sheetFormatPr baseColWidth="10" defaultRowHeight="14.25"/>
  <cols>
    <col min="1" max="1" width="2.85546875" style="218" customWidth="1"/>
    <col min="2" max="2" width="43.7109375" style="218" customWidth="1"/>
    <col min="3" max="23" width="8.140625" style="218" customWidth="1"/>
    <col min="24" max="16384" width="11.42578125" style="218"/>
  </cols>
  <sheetData>
    <row r="1" spans="2:23" ht="18">
      <c r="B1" s="610" t="s">
        <v>4037</v>
      </c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R1" s="681"/>
      <c r="S1" s="681"/>
      <c r="T1" s="681"/>
      <c r="U1" s="681"/>
      <c r="V1" s="861">
        <f>IF('Portada 1-con Código Presup.'!$M$2="",'Portada 2-sin Código Presup.'!$K$1,'Portada 1-con Código Presup.'!$M$2)</f>
        <v>0</v>
      </c>
      <c r="W1" s="862"/>
    </row>
    <row r="2" spans="2:23" ht="18">
      <c r="B2" s="117" t="s">
        <v>4578</v>
      </c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9"/>
      <c r="Q2" s="569"/>
      <c r="R2" s="569"/>
      <c r="S2" s="569"/>
      <c r="T2" s="569"/>
      <c r="U2" s="569"/>
      <c r="V2" s="569"/>
      <c r="W2" s="569"/>
    </row>
    <row r="3" spans="2:23" ht="18.75" thickBot="1">
      <c r="B3" s="386" t="s">
        <v>4579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</row>
    <row r="4" spans="2:23" ht="21" customHeight="1" thickTop="1" thickBot="1">
      <c r="B4" s="875" t="s">
        <v>1203</v>
      </c>
      <c r="C4" s="878" t="s">
        <v>0</v>
      </c>
      <c r="D4" s="858"/>
      <c r="E4" s="879"/>
      <c r="F4" s="882" t="s">
        <v>4393</v>
      </c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882"/>
      <c r="S4" s="882"/>
      <c r="T4" s="882"/>
      <c r="U4" s="882"/>
      <c r="V4" s="882"/>
      <c r="W4" s="882"/>
    </row>
    <row r="5" spans="2:23" ht="18" customHeight="1">
      <c r="B5" s="876"/>
      <c r="C5" s="880"/>
      <c r="D5" s="872"/>
      <c r="E5" s="881"/>
      <c r="F5" s="871" t="s">
        <v>3467</v>
      </c>
      <c r="G5" s="872"/>
      <c r="H5" s="872"/>
      <c r="I5" s="871" t="s">
        <v>3468</v>
      </c>
      <c r="J5" s="872"/>
      <c r="K5" s="872"/>
      <c r="L5" s="871" t="s">
        <v>3469</v>
      </c>
      <c r="M5" s="872"/>
      <c r="N5" s="872"/>
      <c r="O5" s="871" t="s">
        <v>3446</v>
      </c>
      <c r="P5" s="872"/>
      <c r="Q5" s="872"/>
      <c r="R5" s="871" t="s">
        <v>3470</v>
      </c>
      <c r="S5" s="872"/>
      <c r="T5" s="872"/>
      <c r="U5" s="873" t="s">
        <v>3471</v>
      </c>
      <c r="V5" s="874"/>
      <c r="W5" s="874"/>
    </row>
    <row r="6" spans="2:23" ht="32.25" customHeight="1" thickBot="1">
      <c r="B6" s="877"/>
      <c r="C6" s="589" t="s">
        <v>0</v>
      </c>
      <c r="D6" s="571" t="s">
        <v>21</v>
      </c>
      <c r="E6" s="590" t="s">
        <v>20</v>
      </c>
      <c r="F6" s="570" t="s">
        <v>0</v>
      </c>
      <c r="G6" s="571" t="s">
        <v>21</v>
      </c>
      <c r="H6" s="572" t="s">
        <v>20</v>
      </c>
      <c r="I6" s="570" t="s">
        <v>0</v>
      </c>
      <c r="J6" s="571" t="s">
        <v>21</v>
      </c>
      <c r="K6" s="572" t="s">
        <v>20</v>
      </c>
      <c r="L6" s="570" t="s">
        <v>0</v>
      </c>
      <c r="M6" s="571" t="s">
        <v>21</v>
      </c>
      <c r="N6" s="572" t="s">
        <v>20</v>
      </c>
      <c r="O6" s="570" t="s">
        <v>0</v>
      </c>
      <c r="P6" s="571" t="s">
        <v>21</v>
      </c>
      <c r="Q6" s="572" t="s">
        <v>20</v>
      </c>
      <c r="R6" s="570" t="s">
        <v>0</v>
      </c>
      <c r="S6" s="571" t="s">
        <v>21</v>
      </c>
      <c r="T6" s="572" t="s">
        <v>20</v>
      </c>
      <c r="U6" s="570" t="s">
        <v>0</v>
      </c>
      <c r="V6" s="571" t="s">
        <v>21</v>
      </c>
      <c r="W6" s="573" t="s">
        <v>20</v>
      </c>
    </row>
    <row r="7" spans="2:23" ht="24.75" customHeight="1" thickTop="1">
      <c r="B7" s="591" t="s">
        <v>1206</v>
      </c>
      <c r="C7" s="592">
        <f t="shared" ref="C7:C15" si="0">+D7+E7</f>
        <v>0</v>
      </c>
      <c r="D7" s="593">
        <f t="shared" ref="D7:E15" si="1">+G7+J7+M7+P7+S7+V7</f>
        <v>0</v>
      </c>
      <c r="E7" s="593">
        <f t="shared" si="1"/>
        <v>0</v>
      </c>
      <c r="F7" s="443">
        <f>+G7+H7</f>
        <v>0</v>
      </c>
      <c r="G7" s="595"/>
      <c r="H7" s="595"/>
      <c r="I7" s="443">
        <f>+J7+K7</f>
        <v>0</v>
      </c>
      <c r="J7" s="595"/>
      <c r="K7" s="595"/>
      <c r="L7" s="443">
        <f>+M7+N7</f>
        <v>0</v>
      </c>
      <c r="M7" s="595"/>
      <c r="N7" s="595"/>
      <c r="O7" s="443">
        <f>+P7+Q7</f>
        <v>0</v>
      </c>
      <c r="P7" s="595"/>
      <c r="Q7" s="595"/>
      <c r="R7" s="443">
        <f>+S7+T7</f>
        <v>0</v>
      </c>
      <c r="S7" s="595"/>
      <c r="T7" s="595"/>
      <c r="U7" s="443">
        <f>+V7+W7</f>
        <v>0</v>
      </c>
      <c r="V7" s="595"/>
      <c r="W7" s="596"/>
    </row>
    <row r="8" spans="2:23" ht="24.75" customHeight="1">
      <c r="B8" s="597" t="s">
        <v>1207</v>
      </c>
      <c r="C8" s="326">
        <f t="shared" si="0"/>
        <v>0</v>
      </c>
      <c r="D8" s="363">
        <f>+G8+J8+M8+P8+S8+V8</f>
        <v>0</v>
      </c>
      <c r="E8" s="363">
        <f t="shared" si="1"/>
        <v>0</v>
      </c>
      <c r="F8" s="439">
        <f t="shared" ref="F8:F15" si="2">+G8+H8</f>
        <v>0</v>
      </c>
      <c r="G8" s="327"/>
      <c r="H8" s="327"/>
      <c r="I8" s="439">
        <f t="shared" ref="I8:I15" si="3">+J8+K8</f>
        <v>0</v>
      </c>
      <c r="J8" s="327"/>
      <c r="K8" s="327"/>
      <c r="L8" s="439">
        <f t="shared" ref="L8:L15" si="4">+M8+N8</f>
        <v>0</v>
      </c>
      <c r="M8" s="327"/>
      <c r="N8" s="327"/>
      <c r="O8" s="439">
        <f t="shared" ref="O8:O15" si="5">+P8+Q8</f>
        <v>0</v>
      </c>
      <c r="P8" s="327"/>
      <c r="Q8" s="327"/>
      <c r="R8" s="439">
        <f t="shared" ref="R8:R15" si="6">+S8+T8</f>
        <v>0</v>
      </c>
      <c r="S8" s="327"/>
      <c r="T8" s="327"/>
      <c r="U8" s="439">
        <f t="shared" ref="U8:U15" si="7">+V8+W8</f>
        <v>0</v>
      </c>
      <c r="V8" s="327"/>
      <c r="W8" s="179"/>
    </row>
    <row r="9" spans="2:23" ht="24.75" customHeight="1">
      <c r="B9" s="597" t="s">
        <v>1209</v>
      </c>
      <c r="C9" s="326">
        <f t="shared" si="0"/>
        <v>0</v>
      </c>
      <c r="D9" s="363">
        <f t="shared" ref="D9:D15" si="8">+G9+J9+M9+P9+S9+V9</f>
        <v>0</v>
      </c>
      <c r="E9" s="363">
        <f t="shared" si="1"/>
        <v>0</v>
      </c>
      <c r="F9" s="439">
        <f t="shared" si="2"/>
        <v>0</v>
      </c>
      <c r="G9" s="327"/>
      <c r="H9" s="327"/>
      <c r="I9" s="439">
        <f t="shared" si="3"/>
        <v>0</v>
      </c>
      <c r="J9" s="327"/>
      <c r="K9" s="327"/>
      <c r="L9" s="439">
        <f t="shared" si="4"/>
        <v>0</v>
      </c>
      <c r="M9" s="327"/>
      <c r="N9" s="327"/>
      <c r="O9" s="439">
        <f t="shared" si="5"/>
        <v>0</v>
      </c>
      <c r="P9" s="327"/>
      <c r="Q9" s="327"/>
      <c r="R9" s="439">
        <f t="shared" si="6"/>
        <v>0</v>
      </c>
      <c r="S9" s="327"/>
      <c r="T9" s="327"/>
      <c r="U9" s="439">
        <f t="shared" si="7"/>
        <v>0</v>
      </c>
      <c r="V9" s="327"/>
      <c r="W9" s="179"/>
    </row>
    <row r="10" spans="2:23" ht="24.75" customHeight="1">
      <c r="B10" s="597" t="s">
        <v>1208</v>
      </c>
      <c r="C10" s="326">
        <f t="shared" si="0"/>
        <v>0</v>
      </c>
      <c r="D10" s="363">
        <f t="shared" si="8"/>
        <v>0</v>
      </c>
      <c r="E10" s="363">
        <f t="shared" si="1"/>
        <v>0</v>
      </c>
      <c r="F10" s="439">
        <f t="shared" si="2"/>
        <v>0</v>
      </c>
      <c r="G10" s="327"/>
      <c r="H10" s="327"/>
      <c r="I10" s="439">
        <f t="shared" si="3"/>
        <v>0</v>
      </c>
      <c r="J10" s="327"/>
      <c r="K10" s="327"/>
      <c r="L10" s="439">
        <f t="shared" si="4"/>
        <v>0</v>
      </c>
      <c r="M10" s="327"/>
      <c r="N10" s="327"/>
      <c r="O10" s="883"/>
      <c r="P10" s="884"/>
      <c r="Q10" s="884"/>
      <c r="R10" s="884"/>
      <c r="S10" s="884"/>
      <c r="T10" s="884"/>
      <c r="U10" s="884"/>
      <c r="V10" s="884"/>
      <c r="W10" s="884"/>
    </row>
    <row r="11" spans="2:23" ht="24.75" customHeight="1">
      <c r="B11" s="597" t="s">
        <v>3434</v>
      </c>
      <c r="C11" s="326">
        <f t="shared" si="0"/>
        <v>0</v>
      </c>
      <c r="D11" s="363">
        <f t="shared" si="8"/>
        <v>0</v>
      </c>
      <c r="E11" s="363">
        <f>+H11+K11+N11+Q11+T11+W11</f>
        <v>0</v>
      </c>
      <c r="F11" s="439">
        <f>+G11+H11</f>
        <v>0</v>
      </c>
      <c r="G11" s="327"/>
      <c r="H11" s="327"/>
      <c r="I11" s="439">
        <f t="shared" si="3"/>
        <v>0</v>
      </c>
      <c r="J11" s="327"/>
      <c r="K11" s="327"/>
      <c r="L11" s="439">
        <f t="shared" si="4"/>
        <v>0</v>
      </c>
      <c r="M11" s="327"/>
      <c r="N11" s="327"/>
      <c r="O11" s="439">
        <f t="shared" si="5"/>
        <v>0</v>
      </c>
      <c r="P11" s="327"/>
      <c r="Q11" s="582"/>
      <c r="R11" s="439">
        <f>+S11+T11</f>
        <v>0</v>
      </c>
      <c r="S11" s="327"/>
      <c r="T11" s="582"/>
      <c r="U11" s="439">
        <f t="shared" si="7"/>
        <v>0</v>
      </c>
      <c r="V11" s="327"/>
      <c r="W11" s="179"/>
    </row>
    <row r="12" spans="2:23" ht="24.75" customHeight="1">
      <c r="B12" s="597" t="s">
        <v>3435</v>
      </c>
      <c r="C12" s="326">
        <f t="shared" si="0"/>
        <v>0</v>
      </c>
      <c r="D12" s="363">
        <f t="shared" si="8"/>
        <v>0</v>
      </c>
      <c r="E12" s="363">
        <f t="shared" si="1"/>
        <v>0</v>
      </c>
      <c r="F12" s="439">
        <f t="shared" si="2"/>
        <v>0</v>
      </c>
      <c r="G12" s="327"/>
      <c r="H12" s="327"/>
      <c r="I12" s="439">
        <f t="shared" si="3"/>
        <v>0</v>
      </c>
      <c r="J12" s="327"/>
      <c r="K12" s="327"/>
      <c r="L12" s="439">
        <f t="shared" si="4"/>
        <v>0</v>
      </c>
      <c r="M12" s="327"/>
      <c r="N12" s="327"/>
      <c r="O12" s="439">
        <f t="shared" si="5"/>
        <v>0</v>
      </c>
      <c r="P12" s="327"/>
      <c r="Q12" s="582"/>
      <c r="R12" s="439">
        <f t="shared" si="6"/>
        <v>0</v>
      </c>
      <c r="S12" s="327"/>
      <c r="T12" s="582"/>
      <c r="U12" s="439">
        <f t="shared" si="7"/>
        <v>0</v>
      </c>
      <c r="V12" s="327"/>
      <c r="W12" s="179"/>
    </row>
    <row r="13" spans="2:23" ht="24.75" customHeight="1">
      <c r="B13" s="597" t="s">
        <v>3436</v>
      </c>
      <c r="C13" s="326">
        <f t="shared" si="0"/>
        <v>0</v>
      </c>
      <c r="D13" s="363">
        <f t="shared" si="8"/>
        <v>0</v>
      </c>
      <c r="E13" s="363">
        <f t="shared" si="1"/>
        <v>0</v>
      </c>
      <c r="F13" s="439">
        <f t="shared" si="2"/>
        <v>0</v>
      </c>
      <c r="G13" s="327"/>
      <c r="H13" s="327"/>
      <c r="I13" s="439">
        <f t="shared" si="3"/>
        <v>0</v>
      </c>
      <c r="J13" s="327"/>
      <c r="K13" s="327"/>
      <c r="L13" s="439">
        <f t="shared" si="4"/>
        <v>0</v>
      </c>
      <c r="M13" s="327"/>
      <c r="N13" s="327"/>
      <c r="O13" s="439">
        <f t="shared" si="5"/>
        <v>0</v>
      </c>
      <c r="P13" s="327"/>
      <c r="Q13" s="582"/>
      <c r="R13" s="439">
        <f t="shared" si="6"/>
        <v>0</v>
      </c>
      <c r="S13" s="327"/>
      <c r="T13" s="582"/>
      <c r="U13" s="439">
        <f t="shared" si="7"/>
        <v>0</v>
      </c>
      <c r="V13" s="327"/>
      <c r="W13" s="179"/>
    </row>
    <row r="14" spans="2:23" ht="24.75" customHeight="1">
      <c r="B14" s="597" t="s">
        <v>890</v>
      </c>
      <c r="C14" s="326">
        <f t="shared" si="0"/>
        <v>0</v>
      </c>
      <c r="D14" s="363">
        <f t="shared" si="8"/>
        <v>0</v>
      </c>
      <c r="E14" s="363">
        <f t="shared" si="1"/>
        <v>0</v>
      </c>
      <c r="F14" s="439">
        <f t="shared" si="2"/>
        <v>0</v>
      </c>
      <c r="G14" s="327"/>
      <c r="H14" s="327"/>
      <c r="I14" s="439">
        <f t="shared" si="3"/>
        <v>0</v>
      </c>
      <c r="J14" s="327"/>
      <c r="K14" s="327"/>
      <c r="L14" s="439">
        <f t="shared" si="4"/>
        <v>0</v>
      </c>
      <c r="M14" s="327"/>
      <c r="N14" s="327"/>
      <c r="O14" s="439">
        <f t="shared" si="5"/>
        <v>0</v>
      </c>
      <c r="P14" s="327"/>
      <c r="Q14" s="582"/>
      <c r="R14" s="439">
        <f t="shared" si="6"/>
        <v>0</v>
      </c>
      <c r="S14" s="327"/>
      <c r="T14" s="582"/>
      <c r="U14" s="439">
        <f t="shared" si="7"/>
        <v>0</v>
      </c>
      <c r="V14" s="327"/>
      <c r="W14" s="179"/>
    </row>
    <row r="15" spans="2:23" ht="24.75" customHeight="1">
      <c r="B15" s="597" t="s">
        <v>19</v>
      </c>
      <c r="C15" s="326">
        <f t="shared" si="0"/>
        <v>0</v>
      </c>
      <c r="D15" s="363">
        <f t="shared" si="8"/>
        <v>0</v>
      </c>
      <c r="E15" s="363">
        <f t="shared" si="1"/>
        <v>0</v>
      </c>
      <c r="F15" s="439">
        <f t="shared" si="2"/>
        <v>0</v>
      </c>
      <c r="G15" s="327"/>
      <c r="H15" s="327"/>
      <c r="I15" s="439">
        <f t="shared" si="3"/>
        <v>0</v>
      </c>
      <c r="J15" s="327"/>
      <c r="K15" s="327"/>
      <c r="L15" s="439">
        <f t="shared" si="4"/>
        <v>0</v>
      </c>
      <c r="M15" s="327"/>
      <c r="N15" s="327"/>
      <c r="O15" s="439">
        <f t="shared" si="5"/>
        <v>0</v>
      </c>
      <c r="P15" s="327"/>
      <c r="Q15" s="582"/>
      <c r="R15" s="439">
        <f t="shared" si="6"/>
        <v>0</v>
      </c>
      <c r="S15" s="327"/>
      <c r="T15" s="582"/>
      <c r="U15" s="439">
        <f t="shared" si="7"/>
        <v>0</v>
      </c>
      <c r="V15" s="327"/>
      <c r="W15" s="179"/>
    </row>
    <row r="16" spans="2:23" ht="24.75" customHeight="1">
      <c r="B16" s="597" t="s">
        <v>971</v>
      </c>
      <c r="C16" s="326">
        <f t="shared" ref="C16:C27" si="9">+D16+E16</f>
        <v>0</v>
      </c>
      <c r="D16" s="363">
        <f>+G16+J16+M16+P16+S16+V16</f>
        <v>0</v>
      </c>
      <c r="E16" s="363">
        <f t="shared" ref="E16:E27" si="10">+H16+K16+N16+Q16+T16+W16</f>
        <v>0</v>
      </c>
      <c r="F16" s="439">
        <f t="shared" ref="F16:F22" si="11">+G16+H16</f>
        <v>0</v>
      </c>
      <c r="G16" s="327"/>
      <c r="H16" s="327"/>
      <c r="I16" s="439">
        <f t="shared" ref="I16:I22" si="12">+J16+K16</f>
        <v>0</v>
      </c>
      <c r="J16" s="327"/>
      <c r="K16" s="327"/>
      <c r="L16" s="439">
        <f t="shared" ref="L16:L22" si="13">+M16+N16</f>
        <v>0</v>
      </c>
      <c r="M16" s="327"/>
      <c r="N16" s="327"/>
      <c r="O16" s="439">
        <f>+P16+Q16</f>
        <v>0</v>
      </c>
      <c r="P16" s="327"/>
      <c r="Q16" s="582"/>
      <c r="R16" s="439">
        <f>+S16+T16</f>
        <v>0</v>
      </c>
      <c r="S16" s="327"/>
      <c r="T16" s="582"/>
      <c r="U16" s="439">
        <f>+V16+W16</f>
        <v>0</v>
      </c>
      <c r="V16" s="327"/>
      <c r="W16" s="179"/>
    </row>
    <row r="17" spans="1:26" ht="24.75" customHeight="1">
      <c r="B17" s="597" t="s">
        <v>972</v>
      </c>
      <c r="C17" s="326">
        <f t="shared" si="9"/>
        <v>0</v>
      </c>
      <c r="D17" s="363">
        <f t="shared" ref="D17:D27" si="14">+G17+J17+M17+P17+S17+V17</f>
        <v>0</v>
      </c>
      <c r="E17" s="363">
        <f t="shared" si="10"/>
        <v>0</v>
      </c>
      <c r="F17" s="439">
        <f t="shared" si="11"/>
        <v>0</v>
      </c>
      <c r="G17" s="327"/>
      <c r="H17" s="327"/>
      <c r="I17" s="439">
        <f t="shared" si="12"/>
        <v>0</v>
      </c>
      <c r="J17" s="327"/>
      <c r="K17" s="327"/>
      <c r="L17" s="439">
        <f t="shared" si="13"/>
        <v>0</v>
      </c>
      <c r="M17" s="327"/>
      <c r="N17" s="327"/>
      <c r="O17" s="865"/>
      <c r="P17" s="885"/>
      <c r="Q17" s="885"/>
      <c r="R17" s="885"/>
      <c r="S17" s="885"/>
      <c r="T17" s="885"/>
      <c r="U17" s="885"/>
      <c r="V17" s="885"/>
      <c r="W17" s="885"/>
    </row>
    <row r="18" spans="1:26" ht="24.75" customHeight="1">
      <c r="B18" s="597" t="s">
        <v>3437</v>
      </c>
      <c r="C18" s="326">
        <f t="shared" si="9"/>
        <v>0</v>
      </c>
      <c r="D18" s="363">
        <f t="shared" si="14"/>
        <v>0</v>
      </c>
      <c r="E18" s="363">
        <f t="shared" si="10"/>
        <v>0</v>
      </c>
      <c r="F18" s="439">
        <f t="shared" si="11"/>
        <v>0</v>
      </c>
      <c r="G18" s="327"/>
      <c r="H18" s="327"/>
      <c r="I18" s="439">
        <f t="shared" si="12"/>
        <v>0</v>
      </c>
      <c r="J18" s="327"/>
      <c r="K18" s="327"/>
      <c r="L18" s="439">
        <f t="shared" si="13"/>
        <v>0</v>
      </c>
      <c r="M18" s="327"/>
      <c r="N18" s="327"/>
      <c r="O18" s="886"/>
      <c r="P18" s="887"/>
      <c r="Q18" s="887"/>
      <c r="R18" s="887"/>
      <c r="S18" s="887"/>
      <c r="T18" s="887"/>
      <c r="U18" s="887"/>
      <c r="V18" s="887"/>
      <c r="W18" s="887"/>
    </row>
    <row r="19" spans="1:26" ht="24.75" customHeight="1">
      <c r="B19" s="597" t="s">
        <v>3438</v>
      </c>
      <c r="C19" s="326">
        <f t="shared" si="9"/>
        <v>0</v>
      </c>
      <c r="D19" s="363">
        <f t="shared" si="14"/>
        <v>0</v>
      </c>
      <c r="E19" s="363">
        <f t="shared" si="10"/>
        <v>0</v>
      </c>
      <c r="F19" s="439">
        <f t="shared" si="11"/>
        <v>0</v>
      </c>
      <c r="G19" s="327"/>
      <c r="H19" s="327"/>
      <c r="I19" s="439">
        <f t="shared" si="12"/>
        <v>0</v>
      </c>
      <c r="J19" s="327"/>
      <c r="K19" s="327"/>
      <c r="L19" s="439">
        <f t="shared" si="13"/>
        <v>0</v>
      </c>
      <c r="M19" s="327"/>
      <c r="N19" s="327"/>
      <c r="O19" s="439">
        <f t="shared" ref="O19:O27" si="15">+P19+Q19</f>
        <v>0</v>
      </c>
      <c r="P19" s="327"/>
      <c r="Q19" s="582"/>
      <c r="R19" s="439">
        <f t="shared" ref="R19:R27" si="16">+S19+T19</f>
        <v>0</v>
      </c>
      <c r="S19" s="327"/>
      <c r="T19" s="582"/>
      <c r="U19" s="439">
        <f t="shared" ref="U19:U27" si="17">+V19+W19</f>
        <v>0</v>
      </c>
      <c r="V19" s="327"/>
      <c r="W19" s="179"/>
    </row>
    <row r="20" spans="1:26" ht="24.75" customHeight="1">
      <c r="B20" s="597" t="s">
        <v>880</v>
      </c>
      <c r="C20" s="326">
        <f t="shared" si="9"/>
        <v>0</v>
      </c>
      <c r="D20" s="363">
        <f t="shared" si="14"/>
        <v>0</v>
      </c>
      <c r="E20" s="363">
        <f t="shared" si="10"/>
        <v>0</v>
      </c>
      <c r="F20" s="439">
        <f t="shared" si="11"/>
        <v>0</v>
      </c>
      <c r="G20" s="327"/>
      <c r="H20" s="327"/>
      <c r="I20" s="439">
        <f t="shared" si="12"/>
        <v>0</v>
      </c>
      <c r="J20" s="327"/>
      <c r="K20" s="327"/>
      <c r="L20" s="439">
        <f t="shared" si="13"/>
        <v>0</v>
      </c>
      <c r="M20" s="327"/>
      <c r="N20" s="327"/>
      <c r="O20" s="439">
        <f t="shared" si="15"/>
        <v>0</v>
      </c>
      <c r="P20" s="327"/>
      <c r="Q20" s="582"/>
      <c r="R20" s="439">
        <f t="shared" si="16"/>
        <v>0</v>
      </c>
      <c r="S20" s="327"/>
      <c r="T20" s="582"/>
      <c r="U20" s="439">
        <f t="shared" si="17"/>
        <v>0</v>
      </c>
      <c r="V20" s="327"/>
      <c r="W20" s="179"/>
    </row>
    <row r="21" spans="1:26" ht="24.75" customHeight="1">
      <c r="B21" s="597" t="s">
        <v>881</v>
      </c>
      <c r="C21" s="326">
        <f t="shared" si="9"/>
        <v>0</v>
      </c>
      <c r="D21" s="363">
        <f t="shared" si="14"/>
        <v>0</v>
      </c>
      <c r="E21" s="363">
        <f t="shared" si="10"/>
        <v>0</v>
      </c>
      <c r="F21" s="439">
        <f t="shared" si="11"/>
        <v>0</v>
      </c>
      <c r="G21" s="327"/>
      <c r="H21" s="327"/>
      <c r="I21" s="439">
        <f t="shared" si="12"/>
        <v>0</v>
      </c>
      <c r="J21" s="327"/>
      <c r="K21" s="327"/>
      <c r="L21" s="439">
        <f t="shared" si="13"/>
        <v>0</v>
      </c>
      <c r="M21" s="327"/>
      <c r="N21" s="327"/>
      <c r="O21" s="439">
        <f t="shared" si="15"/>
        <v>0</v>
      </c>
      <c r="P21" s="327"/>
      <c r="Q21" s="582"/>
      <c r="R21" s="439">
        <f t="shared" si="16"/>
        <v>0</v>
      </c>
      <c r="S21" s="327"/>
      <c r="T21" s="582"/>
      <c r="U21" s="439">
        <f t="shared" si="17"/>
        <v>0</v>
      </c>
      <c r="V21" s="327"/>
      <c r="W21" s="179"/>
    </row>
    <row r="22" spans="1:26" ht="24.75" customHeight="1">
      <c r="B22" s="597" t="s">
        <v>879</v>
      </c>
      <c r="C22" s="326">
        <f t="shared" si="9"/>
        <v>0</v>
      </c>
      <c r="D22" s="363">
        <f t="shared" si="14"/>
        <v>0</v>
      </c>
      <c r="E22" s="363">
        <f t="shared" si="10"/>
        <v>0</v>
      </c>
      <c r="F22" s="439">
        <f t="shared" si="11"/>
        <v>0</v>
      </c>
      <c r="G22" s="327"/>
      <c r="H22" s="327"/>
      <c r="I22" s="439">
        <f t="shared" si="12"/>
        <v>0</v>
      </c>
      <c r="J22" s="327"/>
      <c r="K22" s="327"/>
      <c r="L22" s="439">
        <f t="shared" si="13"/>
        <v>0</v>
      </c>
      <c r="M22" s="327"/>
      <c r="N22" s="327"/>
      <c r="O22" s="439">
        <f t="shared" si="15"/>
        <v>0</v>
      </c>
      <c r="P22" s="327"/>
      <c r="Q22" s="582"/>
      <c r="R22" s="439">
        <f t="shared" si="16"/>
        <v>0</v>
      </c>
      <c r="S22" s="327"/>
      <c r="T22" s="582"/>
      <c r="U22" s="439">
        <f t="shared" si="17"/>
        <v>0</v>
      </c>
      <c r="V22" s="327"/>
      <c r="W22" s="179"/>
    </row>
    <row r="23" spans="1:26" ht="24.75" customHeight="1">
      <c r="B23" s="597" t="s">
        <v>3439</v>
      </c>
      <c r="C23" s="326">
        <f t="shared" si="9"/>
        <v>0</v>
      </c>
      <c r="D23" s="363">
        <f t="shared" si="14"/>
        <v>0</v>
      </c>
      <c r="E23" s="363">
        <f t="shared" si="10"/>
        <v>0</v>
      </c>
      <c r="F23" s="865"/>
      <c r="G23" s="885"/>
      <c r="H23" s="885"/>
      <c r="I23" s="885"/>
      <c r="J23" s="885"/>
      <c r="K23" s="885"/>
      <c r="L23" s="885"/>
      <c r="M23" s="885"/>
      <c r="N23" s="888"/>
      <c r="O23" s="439">
        <f t="shared" si="15"/>
        <v>0</v>
      </c>
      <c r="P23" s="327"/>
      <c r="Q23" s="582"/>
      <c r="R23" s="439">
        <f t="shared" si="16"/>
        <v>0</v>
      </c>
      <c r="S23" s="327"/>
      <c r="T23" s="582"/>
      <c r="U23" s="439">
        <f t="shared" si="17"/>
        <v>0</v>
      </c>
      <c r="V23" s="327"/>
      <c r="W23" s="179"/>
    </row>
    <row r="24" spans="1:26" ht="24.75" customHeight="1">
      <c r="B24" s="597" t="s">
        <v>3440</v>
      </c>
      <c r="C24" s="326">
        <f t="shared" si="9"/>
        <v>0</v>
      </c>
      <c r="D24" s="363">
        <f t="shared" si="14"/>
        <v>0</v>
      </c>
      <c r="E24" s="363">
        <f t="shared" si="10"/>
        <v>0</v>
      </c>
      <c r="F24" s="886"/>
      <c r="G24" s="887"/>
      <c r="H24" s="887"/>
      <c r="I24" s="887"/>
      <c r="J24" s="887"/>
      <c r="K24" s="887"/>
      <c r="L24" s="887"/>
      <c r="M24" s="887"/>
      <c r="N24" s="889"/>
      <c r="O24" s="439">
        <f t="shared" si="15"/>
        <v>0</v>
      </c>
      <c r="P24" s="327"/>
      <c r="Q24" s="582"/>
      <c r="R24" s="439">
        <f t="shared" si="16"/>
        <v>0</v>
      </c>
      <c r="S24" s="327"/>
      <c r="T24" s="582"/>
      <c r="U24" s="439">
        <f t="shared" si="17"/>
        <v>0</v>
      </c>
      <c r="V24" s="327"/>
      <c r="W24" s="179"/>
    </row>
    <row r="25" spans="1:26" ht="24.75" customHeight="1">
      <c r="B25" s="597" t="s">
        <v>4035</v>
      </c>
      <c r="C25" s="326">
        <f>+D25+E25</f>
        <v>0</v>
      </c>
      <c r="D25" s="363">
        <f>+G25+J25+M25+P25+S25+V25</f>
        <v>0</v>
      </c>
      <c r="E25" s="363">
        <f>+H25+K25+N25+Q25+T25+W25</f>
        <v>0</v>
      </c>
      <c r="F25" s="439">
        <f>+G25+H25</f>
        <v>0</v>
      </c>
      <c r="G25" s="327"/>
      <c r="H25" s="327"/>
      <c r="I25" s="439">
        <f>+J25+K25</f>
        <v>0</v>
      </c>
      <c r="J25" s="327"/>
      <c r="K25" s="327"/>
      <c r="L25" s="439">
        <f>+M25+N25</f>
        <v>0</v>
      </c>
      <c r="M25" s="327"/>
      <c r="N25" s="327"/>
      <c r="O25" s="439">
        <f t="shared" si="15"/>
        <v>0</v>
      </c>
      <c r="P25" s="327"/>
      <c r="Q25" s="582"/>
      <c r="R25" s="439">
        <f t="shared" si="16"/>
        <v>0</v>
      </c>
      <c r="S25" s="327"/>
      <c r="T25" s="582"/>
      <c r="U25" s="439">
        <f t="shared" si="17"/>
        <v>0</v>
      </c>
      <c r="V25" s="327"/>
      <c r="W25" s="179"/>
    </row>
    <row r="26" spans="1:26" ht="24.75" customHeight="1">
      <c r="B26" s="597" t="s">
        <v>882</v>
      </c>
      <c r="C26" s="326">
        <f>+D26+E26</f>
        <v>0</v>
      </c>
      <c r="D26" s="363">
        <f>+G26+J26+M26+P26+S26+V26</f>
        <v>0</v>
      </c>
      <c r="E26" s="363">
        <f>+H26+K26+N26+Q26+T26+W26</f>
        <v>0</v>
      </c>
      <c r="F26" s="439">
        <f>+G26+H26</f>
        <v>0</v>
      </c>
      <c r="G26" s="327"/>
      <c r="H26" s="327"/>
      <c r="I26" s="439">
        <f>+J26+K26</f>
        <v>0</v>
      </c>
      <c r="J26" s="327"/>
      <c r="K26" s="327"/>
      <c r="L26" s="439">
        <f>+M26+N26</f>
        <v>0</v>
      </c>
      <c r="M26" s="327"/>
      <c r="N26" s="327"/>
      <c r="O26" s="439">
        <f>+P26+Q26</f>
        <v>0</v>
      </c>
      <c r="P26" s="327"/>
      <c r="Q26" s="582"/>
      <c r="R26" s="439">
        <f>+S26+T26</f>
        <v>0</v>
      </c>
      <c r="S26" s="327"/>
      <c r="T26" s="582"/>
      <c r="U26" s="439">
        <f>+V26+W26</f>
        <v>0</v>
      </c>
      <c r="V26" s="327"/>
      <c r="W26" s="179"/>
    </row>
    <row r="27" spans="1:26" ht="24.75" customHeight="1" thickBot="1">
      <c r="B27" s="601" t="s">
        <v>4387</v>
      </c>
      <c r="C27" s="579">
        <f t="shared" si="9"/>
        <v>0</v>
      </c>
      <c r="D27" s="451">
        <f t="shared" si="14"/>
        <v>0</v>
      </c>
      <c r="E27" s="451">
        <f t="shared" si="10"/>
        <v>0</v>
      </c>
      <c r="F27" s="452">
        <f>+G27+H27</f>
        <v>0</v>
      </c>
      <c r="G27" s="598"/>
      <c r="H27" s="599"/>
      <c r="I27" s="452">
        <f>+J27+K27</f>
        <v>0</v>
      </c>
      <c r="J27" s="598"/>
      <c r="K27" s="599"/>
      <c r="L27" s="452">
        <f>+M27+N27</f>
        <v>0</v>
      </c>
      <c r="M27" s="598"/>
      <c r="N27" s="599"/>
      <c r="O27" s="452">
        <f t="shared" si="15"/>
        <v>0</v>
      </c>
      <c r="P27" s="598"/>
      <c r="Q27" s="599"/>
      <c r="R27" s="452">
        <f t="shared" si="16"/>
        <v>0</v>
      </c>
      <c r="S27" s="598"/>
      <c r="T27" s="599"/>
      <c r="U27" s="452">
        <f t="shared" si="17"/>
        <v>0</v>
      </c>
      <c r="V27" s="598"/>
      <c r="W27" s="600"/>
    </row>
    <row r="28" spans="1:26" s="538" customFormat="1" ht="18.75" customHeight="1" thickTop="1">
      <c r="A28" s="261"/>
      <c r="B28" s="606"/>
      <c r="C28" s="607"/>
      <c r="D28" s="608" t="str">
        <f>IF(OR(D7&gt;'CUADRO 1'!F6,D8&gt;'CUADRO 1'!F6,D9&gt;'CUADRO 1'!F6,D10&gt;'CUADRO 1'!F6,D11&gt;'CUADRO 1'!F6,D12&gt;'CUADRO 1'!F6,D13&gt;'CUADRO 1'!F6,D14&gt;'CUADRO 1'!F6,D15&gt;'CUADRO 1'!F6,D16&gt;'CUADRO 1'!F6,D17&gt;'CUADRO 1'!F6,D18&gt;'CUADRO 1'!F6,D19&gt;'CUADRO 1'!F6,D20&gt;'CUADRO 1'!F6,D21&gt;'CUADRO 1'!F6,D22&gt;'CUADRO 1'!F6,D23&gt;'CUADRO 1'!F6,D24&gt;'CUADRO 1'!F6,D25&gt;'CUADRO 1'!F6,D26&gt;'CUADRO 1'!F6,D27&gt;'CUADRO 1'!F6),"XX","")</f>
        <v/>
      </c>
      <c r="E28" s="608" t="str">
        <f>IF(OR(E7&gt;'CUADRO 1'!G6,E8&gt;'CUADRO 1'!G6,E9&gt;'CUADRO 1'!G6,E10&gt;'CUADRO 1'!G6,E11&gt;'CUADRO 1'!G6,E12&gt;'CUADRO 1'!G6,E13&gt;'CUADRO 1'!G6,E14&gt;'CUADRO 1'!G6,E15&gt;'CUADRO 1'!G6,E16&gt;'CUADRO 1'!G6,E17&gt;'CUADRO 1'!G6,E18&gt;'CUADRO 1'!G6,E19&gt;'CUADRO 1'!G6,E20&gt;'CUADRO 1'!G6,E21&gt;'CUADRO 1'!G6,E22&gt;'CUADRO 1'!G6,E23&gt;'CUADRO 1'!G6,E24&gt;'CUADRO 1'!G6,E25&gt;'CUADRO 1'!G6,E26&gt;'CUADRO 1'!G6,E27&gt;'CUADRO 1'!G6),"XX","")</f>
        <v/>
      </c>
      <c r="F28" s="609"/>
      <c r="G28" s="609" t="str">
        <f>IF(OR(G7&gt;'CUADRO 1'!F7,G8&gt;'CUADRO 1'!F7,G9&gt;'CUADRO 1'!F7,G10&gt;'CUADRO 1'!F7,G11&gt;'CUADRO 1'!F7,G12&gt;'CUADRO 1'!F7,G13&gt;'CUADRO 1'!F7,G14&gt;'CUADRO 1'!F7,G15&gt;'CUADRO 1'!F7,G16&gt;'CUADRO 1'!F7,G17&gt;'CUADRO 1'!F7,G18&gt;'CUADRO 1'!F7,G19&gt;'CUADRO 1'!F7,G20&gt;'CUADRO 1'!F7,G21&gt;'CUADRO 1'!F7,G22&gt;'CUADRO 1'!F7,G23&gt;'CUADRO 1'!F7,G24&gt;'CUADRO 1'!F7,G25&gt;'CUADRO 1'!F7,G26&gt;'CUADRO 1'!F7,G27&gt;'CUADRO 1'!F7),"XX","")</f>
        <v/>
      </c>
      <c r="H28" s="609" t="str">
        <f>IF(OR(H7&gt;'CUADRO 1'!G7,H8&gt;'CUADRO 1'!G7,H9&gt;'CUADRO 1'!G7,H10&gt;'CUADRO 1'!G7,H11&gt;'CUADRO 1'!G7,H12&gt;'CUADRO 1'!G7,H13&gt;'CUADRO 1'!G7,H14&gt;'CUADRO 1'!G7,H15&gt;'CUADRO 1'!G7,H16&gt;'CUADRO 1'!G7,H17&gt;'CUADRO 1'!G7,H18&gt;'CUADRO 1'!G7,H19&gt;'CUADRO 1'!G7,H20&gt;'CUADRO 1'!G7,H21&gt;'CUADRO 1'!G7,H22&gt;'CUADRO 1'!G7,H23&gt;'CUADRO 1'!G7,H24&gt;'CUADRO 1'!G7,H25&gt;'CUADRO 1'!G7,H26&gt;'CUADRO 1'!G7,H27&gt;'CUADRO 1'!G7),"XX","")</f>
        <v/>
      </c>
      <c r="I28" s="609"/>
      <c r="J28" s="609" t="str">
        <f>IF(OR(J7&gt;('CUADRO 1'!F7+'CUADRO 1'!F8),J8&gt;('CUADRO 1'!F7+'CUADRO 1'!F8),J9&gt;('CUADRO 1'!F7+'CUADRO 1'!F8),J10&gt;('CUADRO 1'!F7+'CUADRO 1'!F8),J11&gt;('CUADRO 1'!F7+'CUADRO 1'!F8),J12&gt;('CUADRO 1'!F7+'CUADRO 1'!F8),J13&gt;('CUADRO 1'!F7+'CUADRO 1'!F8),J14&gt;('CUADRO 1'!F7+'CUADRO 1'!F8),J15&gt;('CUADRO 1'!F7+'CUADRO 1'!F8),J16&gt;('CUADRO 1'!F7+'CUADRO 1'!F8),J17&gt;('CUADRO 1'!F7+'CUADRO 1'!F8),J18&gt;('CUADRO 1'!F7+'CUADRO 1'!F8),J19&gt;('CUADRO 1'!F7+'CUADRO 1'!F8),J20&gt;('CUADRO 1'!F7+'CUADRO 1'!F8),J21&gt;('CUADRO 1'!F7+'CUADRO 1'!F8),J22&gt;('CUADRO 1'!F7+'CUADRO 1'!F8),J23&gt;('CUADRO 1'!F7+'CUADRO 1'!F8),J24&gt;('CUADRO 1'!F7+'CUADRO 1'!F8),J25&gt;('CUADRO 1'!F7+'CUADRO 1'!F8),J26&gt;('CUADRO 1'!F7+'CUADRO 1'!F8),J27&gt;('CUADRO 1'!F7+'CUADRO 1'!F8)),"XX","")</f>
        <v/>
      </c>
      <c r="K28" s="609" t="str">
        <f>IF(OR(K7&gt;('CUADRO 1'!G7+'CUADRO 1'!G8),K8&gt;('CUADRO 1'!G7+'CUADRO 1'!G8),K9&gt;('CUADRO 1'!G7+'CUADRO 1'!G8),K10&gt;('CUADRO 1'!G7+'CUADRO 1'!G8),K11&gt;('CUADRO 1'!G7+'CUADRO 1'!G8),K12&gt;('CUADRO 1'!G7+'CUADRO 1'!G8),K13&gt;('CUADRO 1'!G7+'CUADRO 1'!G8),K14&gt;('CUADRO 1'!G7+'CUADRO 1'!G8),K15&gt;('CUADRO 1'!G7+'CUADRO 1'!G8),K16&gt;('CUADRO 1'!G7+'CUADRO 1'!G8),K17&gt;('CUADRO 1'!G7+'CUADRO 1'!G8),K18&gt;('CUADRO 1'!G7+'CUADRO 1'!G8),K19&gt;('CUADRO 1'!G7+'CUADRO 1'!G8),K20&gt;('CUADRO 1'!G7+'CUADRO 1'!G8),K21&gt;('CUADRO 1'!G7+'CUADRO 1'!G8),K22&gt;('CUADRO 1'!G7+'CUADRO 1'!G8),K23&gt;('CUADRO 1'!G7+'CUADRO 1'!G8),K24&gt;('CUADRO 1'!G7+'CUADRO 1'!G8),K25&gt;('CUADRO 1'!G7+'CUADRO 1'!G8),K26&gt;('CUADRO 1'!G7+'CUADRO 1'!G8),K27&gt;('CUADRO 1'!G7+'CUADRO 1'!G8)),"XX","")</f>
        <v/>
      </c>
      <c r="L28" s="609"/>
      <c r="M28" s="609" t="str">
        <f>IF(OR(M7&gt;('CUADRO 1'!F7+'CUADRO 1'!F8+'CUADRO 1'!F9),M8&gt;('CUADRO 1'!F7+'CUADRO 1'!F8+'CUADRO 1'!F9),M9&gt;('CUADRO 1'!F7+'CUADRO 1'!F8+'CUADRO 1'!F9),M10&gt;('CUADRO 1'!F7+'CUADRO 1'!F8+'CUADRO 1'!F9),M11&gt;('CUADRO 1'!F7+'CUADRO 1'!F8+'CUADRO 1'!F9),M12&gt;('CUADRO 1'!F7+'CUADRO 1'!F8+'CUADRO 1'!F9),M13&gt;('CUADRO 1'!F7+'CUADRO 1'!F8+'CUADRO 1'!F9),M14&gt;('CUADRO 1'!F7+'CUADRO 1'!F8+'CUADRO 1'!F9),M15&gt;('CUADRO 1'!F7+'CUADRO 1'!F8+'CUADRO 1'!F9),M16&gt;('CUADRO 1'!F7+'CUADRO 1'!F8+'CUADRO 1'!F9),M17&gt;('CUADRO 1'!F7+'CUADRO 1'!F8+'CUADRO 1'!F9),M18&gt;('CUADRO 1'!F7+'CUADRO 1'!F8+'CUADRO 1'!F9),M19&gt;('CUADRO 1'!F7+'CUADRO 1'!F8+'CUADRO 1'!F9),M20&gt;('CUADRO 1'!F7+'CUADRO 1'!F8+'CUADRO 1'!F9),M21&gt;('CUADRO 1'!F7+'CUADRO 1'!F8+'CUADRO 1'!F9),M22&gt;('CUADRO 1'!F7+'CUADRO 1'!F8+'CUADRO 1'!F9),M23&gt;('CUADRO 1'!F7+'CUADRO 1'!F8+'CUADRO 1'!F9),M24&gt;('CUADRO 1'!F7+'CUADRO 1'!F8+'CUADRO 1'!F9),M25&gt;('CUADRO 1'!F7+'CUADRO 1'!F8+'CUADRO 1'!F9),M26&gt;('CUADRO 1'!F7+'CUADRO 1'!F8+'CUADRO 1'!F9),M27&gt;('CUADRO 1'!F7+'CUADRO 1'!F8+'CUADRO 1'!F9)),"XX","")</f>
        <v/>
      </c>
      <c r="N28" s="609" t="str">
        <f>IF(OR(N7&gt;('CUADRO 1'!G7+'CUADRO 1'!G8+'CUADRO 1'!G9),N8&gt;('CUADRO 1'!G7+'CUADRO 1'!G8+'CUADRO 1'!G9),N9&gt;('CUADRO 1'!G7+'CUADRO 1'!G8+'CUADRO 1'!G9),N10&gt;('CUADRO 1'!G7+'CUADRO 1'!G8+'CUADRO 1'!G9),N11&gt;('CUADRO 1'!G7+'CUADRO 1'!G8+'CUADRO 1'!G9),N12&gt;('CUADRO 1'!G7+'CUADRO 1'!G8+'CUADRO 1'!G9),N13&gt;('CUADRO 1'!G7+'CUADRO 1'!G8+'CUADRO 1'!G9),N14&gt;('CUADRO 1'!G7+'CUADRO 1'!G8+'CUADRO 1'!G9),N15&gt;('CUADRO 1'!G7+'CUADRO 1'!G8+'CUADRO 1'!G9),N16&gt;('CUADRO 1'!G7+'CUADRO 1'!G8+'CUADRO 1'!G9),N17&gt;('CUADRO 1'!G7+'CUADRO 1'!G8+'CUADRO 1'!G9),N18&gt;('CUADRO 1'!G7+'CUADRO 1'!G8+'CUADRO 1'!G9),N19&gt;('CUADRO 1'!G7+'CUADRO 1'!G8+'CUADRO 1'!G9),N20&gt;('CUADRO 1'!G7+'CUADRO 1'!G8+'CUADRO 1'!G9),N21&gt;('CUADRO 1'!G7+'CUADRO 1'!G8+'CUADRO 1'!G9),N22&gt;('CUADRO 1'!G7+'CUADRO 1'!G8+'CUADRO 1'!G9),N23&gt;('CUADRO 1'!G7+'CUADRO 1'!G8+'CUADRO 1'!G9),N24&gt;('CUADRO 1'!G7+'CUADRO 1'!G8+'CUADRO 1'!G9),N25&gt;('CUADRO 1'!G7+'CUADRO 1'!G8+'CUADRO 1'!G9),N26&gt;('CUADRO 1'!G7+'CUADRO 1'!G8+'CUADRO 1'!G9),N27&gt;('CUADRO 1'!G7+'CUADRO 1'!G8+'CUADRO 1'!G9)),"XX","")</f>
        <v/>
      </c>
      <c r="O28" s="609"/>
      <c r="P28" s="609" t="str">
        <f>IF(OR(P7&gt;('CUADRO 1'!F7+'CUADRO 1'!F8+'CUADRO 1'!F9+'CUADRO 1'!F10),P8&gt;('CUADRO 1'!F7+'CUADRO 1'!F8+'CUADRO 1'!F9+'CUADRO 1'!F10),P9&gt;('CUADRO 1'!F7+'CUADRO 1'!F8+'CUADRO 1'!F9+'CUADRO 1'!F10),P10&gt;('CUADRO 1'!F7+'CUADRO 1'!F8+'CUADRO 1'!F9+'CUADRO 1'!F10),P11&gt;('CUADRO 1'!F7+'CUADRO 1'!F8+'CUADRO 1'!F9+'CUADRO 1'!F10),P12&gt;('CUADRO 1'!F7+'CUADRO 1'!F8+'CUADRO 1'!F9+'CUADRO 1'!F10),P13&gt;('CUADRO 1'!F7+'CUADRO 1'!F8+'CUADRO 1'!F9+'CUADRO 1'!F10),P14&gt;('CUADRO 1'!F7+'CUADRO 1'!F8+'CUADRO 1'!F9+'CUADRO 1'!F10),P15&gt;('CUADRO 1'!F7+'CUADRO 1'!F8+'CUADRO 1'!F9+'CUADRO 1'!F10),P16&gt;('CUADRO 1'!F7+'CUADRO 1'!F8+'CUADRO 1'!F9+'CUADRO 1'!F10),P17&gt;('CUADRO 1'!F7+'CUADRO 1'!F8+'CUADRO 1'!F9+'CUADRO 1'!F10),P18&gt;('CUADRO 1'!F7+'CUADRO 1'!F8+'CUADRO 1'!F9+'CUADRO 1'!F10),P19&gt;('CUADRO 1'!F7+'CUADRO 1'!F8+'CUADRO 1'!F9+'CUADRO 1'!F10),P20&gt;('CUADRO 1'!F7+'CUADRO 1'!F8+'CUADRO 1'!F9+'CUADRO 1'!F10),P21&gt;('CUADRO 1'!F7+'CUADRO 1'!F8+'CUADRO 1'!F9+'CUADRO 1'!F10),P22&gt;('CUADRO 1'!F7+'CUADRO 1'!F8+'CUADRO 1'!F9+'CUADRO 1'!F10),P23&gt;('CUADRO 1'!F7+'CUADRO 1'!F8+'CUADRO 1'!F9+'CUADRO 1'!F10),P24&gt;('CUADRO 1'!F7+'CUADRO 1'!F8+'CUADRO 1'!F9+'CUADRO 1'!F10),P25&gt;('CUADRO 1'!F7+'CUADRO 1'!F8+'CUADRO 1'!F9+'CUADRO 1'!F10),P26&gt;('CUADRO 1'!F7+'CUADRO 1'!F8+'CUADRO 1'!F9+'CUADRO 1'!F10),P27&gt;('CUADRO 1'!F7+'CUADRO 1'!F8+'CUADRO 1'!F9+'CUADRO 1'!F10)),"XX","")</f>
        <v/>
      </c>
      <c r="Q28" s="609" t="str">
        <f>IF(OR(Q7&gt;('CUADRO 1'!G7+'CUADRO 1'!G8+'CUADRO 1'!G9+'CUADRO 1'!G10),Q8&gt;('CUADRO 1'!G7+'CUADRO 1'!G8+'CUADRO 1'!G9+'CUADRO 1'!G10),Q9&gt;('CUADRO 1'!G7+'CUADRO 1'!G8+'CUADRO 1'!G9+'CUADRO 1'!G10),Q10&gt;('CUADRO 1'!G7+'CUADRO 1'!G8+'CUADRO 1'!G9+'CUADRO 1'!G10),Q11&gt;('CUADRO 1'!G7+'CUADRO 1'!G8+'CUADRO 1'!G9+'CUADRO 1'!G10),Q12&gt;('CUADRO 1'!G7+'CUADRO 1'!G8+'CUADRO 1'!G9+'CUADRO 1'!G10),Q13&gt;('CUADRO 1'!G7+'CUADRO 1'!G8+'CUADRO 1'!G9+'CUADRO 1'!G10),Q14&gt;('CUADRO 1'!G7+'CUADRO 1'!G8+'CUADRO 1'!G9+'CUADRO 1'!G10),Q15&gt;('CUADRO 1'!G7+'CUADRO 1'!G8+'CUADRO 1'!G9+'CUADRO 1'!G10),Q16&gt;('CUADRO 1'!G7+'CUADRO 1'!G8+'CUADRO 1'!G9+'CUADRO 1'!G10),Q17&gt;('CUADRO 1'!G7+'CUADRO 1'!G8+'CUADRO 1'!G9+'CUADRO 1'!G10),Q18&gt;('CUADRO 1'!G7+'CUADRO 1'!G8+'CUADRO 1'!G9+'CUADRO 1'!G10),Q19&gt;('CUADRO 1'!G7+'CUADRO 1'!G8+'CUADRO 1'!G9+'CUADRO 1'!G10),Q20&gt;('CUADRO 1'!G7+'CUADRO 1'!G8+'CUADRO 1'!G9+'CUADRO 1'!G10),Q21&gt;('CUADRO 1'!G7+'CUADRO 1'!G8+'CUADRO 1'!G9+'CUADRO 1'!G10),Q22&gt;('CUADRO 1'!G7+'CUADRO 1'!G8+'CUADRO 1'!G9+'CUADRO 1'!G10),Q23&gt;('CUADRO 1'!G7+'CUADRO 1'!G8+'CUADRO 1'!G9+'CUADRO 1'!G10),Q24&gt;('CUADRO 1'!G7+'CUADRO 1'!G8+'CUADRO 1'!G9+'CUADRO 1'!G10),Q25&gt;('CUADRO 1'!G7+'CUADRO 1'!G8+'CUADRO 1'!G9+'CUADRO 1'!G10),Q26&gt;('CUADRO 1'!G7+'CUADRO 1'!G8+'CUADRO 1'!G9+'CUADRO 1'!G10),Q27&gt;('CUADRO 1'!G7+'CUADRO 1'!G8+'CUADRO 1'!G9+'CUADRO 1'!G10)),"XX","")</f>
        <v/>
      </c>
      <c r="R28" s="609"/>
      <c r="S28" s="609" t="str">
        <f>IF(OR(S7&gt;('CUADRO 1'!F7+'CUADRO 1'!F8+'CUADRO 1'!F9+'CUADRO 1'!F10+'CUADRO 1'!F11),S8&gt;('CUADRO 1'!F7+'CUADRO 1'!F8+'CUADRO 1'!F9+'CUADRO 1'!F10+'CUADRO 1'!F11),S9&gt;('CUADRO 1'!F7+'CUADRO 1'!F8+'CUADRO 1'!F9+'CUADRO 1'!F10+'CUADRO 1'!F11),S10&gt;('CUADRO 1'!F7+'CUADRO 1'!F8+'CUADRO 1'!F9+'CUADRO 1'!F10+'CUADRO 1'!F11),S11&gt;('CUADRO 1'!F7+'CUADRO 1'!F8+'CUADRO 1'!F9+'CUADRO 1'!F10+'CUADRO 1'!F11),S12&gt;('CUADRO 1'!F7+'CUADRO 1'!F8+'CUADRO 1'!F9+'CUADRO 1'!F10+'CUADRO 1'!F11),S13&gt;('CUADRO 1'!F7+'CUADRO 1'!F8+'CUADRO 1'!F9+'CUADRO 1'!F10+'CUADRO 1'!F11),S14&gt;('CUADRO 1'!F7+'CUADRO 1'!F8+'CUADRO 1'!F9+'CUADRO 1'!F10+'CUADRO 1'!F11),S15&gt;('CUADRO 1'!F7+'CUADRO 1'!F8+'CUADRO 1'!F9+'CUADRO 1'!F10+'CUADRO 1'!F11),S16&gt;('CUADRO 1'!F7+'CUADRO 1'!F8+'CUADRO 1'!F9+'CUADRO 1'!F10+'CUADRO 1'!F11),S17&gt;('CUADRO 1'!F7+'CUADRO 1'!F8+'CUADRO 1'!F9+'CUADRO 1'!F10+'CUADRO 1'!F11),S18&gt;('CUADRO 1'!F7+'CUADRO 1'!F8+'CUADRO 1'!F9+'CUADRO 1'!F10+'CUADRO 1'!F11),S19&gt;('CUADRO 1'!F7+'CUADRO 1'!F8+'CUADRO 1'!F9+'CUADRO 1'!F10+'CUADRO 1'!F11),S20&gt;('CUADRO 1'!F7+'CUADRO 1'!F8+'CUADRO 1'!F9+'CUADRO 1'!F10+'CUADRO 1'!F11),S21&gt;('CUADRO 1'!F7+'CUADRO 1'!F8+'CUADRO 1'!F9+'CUADRO 1'!F10+'CUADRO 1'!F11),S22&gt;('CUADRO 1'!F7+'CUADRO 1'!F8+'CUADRO 1'!F9+'CUADRO 1'!F10+'CUADRO 1'!F11),S23&gt;('CUADRO 1'!F7+'CUADRO 1'!F8+'CUADRO 1'!F9+'CUADRO 1'!F10+'CUADRO 1'!F11),S24&gt;('CUADRO 1'!F7+'CUADRO 1'!F8+'CUADRO 1'!F9+'CUADRO 1'!F10+'CUADRO 1'!F11),S25&gt;('CUADRO 1'!F7+'CUADRO 1'!F8+'CUADRO 1'!F9+'CUADRO 1'!F10+'CUADRO 1'!F11),S26&gt;('CUADRO 1'!F7+'CUADRO 1'!F8+'CUADRO 1'!F9+'CUADRO 1'!F10+'CUADRO 1'!F11),S27&gt;('CUADRO 1'!F7+'CUADRO 1'!F8+'CUADRO 1'!F9+'CUADRO 1'!F10+'CUADRO 1'!F11)),"XX","")</f>
        <v/>
      </c>
      <c r="T28" s="609" t="str">
        <f>IF(OR(T7&gt;('CUADRO 1'!G7+'CUADRO 1'!G8+'CUADRO 1'!G9+'CUADRO 1'!G10+'CUADRO 1'!G11),T8&gt;('CUADRO 1'!G7+'CUADRO 1'!G8+'CUADRO 1'!G9+'CUADRO 1'!G10+'CUADRO 1'!G11),T9&gt;('CUADRO 1'!G7+'CUADRO 1'!G8+'CUADRO 1'!G9+'CUADRO 1'!G10+'CUADRO 1'!G11),T10&gt;('CUADRO 1'!G7+'CUADRO 1'!G8+'CUADRO 1'!G9+'CUADRO 1'!G10+'CUADRO 1'!G11),T11&gt;('CUADRO 1'!G7+'CUADRO 1'!G8+'CUADRO 1'!G9+'CUADRO 1'!G10+'CUADRO 1'!G11),T12&gt;('CUADRO 1'!G7+'CUADRO 1'!G8+'CUADRO 1'!G9+'CUADRO 1'!G10+'CUADRO 1'!G11),T13&gt;('CUADRO 1'!G7+'CUADRO 1'!G8+'CUADRO 1'!G9+'CUADRO 1'!G10+'CUADRO 1'!G11),T14&gt;('CUADRO 1'!G7+'CUADRO 1'!G8+'CUADRO 1'!G9+'CUADRO 1'!G10+'CUADRO 1'!G11),T15&gt;('CUADRO 1'!G7+'CUADRO 1'!G8+'CUADRO 1'!G9+'CUADRO 1'!G10+'CUADRO 1'!G11),T16&gt;('CUADRO 1'!G7+'CUADRO 1'!G8+'CUADRO 1'!G9+'CUADRO 1'!G10+'CUADRO 1'!G11),T17&gt;('CUADRO 1'!G7+'CUADRO 1'!G8+'CUADRO 1'!G9+'CUADRO 1'!G10+'CUADRO 1'!G11),T18&gt;('CUADRO 1'!G7+'CUADRO 1'!G8+'CUADRO 1'!G9+'CUADRO 1'!G10+'CUADRO 1'!G11),T19&gt;('CUADRO 1'!G7+'CUADRO 1'!G8+'CUADRO 1'!G9+'CUADRO 1'!G10+'CUADRO 1'!G11),T20&gt;('CUADRO 1'!G7+'CUADRO 1'!G8+'CUADRO 1'!G9+'CUADRO 1'!G10+'CUADRO 1'!G11),T21&gt;('CUADRO 1'!G7+'CUADRO 1'!G8+'CUADRO 1'!G9+'CUADRO 1'!G10+'CUADRO 1'!G11),T22&gt;('CUADRO 1'!G7+'CUADRO 1'!G8+'CUADRO 1'!G9+'CUADRO 1'!G10+'CUADRO 1'!G11),T23&gt;('CUADRO 1'!G7+'CUADRO 1'!G8+'CUADRO 1'!G9+'CUADRO 1'!G10+'CUADRO 1'!G11),T24&gt;('CUADRO 1'!G7+'CUADRO 1'!G8+'CUADRO 1'!G9+'CUADRO 1'!G10+'CUADRO 1'!G11),T25&gt;('CUADRO 1'!G7+'CUADRO 1'!G8+'CUADRO 1'!G9+'CUADRO 1'!G10+'CUADRO 1'!G11),T26&gt;('CUADRO 1'!G7+'CUADRO 1'!G8+'CUADRO 1'!G9+'CUADRO 1'!G10+'CUADRO 1'!G11),T27&gt;('CUADRO 1'!G7+'CUADRO 1'!G8+'CUADRO 1'!G9+'CUADRO 1'!G10+'CUADRO 1'!G11)),"XX","")</f>
        <v/>
      </c>
      <c r="U28" s="609"/>
      <c r="V28" s="609"/>
      <c r="W28" s="609"/>
    </row>
    <row r="29" spans="1:26" ht="27.75" customHeight="1">
      <c r="A29" s="334"/>
      <c r="B29" s="120" t="s">
        <v>4580</v>
      </c>
      <c r="C29" s="868" t="str">
        <f>IF(OR(D28="XX",E28="XX"),"El dato indicado en alguna Asignatura es mayor a la Matrícula Total indicada en el Cuadro 1.","")</f>
        <v/>
      </c>
      <c r="D29" s="868"/>
      <c r="E29" s="868"/>
      <c r="F29" s="554"/>
      <c r="G29" s="870" t="str">
        <f>IF(OR(G28="XX",H28="XX",J28="XX",K28="XX",M28="XX",N28="XX",P28="XX",Q28="XX",S28="XX",T28="XX",V28="XX",W28="XX"),CONCATENATE(B29),"")</f>
        <v/>
      </c>
      <c r="H29" s="870"/>
      <c r="I29" s="870"/>
      <c r="J29" s="870"/>
      <c r="K29" s="870"/>
      <c r="L29" s="870"/>
      <c r="M29" s="870"/>
      <c r="N29" s="870"/>
      <c r="O29" s="870"/>
      <c r="P29" s="870"/>
      <c r="Q29" s="870"/>
      <c r="R29" s="870"/>
      <c r="S29" s="870"/>
      <c r="T29" s="870"/>
      <c r="U29" s="554"/>
      <c r="V29" s="554"/>
      <c r="W29" s="554"/>
      <c r="X29" s="54"/>
      <c r="Y29" s="261"/>
      <c r="Z29" s="261"/>
    </row>
    <row r="30" spans="1:26" ht="27.75" customHeight="1">
      <c r="C30" s="868"/>
      <c r="D30" s="868"/>
      <c r="E30" s="868"/>
      <c r="F30" s="554"/>
      <c r="G30" s="870"/>
      <c r="H30" s="870"/>
      <c r="I30" s="870"/>
      <c r="J30" s="870"/>
      <c r="K30" s="870"/>
      <c r="L30" s="870"/>
      <c r="M30" s="870"/>
      <c r="N30" s="870"/>
      <c r="O30" s="870"/>
      <c r="P30" s="870"/>
      <c r="Q30" s="870"/>
      <c r="R30" s="870"/>
      <c r="S30" s="870"/>
      <c r="T30" s="870"/>
      <c r="U30" s="554"/>
      <c r="V30" s="554"/>
      <c r="W30" s="554"/>
    </row>
    <row r="31" spans="1:26" ht="27.75" customHeight="1">
      <c r="C31" s="868"/>
      <c r="D31" s="868"/>
      <c r="E31" s="868"/>
      <c r="G31" s="870"/>
      <c r="H31" s="870"/>
      <c r="I31" s="870"/>
      <c r="J31" s="870"/>
      <c r="K31" s="870"/>
      <c r="L31" s="870"/>
      <c r="M31" s="870"/>
      <c r="N31" s="870"/>
      <c r="O31" s="870"/>
      <c r="P31" s="870"/>
      <c r="Q31" s="870"/>
      <c r="R31" s="870"/>
      <c r="S31" s="870"/>
      <c r="T31" s="870"/>
    </row>
    <row r="32" spans="1:26" ht="18.75" customHeight="1">
      <c r="B32" s="265" t="s">
        <v>1202</v>
      </c>
      <c r="C32" s="869"/>
      <c r="D32" s="869"/>
      <c r="E32" s="869"/>
    </row>
    <row r="33" spans="2:23" ht="18.75" customHeight="1">
      <c r="B33" s="829"/>
      <c r="C33" s="830"/>
      <c r="D33" s="830"/>
      <c r="E33" s="830"/>
      <c r="F33" s="830"/>
      <c r="G33" s="830"/>
      <c r="H33" s="830"/>
      <c r="I33" s="830"/>
      <c r="J33" s="830"/>
      <c r="K33" s="830"/>
      <c r="L33" s="830"/>
      <c r="M33" s="830"/>
      <c r="N33" s="830"/>
      <c r="O33" s="830"/>
      <c r="P33" s="830"/>
      <c r="Q33" s="830"/>
      <c r="R33" s="830"/>
      <c r="S33" s="830"/>
      <c r="T33" s="830"/>
      <c r="U33" s="830"/>
      <c r="V33" s="830"/>
      <c r="W33" s="831"/>
    </row>
    <row r="34" spans="2:23" ht="18.75" customHeight="1">
      <c r="B34" s="832"/>
      <c r="C34" s="833"/>
      <c r="D34" s="833"/>
      <c r="E34" s="833"/>
      <c r="F34" s="833"/>
      <c r="G34" s="833"/>
      <c r="H34" s="833"/>
      <c r="I34" s="833"/>
      <c r="J34" s="833"/>
      <c r="K34" s="833"/>
      <c r="L34" s="833"/>
      <c r="M34" s="833"/>
      <c r="N34" s="833"/>
      <c r="O34" s="833"/>
      <c r="P34" s="833"/>
      <c r="Q34" s="833"/>
      <c r="R34" s="833"/>
      <c r="S34" s="833"/>
      <c r="T34" s="833"/>
      <c r="U34" s="833"/>
      <c r="V34" s="833"/>
      <c r="W34" s="834"/>
    </row>
    <row r="35" spans="2:23" ht="18.75" customHeight="1">
      <c r="B35" s="832"/>
      <c r="C35" s="833"/>
      <c r="D35" s="833"/>
      <c r="E35" s="833"/>
      <c r="F35" s="833"/>
      <c r="G35" s="833"/>
      <c r="H35" s="833"/>
      <c r="I35" s="833"/>
      <c r="J35" s="833"/>
      <c r="K35" s="833"/>
      <c r="L35" s="833"/>
      <c r="M35" s="833"/>
      <c r="N35" s="833"/>
      <c r="O35" s="833"/>
      <c r="P35" s="833"/>
      <c r="Q35" s="833"/>
      <c r="R35" s="833"/>
      <c r="S35" s="833"/>
      <c r="T35" s="833"/>
      <c r="U35" s="833"/>
      <c r="V35" s="833"/>
      <c r="W35" s="834"/>
    </row>
    <row r="36" spans="2:23" ht="18.75" customHeight="1">
      <c r="B36" s="832"/>
      <c r="C36" s="833"/>
      <c r="D36" s="833"/>
      <c r="E36" s="833"/>
      <c r="F36" s="833"/>
      <c r="G36" s="833"/>
      <c r="H36" s="833"/>
      <c r="I36" s="833"/>
      <c r="J36" s="833"/>
      <c r="K36" s="833"/>
      <c r="L36" s="833"/>
      <c r="M36" s="833"/>
      <c r="N36" s="833"/>
      <c r="O36" s="833"/>
      <c r="P36" s="833"/>
      <c r="Q36" s="833"/>
      <c r="R36" s="833"/>
      <c r="S36" s="833"/>
      <c r="T36" s="833"/>
      <c r="U36" s="833"/>
      <c r="V36" s="833"/>
      <c r="W36" s="834"/>
    </row>
    <row r="37" spans="2:23" ht="18.75" customHeight="1">
      <c r="B37" s="835"/>
      <c r="C37" s="836"/>
      <c r="D37" s="836"/>
      <c r="E37" s="836"/>
      <c r="F37" s="836"/>
      <c r="G37" s="836"/>
      <c r="H37" s="836"/>
      <c r="I37" s="836"/>
      <c r="J37" s="836"/>
      <c r="K37" s="836"/>
      <c r="L37" s="836"/>
      <c r="M37" s="836"/>
      <c r="N37" s="836"/>
      <c r="O37" s="836"/>
      <c r="P37" s="836"/>
      <c r="Q37" s="836"/>
      <c r="R37" s="836"/>
      <c r="S37" s="836"/>
      <c r="T37" s="836"/>
      <c r="U37" s="836"/>
      <c r="V37" s="836"/>
      <c r="W37" s="837"/>
    </row>
  </sheetData>
  <sheetProtection algorithmName="SHA-512" hashValue="48VOECxNdk8I1fIuaOajfhbE5p5XiSUWz8lfm4VGS208lTWnL8RXtV/JnSma+HXp3pNTWbofS8GDggKLxkQrXw==" saltValue="fFvF1G3cNe3VYnmQuNEyqg==" spinCount="100000" sheet="1" objects="1" scenarios="1"/>
  <mergeCells count="16">
    <mergeCell ref="V1:W1"/>
    <mergeCell ref="C29:E32"/>
    <mergeCell ref="G29:T31"/>
    <mergeCell ref="B33:W37"/>
    <mergeCell ref="I5:K5"/>
    <mergeCell ref="L5:N5"/>
    <mergeCell ref="O5:Q5"/>
    <mergeCell ref="R5:T5"/>
    <mergeCell ref="U5:W5"/>
    <mergeCell ref="B4:B6"/>
    <mergeCell ref="C4:E5"/>
    <mergeCell ref="F4:W4"/>
    <mergeCell ref="F5:H5"/>
    <mergeCell ref="O10:W10"/>
    <mergeCell ref="O17:W18"/>
    <mergeCell ref="F23:N24"/>
  </mergeCells>
  <conditionalFormatting sqref="C7:E25 C27:E27 C26:F26 I26 L26 O26 R26 U26">
    <cfRule type="cellIs" dxfId="231" priority="17" operator="equal">
      <formula>0</formula>
    </cfRule>
  </conditionalFormatting>
  <conditionalFormatting sqref="F7:F22 I7:I22 L7:L22 O7:O9 R7:R9 U7:U9 U11:U16 R11:R16 O11:O16 O19:O24 R19:R24 U19:U24 L27 I27 F27 U27 R27 O27">
    <cfRule type="cellIs" dxfId="230" priority="16" operator="equal">
      <formula>0</formula>
    </cfRule>
  </conditionalFormatting>
  <conditionalFormatting sqref="E7">
    <cfRule type="expression" dxfId="229" priority="36">
      <formula>E7&gt;#REF!</formula>
    </cfRule>
  </conditionalFormatting>
  <conditionalFormatting sqref="E8">
    <cfRule type="expression" dxfId="228" priority="35">
      <formula>E8&gt;#REF!</formula>
    </cfRule>
  </conditionalFormatting>
  <conditionalFormatting sqref="E9">
    <cfRule type="expression" dxfId="227" priority="34">
      <formula>E9&gt;#REF!</formula>
    </cfRule>
  </conditionalFormatting>
  <conditionalFormatting sqref="E10">
    <cfRule type="expression" dxfId="226" priority="33">
      <formula>E10&gt;#REF!</formula>
    </cfRule>
  </conditionalFormatting>
  <conditionalFormatting sqref="E11">
    <cfRule type="expression" dxfId="225" priority="32">
      <formula>E11&gt;#REF!</formula>
    </cfRule>
  </conditionalFormatting>
  <conditionalFormatting sqref="E12">
    <cfRule type="expression" dxfId="224" priority="31">
      <formula>E12&gt;#REF!</formula>
    </cfRule>
  </conditionalFormatting>
  <conditionalFormatting sqref="E13">
    <cfRule type="expression" dxfId="223" priority="30">
      <formula>E13&gt;#REF!</formula>
    </cfRule>
  </conditionalFormatting>
  <conditionalFormatting sqref="E14">
    <cfRule type="expression" dxfId="222" priority="29">
      <formula>E14&gt;#REF!</formula>
    </cfRule>
  </conditionalFormatting>
  <conditionalFormatting sqref="E15">
    <cfRule type="expression" dxfId="221" priority="28">
      <formula>E15&gt;#REF!</formula>
    </cfRule>
  </conditionalFormatting>
  <conditionalFormatting sqref="E16">
    <cfRule type="expression" dxfId="220" priority="27">
      <formula>E16&gt;#REF!</formula>
    </cfRule>
  </conditionalFormatting>
  <conditionalFormatting sqref="E17">
    <cfRule type="expression" dxfId="219" priority="26">
      <formula>E17&gt;#REF!</formula>
    </cfRule>
  </conditionalFormatting>
  <conditionalFormatting sqref="E18">
    <cfRule type="expression" dxfId="218" priority="25">
      <formula>E18&gt;#REF!</formula>
    </cfRule>
  </conditionalFormatting>
  <conditionalFormatting sqref="E19">
    <cfRule type="expression" dxfId="217" priority="24">
      <formula>E19&gt;#REF!</formula>
    </cfRule>
  </conditionalFormatting>
  <conditionalFormatting sqref="E20">
    <cfRule type="expression" dxfId="216" priority="23">
      <formula>E20&gt;#REF!</formula>
    </cfRule>
  </conditionalFormatting>
  <conditionalFormatting sqref="E21">
    <cfRule type="expression" dxfId="215" priority="22">
      <formula>E21&gt;#REF!</formula>
    </cfRule>
  </conditionalFormatting>
  <conditionalFormatting sqref="E22">
    <cfRule type="expression" dxfId="214" priority="21">
      <formula>E22&gt;#REF!</formula>
    </cfRule>
  </conditionalFormatting>
  <conditionalFormatting sqref="E23">
    <cfRule type="expression" dxfId="213" priority="20">
      <formula>E23&gt;#REF!</formula>
    </cfRule>
  </conditionalFormatting>
  <conditionalFormatting sqref="E24:E25">
    <cfRule type="expression" dxfId="212" priority="19">
      <formula>E24&gt;#REF!</formula>
    </cfRule>
  </conditionalFormatting>
  <conditionalFormatting sqref="E27">
    <cfRule type="expression" dxfId="211" priority="18">
      <formula>E27&gt;#REF!</formula>
    </cfRule>
  </conditionalFormatting>
  <conditionalFormatting sqref="F25 I25 L25 O25 R25 U25">
    <cfRule type="cellIs" dxfId="210" priority="4" operator="equal">
      <formula>0</formula>
    </cfRule>
  </conditionalFormatting>
  <conditionalFormatting sqref="E26">
    <cfRule type="expression" dxfId="209" priority="3">
      <formula>E26&gt;#REF!</formula>
    </cfRule>
  </conditionalFormatting>
  <dataValidations count="1">
    <dataValidation type="whole" operator="greaterThanOrEqual" allowBlank="1" showInputMessage="1" showErrorMessage="1" sqref="C7:W27">
      <formula1>0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scale="61" orientation="landscape" r:id="rId1"/>
  <headerFooter scaleWithDoc="0">
    <oddFooter>&amp;R&amp;"Goudy,Negrita Cursiva"Académica Diurna&amp;"Goudy,Cursiva", página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Z36"/>
  <sheetViews>
    <sheetView showGridLines="0" zoomScale="90" zoomScaleNormal="90" workbookViewId="0">
      <selection activeCell="V1" sqref="V1:W1"/>
    </sheetView>
  </sheetViews>
  <sheetFormatPr baseColWidth="10" defaultRowHeight="14.25"/>
  <cols>
    <col min="1" max="1" width="2.85546875" style="218" customWidth="1"/>
    <col min="2" max="2" width="39" style="218" customWidth="1"/>
    <col min="3" max="23" width="8.140625" style="218" customWidth="1"/>
    <col min="24" max="16384" width="11.42578125" style="218"/>
  </cols>
  <sheetData>
    <row r="1" spans="2:23" ht="18">
      <c r="B1" s="610" t="s">
        <v>1952</v>
      </c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9"/>
      <c r="R1" s="681"/>
      <c r="S1" s="681"/>
      <c r="T1" s="681"/>
      <c r="U1" s="681"/>
      <c r="V1" s="861">
        <f>IF('Portada 1-con Código Presup.'!$M$2="",'Portada 2-sin Código Presup.'!$K$1,'Portada 1-con Código Presup.'!$M$2)</f>
        <v>0</v>
      </c>
      <c r="W1" s="862"/>
    </row>
    <row r="2" spans="2:23" ht="18">
      <c r="B2" s="117" t="s">
        <v>4581</v>
      </c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9"/>
      <c r="Q2" s="569"/>
      <c r="R2" s="569"/>
      <c r="S2" s="569"/>
      <c r="T2" s="569"/>
      <c r="U2" s="569"/>
      <c r="V2" s="569"/>
      <c r="W2" s="569"/>
    </row>
    <row r="3" spans="2:23" ht="18.75" thickBot="1">
      <c r="B3" s="386" t="s">
        <v>4579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</row>
    <row r="4" spans="2:23" ht="21" customHeight="1" thickTop="1" thickBot="1">
      <c r="B4" s="875" t="s">
        <v>1203</v>
      </c>
      <c r="C4" s="878" t="s">
        <v>0</v>
      </c>
      <c r="D4" s="858"/>
      <c r="E4" s="879"/>
      <c r="F4" s="882" t="s">
        <v>4393</v>
      </c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882"/>
      <c r="S4" s="882"/>
      <c r="T4" s="882"/>
      <c r="U4" s="882"/>
      <c r="V4" s="882"/>
      <c r="W4" s="882"/>
    </row>
    <row r="5" spans="2:23" ht="18" customHeight="1">
      <c r="B5" s="876"/>
      <c r="C5" s="880"/>
      <c r="D5" s="872"/>
      <c r="E5" s="881"/>
      <c r="F5" s="871" t="s">
        <v>3467</v>
      </c>
      <c r="G5" s="872"/>
      <c r="H5" s="872"/>
      <c r="I5" s="871" t="s">
        <v>3468</v>
      </c>
      <c r="J5" s="872"/>
      <c r="K5" s="872"/>
      <c r="L5" s="871" t="s">
        <v>3469</v>
      </c>
      <c r="M5" s="872"/>
      <c r="N5" s="872"/>
      <c r="O5" s="871" t="s">
        <v>3446</v>
      </c>
      <c r="P5" s="872"/>
      <c r="Q5" s="872"/>
      <c r="R5" s="871" t="s">
        <v>3470</v>
      </c>
      <c r="S5" s="872"/>
      <c r="T5" s="872"/>
      <c r="U5" s="873" t="s">
        <v>3471</v>
      </c>
      <c r="V5" s="874"/>
      <c r="W5" s="874"/>
    </row>
    <row r="6" spans="2:23" ht="27.75" customHeight="1" thickBot="1">
      <c r="B6" s="877"/>
      <c r="C6" s="589" t="s">
        <v>0</v>
      </c>
      <c r="D6" s="571" t="s">
        <v>21</v>
      </c>
      <c r="E6" s="590" t="s">
        <v>20</v>
      </c>
      <c r="F6" s="570" t="s">
        <v>0</v>
      </c>
      <c r="G6" s="571" t="s">
        <v>21</v>
      </c>
      <c r="H6" s="572" t="s">
        <v>20</v>
      </c>
      <c r="I6" s="570" t="s">
        <v>0</v>
      </c>
      <c r="J6" s="571" t="s">
        <v>21</v>
      </c>
      <c r="K6" s="572" t="s">
        <v>20</v>
      </c>
      <c r="L6" s="570" t="s">
        <v>0</v>
      </c>
      <c r="M6" s="571" t="s">
        <v>21</v>
      </c>
      <c r="N6" s="572" t="s">
        <v>20</v>
      </c>
      <c r="O6" s="570" t="s">
        <v>0</v>
      </c>
      <c r="P6" s="571" t="s">
        <v>21</v>
      </c>
      <c r="Q6" s="572" t="s">
        <v>20</v>
      </c>
      <c r="R6" s="570" t="s">
        <v>0</v>
      </c>
      <c r="S6" s="571" t="s">
        <v>21</v>
      </c>
      <c r="T6" s="572" t="s">
        <v>20</v>
      </c>
      <c r="U6" s="570" t="s">
        <v>0</v>
      </c>
      <c r="V6" s="571" t="s">
        <v>21</v>
      </c>
      <c r="W6" s="573" t="s">
        <v>20</v>
      </c>
    </row>
    <row r="7" spans="2:23" ht="24.75" customHeight="1" thickTop="1">
      <c r="B7" s="591" t="s">
        <v>1206</v>
      </c>
      <c r="C7" s="592">
        <f t="shared" ref="C7:C26" si="0">+D7+E7</f>
        <v>0</v>
      </c>
      <c r="D7" s="593">
        <f t="shared" ref="D7:E22" si="1">+G7+J7+M7+P7+S7+V7</f>
        <v>0</v>
      </c>
      <c r="E7" s="594">
        <f t="shared" si="1"/>
        <v>0</v>
      </c>
      <c r="F7" s="443">
        <f t="shared" ref="F7:F26" si="2">+G7+H7</f>
        <v>0</v>
      </c>
      <c r="G7" s="595"/>
      <c r="H7" s="595"/>
      <c r="I7" s="443">
        <f t="shared" ref="I7:I26" si="3">+J7+K7</f>
        <v>0</v>
      </c>
      <c r="J7" s="595"/>
      <c r="K7" s="595"/>
      <c r="L7" s="443">
        <f t="shared" ref="L7:L26" si="4">+M7+N7</f>
        <v>0</v>
      </c>
      <c r="M7" s="595"/>
      <c r="N7" s="595"/>
      <c r="O7" s="443">
        <f t="shared" ref="O7:O26" si="5">+P7+Q7</f>
        <v>0</v>
      </c>
      <c r="P7" s="595"/>
      <c r="Q7" s="595"/>
      <c r="R7" s="443">
        <f t="shared" ref="R7:R26" si="6">+S7+T7</f>
        <v>0</v>
      </c>
      <c r="S7" s="595"/>
      <c r="T7" s="595"/>
      <c r="U7" s="443">
        <f t="shared" ref="U7:U26" si="7">+V7+W7</f>
        <v>0</v>
      </c>
      <c r="V7" s="595"/>
      <c r="W7" s="596"/>
    </row>
    <row r="8" spans="2:23" ht="24.75" customHeight="1">
      <c r="B8" s="597" t="s">
        <v>1207</v>
      </c>
      <c r="C8" s="326">
        <f t="shared" si="0"/>
        <v>0</v>
      </c>
      <c r="D8" s="363">
        <f>+G8+J8+M8+P8+S8+V8</f>
        <v>0</v>
      </c>
      <c r="E8" s="511">
        <f t="shared" si="1"/>
        <v>0</v>
      </c>
      <c r="F8" s="439">
        <f t="shared" si="2"/>
        <v>0</v>
      </c>
      <c r="G8" s="598"/>
      <c r="H8" s="599"/>
      <c r="I8" s="439">
        <f t="shared" si="3"/>
        <v>0</v>
      </c>
      <c r="J8" s="598"/>
      <c r="K8" s="599"/>
      <c r="L8" s="439">
        <f t="shared" si="4"/>
        <v>0</v>
      </c>
      <c r="M8" s="598"/>
      <c r="N8" s="599"/>
      <c r="O8" s="439">
        <f t="shared" si="5"/>
        <v>0</v>
      </c>
      <c r="P8" s="598"/>
      <c r="Q8" s="599"/>
      <c r="R8" s="439">
        <f t="shared" si="6"/>
        <v>0</v>
      </c>
      <c r="S8" s="598"/>
      <c r="T8" s="599"/>
      <c r="U8" s="439">
        <f t="shared" si="7"/>
        <v>0</v>
      </c>
      <c r="V8" s="598"/>
      <c r="W8" s="600"/>
    </row>
    <row r="9" spans="2:23" ht="24.75" customHeight="1">
      <c r="B9" s="597" t="s">
        <v>1209</v>
      </c>
      <c r="C9" s="326">
        <f t="shared" si="0"/>
        <v>0</v>
      </c>
      <c r="D9" s="363">
        <f t="shared" ref="D9:D15" si="8">+G9+J9+M9+P9+S9+V9</f>
        <v>0</v>
      </c>
      <c r="E9" s="511">
        <f t="shared" si="1"/>
        <v>0</v>
      </c>
      <c r="F9" s="439">
        <f t="shared" si="2"/>
        <v>0</v>
      </c>
      <c r="G9" s="598"/>
      <c r="H9" s="599"/>
      <c r="I9" s="439">
        <f t="shared" si="3"/>
        <v>0</v>
      </c>
      <c r="J9" s="598"/>
      <c r="K9" s="599"/>
      <c r="L9" s="439">
        <f t="shared" si="4"/>
        <v>0</v>
      </c>
      <c r="M9" s="598"/>
      <c r="N9" s="599"/>
      <c r="O9" s="439">
        <f t="shared" si="5"/>
        <v>0</v>
      </c>
      <c r="P9" s="598"/>
      <c r="Q9" s="599"/>
      <c r="R9" s="439">
        <f t="shared" si="6"/>
        <v>0</v>
      </c>
      <c r="S9" s="598"/>
      <c r="T9" s="599"/>
      <c r="U9" s="439">
        <f t="shared" si="7"/>
        <v>0</v>
      </c>
      <c r="V9" s="327"/>
      <c r="W9" s="179"/>
    </row>
    <row r="10" spans="2:23" ht="24.75" customHeight="1">
      <c r="B10" s="597" t="s">
        <v>1208</v>
      </c>
      <c r="C10" s="326">
        <f t="shared" si="0"/>
        <v>0</v>
      </c>
      <c r="D10" s="363">
        <f t="shared" si="8"/>
        <v>0</v>
      </c>
      <c r="E10" s="511">
        <f t="shared" si="1"/>
        <v>0</v>
      </c>
      <c r="F10" s="439">
        <f t="shared" si="2"/>
        <v>0</v>
      </c>
      <c r="G10" s="598"/>
      <c r="H10" s="599"/>
      <c r="I10" s="439">
        <f t="shared" si="3"/>
        <v>0</v>
      </c>
      <c r="J10" s="598"/>
      <c r="K10" s="599"/>
      <c r="L10" s="439">
        <f t="shared" si="4"/>
        <v>0</v>
      </c>
      <c r="M10" s="598"/>
      <c r="N10" s="599"/>
      <c r="O10" s="883"/>
      <c r="P10" s="884"/>
      <c r="Q10" s="884"/>
      <c r="R10" s="884"/>
      <c r="S10" s="884"/>
      <c r="T10" s="884"/>
      <c r="U10" s="884"/>
      <c r="V10" s="884"/>
      <c r="W10" s="884"/>
    </row>
    <row r="11" spans="2:23" ht="24.75" customHeight="1">
      <c r="B11" s="597" t="s">
        <v>3434</v>
      </c>
      <c r="C11" s="326">
        <f t="shared" si="0"/>
        <v>0</v>
      </c>
      <c r="D11" s="363">
        <f t="shared" si="8"/>
        <v>0</v>
      </c>
      <c r="E11" s="511">
        <f t="shared" si="1"/>
        <v>0</v>
      </c>
      <c r="F11" s="439">
        <f t="shared" si="2"/>
        <v>0</v>
      </c>
      <c r="G11" s="598"/>
      <c r="H11" s="599"/>
      <c r="I11" s="439">
        <f t="shared" si="3"/>
        <v>0</v>
      </c>
      <c r="J11" s="598"/>
      <c r="K11" s="599"/>
      <c r="L11" s="439">
        <f t="shared" si="4"/>
        <v>0</v>
      </c>
      <c r="M11" s="598"/>
      <c r="N11" s="599"/>
      <c r="O11" s="439">
        <f t="shared" si="5"/>
        <v>0</v>
      </c>
      <c r="P11" s="598"/>
      <c r="Q11" s="599"/>
      <c r="R11" s="439">
        <f t="shared" si="6"/>
        <v>0</v>
      </c>
      <c r="S11" s="598"/>
      <c r="T11" s="599"/>
      <c r="U11" s="439">
        <f t="shared" si="7"/>
        <v>0</v>
      </c>
      <c r="V11" s="598"/>
      <c r="W11" s="600"/>
    </row>
    <row r="12" spans="2:23" ht="24.75" customHeight="1">
      <c r="B12" s="597" t="s">
        <v>3435</v>
      </c>
      <c r="C12" s="326">
        <f t="shared" si="0"/>
        <v>0</v>
      </c>
      <c r="D12" s="363">
        <f t="shared" si="8"/>
        <v>0</v>
      </c>
      <c r="E12" s="511">
        <f t="shared" si="1"/>
        <v>0</v>
      </c>
      <c r="F12" s="439">
        <f t="shared" si="2"/>
        <v>0</v>
      </c>
      <c r="G12" s="598"/>
      <c r="H12" s="599"/>
      <c r="I12" s="439">
        <f t="shared" si="3"/>
        <v>0</v>
      </c>
      <c r="J12" s="598"/>
      <c r="K12" s="599"/>
      <c r="L12" s="439">
        <f t="shared" si="4"/>
        <v>0</v>
      </c>
      <c r="M12" s="598"/>
      <c r="N12" s="599"/>
      <c r="O12" s="439">
        <f t="shared" si="5"/>
        <v>0</v>
      </c>
      <c r="P12" s="598"/>
      <c r="Q12" s="599"/>
      <c r="R12" s="439">
        <f t="shared" si="6"/>
        <v>0</v>
      </c>
      <c r="S12" s="598"/>
      <c r="T12" s="599"/>
      <c r="U12" s="439">
        <f t="shared" si="7"/>
        <v>0</v>
      </c>
      <c r="V12" s="598"/>
      <c r="W12" s="600"/>
    </row>
    <row r="13" spans="2:23" ht="24.75" customHeight="1">
      <c r="B13" s="597" t="s">
        <v>3436</v>
      </c>
      <c r="C13" s="326">
        <f t="shared" si="0"/>
        <v>0</v>
      </c>
      <c r="D13" s="363">
        <f t="shared" si="8"/>
        <v>0</v>
      </c>
      <c r="E13" s="511">
        <f t="shared" si="1"/>
        <v>0</v>
      </c>
      <c r="F13" s="439">
        <f t="shared" si="2"/>
        <v>0</v>
      </c>
      <c r="G13" s="598"/>
      <c r="H13" s="599"/>
      <c r="I13" s="439">
        <f t="shared" si="3"/>
        <v>0</v>
      </c>
      <c r="J13" s="598"/>
      <c r="K13" s="599"/>
      <c r="L13" s="439">
        <f t="shared" si="4"/>
        <v>0</v>
      </c>
      <c r="M13" s="598"/>
      <c r="N13" s="599"/>
      <c r="O13" s="439">
        <f t="shared" si="5"/>
        <v>0</v>
      </c>
      <c r="P13" s="598"/>
      <c r="Q13" s="599"/>
      <c r="R13" s="439">
        <f t="shared" si="6"/>
        <v>0</v>
      </c>
      <c r="S13" s="598"/>
      <c r="T13" s="599"/>
      <c r="U13" s="439">
        <f t="shared" si="7"/>
        <v>0</v>
      </c>
      <c r="V13" s="598"/>
      <c r="W13" s="600"/>
    </row>
    <row r="14" spans="2:23" ht="24.75" customHeight="1">
      <c r="B14" s="597" t="s">
        <v>890</v>
      </c>
      <c r="C14" s="326">
        <f t="shared" si="0"/>
        <v>0</v>
      </c>
      <c r="D14" s="363">
        <f t="shared" si="8"/>
        <v>0</v>
      </c>
      <c r="E14" s="511">
        <f t="shared" si="1"/>
        <v>0</v>
      </c>
      <c r="F14" s="439">
        <f t="shared" si="2"/>
        <v>0</v>
      </c>
      <c r="G14" s="598"/>
      <c r="H14" s="599"/>
      <c r="I14" s="439">
        <f t="shared" si="3"/>
        <v>0</v>
      </c>
      <c r="J14" s="598"/>
      <c r="K14" s="599"/>
      <c r="L14" s="439">
        <f t="shared" si="4"/>
        <v>0</v>
      </c>
      <c r="M14" s="598"/>
      <c r="N14" s="599"/>
      <c r="O14" s="439">
        <f t="shared" si="5"/>
        <v>0</v>
      </c>
      <c r="P14" s="598"/>
      <c r="Q14" s="599"/>
      <c r="R14" s="439">
        <f t="shared" si="6"/>
        <v>0</v>
      </c>
      <c r="S14" s="598"/>
      <c r="T14" s="599"/>
      <c r="U14" s="439">
        <f t="shared" si="7"/>
        <v>0</v>
      </c>
      <c r="V14" s="598"/>
      <c r="W14" s="600"/>
    </row>
    <row r="15" spans="2:23" ht="24.75" customHeight="1">
      <c r="B15" s="597" t="s">
        <v>19</v>
      </c>
      <c r="C15" s="326">
        <f t="shared" si="0"/>
        <v>0</v>
      </c>
      <c r="D15" s="363">
        <f t="shared" si="8"/>
        <v>0</v>
      </c>
      <c r="E15" s="511">
        <f t="shared" si="1"/>
        <v>0</v>
      </c>
      <c r="F15" s="439">
        <f t="shared" si="2"/>
        <v>0</v>
      </c>
      <c r="G15" s="598"/>
      <c r="H15" s="599"/>
      <c r="I15" s="439">
        <f t="shared" si="3"/>
        <v>0</v>
      </c>
      <c r="J15" s="598"/>
      <c r="K15" s="599"/>
      <c r="L15" s="439">
        <f t="shared" si="4"/>
        <v>0</v>
      </c>
      <c r="M15" s="598"/>
      <c r="N15" s="599"/>
      <c r="O15" s="439">
        <f t="shared" si="5"/>
        <v>0</v>
      </c>
      <c r="P15" s="598"/>
      <c r="Q15" s="599"/>
      <c r="R15" s="439">
        <f t="shared" si="6"/>
        <v>0</v>
      </c>
      <c r="S15" s="598"/>
      <c r="T15" s="599"/>
      <c r="U15" s="439">
        <f t="shared" si="7"/>
        <v>0</v>
      </c>
      <c r="V15" s="598"/>
      <c r="W15" s="600"/>
    </row>
    <row r="16" spans="2:23" ht="24.75" customHeight="1">
      <c r="B16" s="597" t="s">
        <v>971</v>
      </c>
      <c r="C16" s="326">
        <f t="shared" si="0"/>
        <v>0</v>
      </c>
      <c r="D16" s="363">
        <f>+G16+J16+M16+P16+S16+V16</f>
        <v>0</v>
      </c>
      <c r="E16" s="511">
        <f t="shared" si="1"/>
        <v>0</v>
      </c>
      <c r="F16" s="439">
        <f t="shared" si="2"/>
        <v>0</v>
      </c>
      <c r="G16" s="598"/>
      <c r="H16" s="599"/>
      <c r="I16" s="439">
        <f t="shared" si="3"/>
        <v>0</v>
      </c>
      <c r="J16" s="598"/>
      <c r="K16" s="599"/>
      <c r="L16" s="439">
        <f t="shared" si="4"/>
        <v>0</v>
      </c>
      <c r="M16" s="598"/>
      <c r="N16" s="599"/>
      <c r="O16" s="439">
        <f t="shared" si="5"/>
        <v>0</v>
      </c>
      <c r="P16" s="598"/>
      <c r="Q16" s="599"/>
      <c r="R16" s="439">
        <f t="shared" si="6"/>
        <v>0</v>
      </c>
      <c r="S16" s="598"/>
      <c r="T16" s="599"/>
      <c r="U16" s="439">
        <f t="shared" si="7"/>
        <v>0</v>
      </c>
      <c r="V16" s="327"/>
      <c r="W16" s="179"/>
    </row>
    <row r="17" spans="1:26" ht="24.75" customHeight="1">
      <c r="B17" s="597" t="s">
        <v>972</v>
      </c>
      <c r="C17" s="326">
        <f t="shared" si="0"/>
        <v>0</v>
      </c>
      <c r="D17" s="363">
        <f t="shared" ref="D17:E26" si="9">+G17+J17+M17+P17+S17+V17</f>
        <v>0</v>
      </c>
      <c r="E17" s="511">
        <f t="shared" si="1"/>
        <v>0</v>
      </c>
      <c r="F17" s="439">
        <f t="shared" si="2"/>
        <v>0</v>
      </c>
      <c r="G17" s="598"/>
      <c r="H17" s="599"/>
      <c r="I17" s="439">
        <f t="shared" si="3"/>
        <v>0</v>
      </c>
      <c r="J17" s="598"/>
      <c r="K17" s="599"/>
      <c r="L17" s="439">
        <f t="shared" si="4"/>
        <v>0</v>
      </c>
      <c r="M17" s="598"/>
      <c r="N17" s="599"/>
      <c r="O17" s="865"/>
      <c r="P17" s="885"/>
      <c r="Q17" s="885"/>
      <c r="R17" s="885"/>
      <c r="S17" s="885"/>
      <c r="T17" s="885"/>
      <c r="U17" s="885"/>
      <c r="V17" s="885"/>
      <c r="W17" s="885"/>
    </row>
    <row r="18" spans="1:26" ht="24.75" customHeight="1">
      <c r="B18" s="597" t="s">
        <v>3437</v>
      </c>
      <c r="C18" s="326">
        <f t="shared" si="0"/>
        <v>0</v>
      </c>
      <c r="D18" s="363">
        <f t="shared" si="9"/>
        <v>0</v>
      </c>
      <c r="E18" s="511">
        <f t="shared" si="1"/>
        <v>0</v>
      </c>
      <c r="F18" s="439">
        <f t="shared" si="2"/>
        <v>0</v>
      </c>
      <c r="G18" s="598"/>
      <c r="H18" s="599"/>
      <c r="I18" s="439">
        <f t="shared" si="3"/>
        <v>0</v>
      </c>
      <c r="J18" s="598"/>
      <c r="K18" s="599"/>
      <c r="L18" s="439">
        <f t="shared" si="4"/>
        <v>0</v>
      </c>
      <c r="M18" s="598"/>
      <c r="N18" s="599"/>
      <c r="O18" s="886"/>
      <c r="P18" s="887"/>
      <c r="Q18" s="887"/>
      <c r="R18" s="887"/>
      <c r="S18" s="887"/>
      <c r="T18" s="887"/>
      <c r="U18" s="887"/>
      <c r="V18" s="887"/>
      <c r="W18" s="887"/>
    </row>
    <row r="19" spans="1:26" ht="24.75" customHeight="1">
      <c r="B19" s="597" t="s">
        <v>3438</v>
      </c>
      <c r="C19" s="326">
        <f t="shared" si="0"/>
        <v>0</v>
      </c>
      <c r="D19" s="363">
        <f t="shared" si="9"/>
        <v>0</v>
      </c>
      <c r="E19" s="511">
        <f t="shared" si="1"/>
        <v>0</v>
      </c>
      <c r="F19" s="439">
        <f t="shared" si="2"/>
        <v>0</v>
      </c>
      <c r="G19" s="598"/>
      <c r="H19" s="599"/>
      <c r="I19" s="439">
        <f t="shared" si="3"/>
        <v>0</v>
      </c>
      <c r="J19" s="598"/>
      <c r="K19" s="599"/>
      <c r="L19" s="439">
        <f t="shared" si="4"/>
        <v>0</v>
      </c>
      <c r="M19" s="598"/>
      <c r="N19" s="599"/>
      <c r="O19" s="439">
        <f t="shared" si="5"/>
        <v>0</v>
      </c>
      <c r="P19" s="598"/>
      <c r="Q19" s="599"/>
      <c r="R19" s="439">
        <f t="shared" si="6"/>
        <v>0</v>
      </c>
      <c r="S19" s="598"/>
      <c r="T19" s="599"/>
      <c r="U19" s="439">
        <f t="shared" si="7"/>
        <v>0</v>
      </c>
      <c r="V19" s="598"/>
      <c r="W19" s="600"/>
    </row>
    <row r="20" spans="1:26" ht="24.75" customHeight="1">
      <c r="B20" s="597" t="s">
        <v>880</v>
      </c>
      <c r="C20" s="326">
        <f t="shared" si="0"/>
        <v>0</v>
      </c>
      <c r="D20" s="363">
        <f t="shared" si="9"/>
        <v>0</v>
      </c>
      <c r="E20" s="511">
        <f t="shared" si="1"/>
        <v>0</v>
      </c>
      <c r="F20" s="439">
        <f t="shared" si="2"/>
        <v>0</v>
      </c>
      <c r="G20" s="598"/>
      <c r="H20" s="599"/>
      <c r="I20" s="439">
        <f t="shared" si="3"/>
        <v>0</v>
      </c>
      <c r="J20" s="598"/>
      <c r="K20" s="599"/>
      <c r="L20" s="439">
        <f t="shared" si="4"/>
        <v>0</v>
      </c>
      <c r="M20" s="598"/>
      <c r="N20" s="599"/>
      <c r="O20" s="439">
        <f t="shared" si="5"/>
        <v>0</v>
      </c>
      <c r="P20" s="598"/>
      <c r="Q20" s="599"/>
      <c r="R20" s="439">
        <f t="shared" si="6"/>
        <v>0</v>
      </c>
      <c r="S20" s="598"/>
      <c r="T20" s="599"/>
      <c r="U20" s="439">
        <f t="shared" si="7"/>
        <v>0</v>
      </c>
      <c r="V20" s="598"/>
      <c r="W20" s="600"/>
    </row>
    <row r="21" spans="1:26" ht="24.75" customHeight="1">
      <c r="B21" s="597" t="s">
        <v>881</v>
      </c>
      <c r="C21" s="326">
        <f t="shared" si="0"/>
        <v>0</v>
      </c>
      <c r="D21" s="363">
        <f t="shared" si="9"/>
        <v>0</v>
      </c>
      <c r="E21" s="511">
        <f t="shared" si="1"/>
        <v>0</v>
      </c>
      <c r="F21" s="439">
        <f t="shared" si="2"/>
        <v>0</v>
      </c>
      <c r="G21" s="598"/>
      <c r="H21" s="599"/>
      <c r="I21" s="439">
        <f t="shared" si="3"/>
        <v>0</v>
      </c>
      <c r="J21" s="598"/>
      <c r="K21" s="599"/>
      <c r="L21" s="439">
        <f t="shared" si="4"/>
        <v>0</v>
      </c>
      <c r="M21" s="598"/>
      <c r="N21" s="599"/>
      <c r="O21" s="439">
        <f t="shared" si="5"/>
        <v>0</v>
      </c>
      <c r="P21" s="598"/>
      <c r="Q21" s="599"/>
      <c r="R21" s="439">
        <f t="shared" si="6"/>
        <v>0</v>
      </c>
      <c r="S21" s="598"/>
      <c r="T21" s="599"/>
      <c r="U21" s="439">
        <f t="shared" si="7"/>
        <v>0</v>
      </c>
      <c r="V21" s="598"/>
      <c r="W21" s="600"/>
    </row>
    <row r="22" spans="1:26" ht="24.75" customHeight="1">
      <c r="B22" s="597" t="s">
        <v>879</v>
      </c>
      <c r="C22" s="326">
        <f t="shared" si="0"/>
        <v>0</v>
      </c>
      <c r="D22" s="363">
        <f t="shared" si="9"/>
        <v>0</v>
      </c>
      <c r="E22" s="511">
        <f t="shared" si="1"/>
        <v>0</v>
      </c>
      <c r="F22" s="439">
        <f t="shared" si="2"/>
        <v>0</v>
      </c>
      <c r="G22" s="598"/>
      <c r="H22" s="599"/>
      <c r="I22" s="439">
        <f t="shared" si="3"/>
        <v>0</v>
      </c>
      <c r="J22" s="598"/>
      <c r="K22" s="599"/>
      <c r="L22" s="439">
        <f t="shared" si="4"/>
        <v>0</v>
      </c>
      <c r="M22" s="598"/>
      <c r="N22" s="599"/>
      <c r="O22" s="439">
        <f t="shared" si="5"/>
        <v>0</v>
      </c>
      <c r="P22" s="598"/>
      <c r="Q22" s="599"/>
      <c r="R22" s="439">
        <f t="shared" si="6"/>
        <v>0</v>
      </c>
      <c r="S22" s="598"/>
      <c r="T22" s="599"/>
      <c r="U22" s="439">
        <f t="shared" si="7"/>
        <v>0</v>
      </c>
      <c r="V22" s="598"/>
      <c r="W22" s="600"/>
    </row>
    <row r="23" spans="1:26" ht="24.75" customHeight="1">
      <c r="B23" s="597" t="s">
        <v>3439</v>
      </c>
      <c r="C23" s="326">
        <f t="shared" si="0"/>
        <v>0</v>
      </c>
      <c r="D23" s="363">
        <f t="shared" si="9"/>
        <v>0</v>
      </c>
      <c r="E23" s="511">
        <f t="shared" si="9"/>
        <v>0</v>
      </c>
      <c r="F23" s="865"/>
      <c r="G23" s="885"/>
      <c r="H23" s="885"/>
      <c r="I23" s="885"/>
      <c r="J23" s="885"/>
      <c r="K23" s="885"/>
      <c r="L23" s="885"/>
      <c r="M23" s="885"/>
      <c r="N23" s="888"/>
      <c r="O23" s="439">
        <f t="shared" si="5"/>
        <v>0</v>
      </c>
      <c r="P23" s="598"/>
      <c r="Q23" s="599"/>
      <c r="R23" s="439">
        <f t="shared" si="6"/>
        <v>0</v>
      </c>
      <c r="S23" s="598"/>
      <c r="T23" s="599"/>
      <c r="U23" s="439">
        <f t="shared" si="7"/>
        <v>0</v>
      </c>
      <c r="V23" s="598"/>
      <c r="W23" s="600"/>
    </row>
    <row r="24" spans="1:26" ht="24.75" customHeight="1">
      <c r="B24" s="597" t="s">
        <v>3440</v>
      </c>
      <c r="C24" s="326">
        <f t="shared" si="0"/>
        <v>0</v>
      </c>
      <c r="D24" s="363">
        <f t="shared" si="9"/>
        <v>0</v>
      </c>
      <c r="E24" s="511">
        <f t="shared" si="9"/>
        <v>0</v>
      </c>
      <c r="F24" s="886"/>
      <c r="G24" s="887"/>
      <c r="H24" s="887"/>
      <c r="I24" s="887"/>
      <c r="J24" s="887"/>
      <c r="K24" s="887"/>
      <c r="L24" s="887"/>
      <c r="M24" s="887"/>
      <c r="N24" s="889"/>
      <c r="O24" s="439">
        <f t="shared" si="5"/>
        <v>0</v>
      </c>
      <c r="P24" s="598"/>
      <c r="Q24" s="599"/>
      <c r="R24" s="439">
        <f t="shared" si="6"/>
        <v>0</v>
      </c>
      <c r="S24" s="598"/>
      <c r="T24" s="599"/>
      <c r="U24" s="439">
        <f t="shared" si="7"/>
        <v>0</v>
      </c>
      <c r="V24" s="598"/>
      <c r="W24" s="600"/>
    </row>
    <row r="25" spans="1:26" ht="24.75" customHeight="1">
      <c r="B25" s="597" t="s">
        <v>4035</v>
      </c>
      <c r="C25" s="326">
        <f>+D25+E25</f>
        <v>0</v>
      </c>
      <c r="D25" s="363">
        <f>+G25+J25+M25+P25+S25+V25</f>
        <v>0</v>
      </c>
      <c r="E25" s="511">
        <f t="shared" si="9"/>
        <v>0</v>
      </c>
      <c r="F25" s="439">
        <f>+G25+H25</f>
        <v>0</v>
      </c>
      <c r="G25" s="598"/>
      <c r="H25" s="599"/>
      <c r="I25" s="439">
        <f>+J25+K25</f>
        <v>0</v>
      </c>
      <c r="J25" s="598"/>
      <c r="K25" s="599"/>
      <c r="L25" s="439">
        <f>+M25+N25</f>
        <v>0</v>
      </c>
      <c r="M25" s="598"/>
      <c r="N25" s="599"/>
      <c r="O25" s="439">
        <f>+P25+Q25</f>
        <v>0</v>
      </c>
      <c r="P25" s="598"/>
      <c r="Q25" s="599"/>
      <c r="R25" s="439">
        <f>+S25+T25</f>
        <v>0</v>
      </c>
      <c r="S25" s="598"/>
      <c r="T25" s="599"/>
      <c r="U25" s="439">
        <f>+V25+W25</f>
        <v>0</v>
      </c>
      <c r="V25" s="598"/>
      <c r="W25" s="600"/>
    </row>
    <row r="26" spans="1:26" ht="24.75" customHeight="1" thickBot="1">
      <c r="B26" s="601" t="s">
        <v>882</v>
      </c>
      <c r="C26" s="579">
        <f t="shared" si="0"/>
        <v>0</v>
      </c>
      <c r="D26" s="451">
        <f t="shared" si="9"/>
        <v>0</v>
      </c>
      <c r="E26" s="580">
        <f t="shared" si="9"/>
        <v>0</v>
      </c>
      <c r="F26" s="452">
        <f t="shared" si="2"/>
        <v>0</v>
      </c>
      <c r="G26" s="598"/>
      <c r="H26" s="599"/>
      <c r="I26" s="452">
        <f t="shared" si="3"/>
        <v>0</v>
      </c>
      <c r="J26" s="598"/>
      <c r="K26" s="599"/>
      <c r="L26" s="452">
        <f t="shared" si="4"/>
        <v>0</v>
      </c>
      <c r="M26" s="598"/>
      <c r="N26" s="599"/>
      <c r="O26" s="452">
        <f t="shared" si="5"/>
        <v>0</v>
      </c>
      <c r="P26" s="598"/>
      <c r="Q26" s="599"/>
      <c r="R26" s="452">
        <f t="shared" si="6"/>
        <v>0</v>
      </c>
      <c r="S26" s="598"/>
      <c r="T26" s="599"/>
      <c r="U26" s="452">
        <f t="shared" si="7"/>
        <v>0</v>
      </c>
      <c r="V26" s="598"/>
      <c r="W26" s="600"/>
    </row>
    <row r="27" spans="1:26" s="588" customFormat="1" ht="17.25" customHeight="1" thickTop="1">
      <c r="A27" s="586"/>
      <c r="B27" s="602"/>
      <c r="C27" s="720">
        <f>SUM(C7:C26)</f>
        <v>0</v>
      </c>
      <c r="D27" s="603"/>
      <c r="E27" s="603"/>
      <c r="F27" s="603"/>
      <c r="G27" s="603" t="str">
        <f>IF(OR(G7&gt;'CUADRO 3'!G7,G8&gt;'CUADRO 3'!G8,G9&gt;'CUADRO 3'!G9,G10&gt;'CUADRO 3'!G10,G11&gt;'CUADRO 3'!G11,G12&gt;'CUADRO 3'!G12,G13&gt;'CUADRO 3'!G13,G14&gt;'CUADRO 3'!G14,G15&gt;'CUADRO 3'!G15,G16&gt;'CUADRO 3'!G16,G17&gt;'CUADRO 3'!G17,G18&gt;'CUADRO 3'!G18,G19&gt;'CUADRO 3'!G19,G20&gt;'CUADRO 3'!G20,G21&gt;'CUADRO 3'!G21,G22&gt;'CUADRO 3'!G22,G23&gt;'CUADRO 3'!G23,G24&gt;'CUADRO 3'!G24,G25&gt;'CUADRO 3'!G25,G26&gt;'CUADRO 3'!G26),"XX","")</f>
        <v/>
      </c>
      <c r="H27" s="603" t="str">
        <f>IF(OR(H7&gt;'CUADRO 3'!H7,H8&gt;'CUADRO 3'!H8,H9&gt;'CUADRO 3'!H9,H10&gt;'CUADRO 3'!H10,H11&gt;'CUADRO 3'!H11,H12&gt;'CUADRO 3'!H12,H13&gt;'CUADRO 3'!H13,H14&gt;'CUADRO 3'!H14,H15&gt;'CUADRO 3'!H15,H16&gt;'CUADRO 3'!H16,H17&gt;'CUADRO 3'!H17,H18&gt;'CUADRO 3'!H18,H19&gt;'CUADRO 3'!H19,H20&gt;'CUADRO 3'!H20,H21&gt;'CUADRO 3'!H21,H22&gt;'CUADRO 3'!H22,H23&gt;'CUADRO 3'!H23,H24&gt;'CUADRO 3'!H24,H25&gt;'CUADRO 3'!H25,H26&gt;'CUADRO 3'!H26),"XX","")</f>
        <v/>
      </c>
      <c r="I27" s="603"/>
      <c r="J27" s="603" t="str">
        <f>IF(OR(J7&gt;'CUADRO 3'!J7,J8&gt;'CUADRO 3'!J8,J9&gt;'CUADRO 3'!J9,J10&gt;'CUADRO 3'!J10,J11&gt;'CUADRO 3'!J11,J12&gt;'CUADRO 3'!J12,J13&gt;'CUADRO 3'!J13,J14&gt;'CUADRO 3'!J14,J15&gt;'CUADRO 3'!J15,J16&gt;'CUADRO 3'!J16,J17&gt;'CUADRO 3'!J17,J18&gt;'CUADRO 3'!J18,J19&gt;'CUADRO 3'!J19,J20&gt;'CUADRO 3'!J20,J21&gt;'CUADRO 3'!J21,J22&gt;'CUADRO 3'!J22,J23&gt;'CUADRO 3'!J23,J24&gt;'CUADRO 3'!J24,J25&gt;'CUADRO 3'!J25,J26&gt;'CUADRO 3'!J26),"XX","")</f>
        <v/>
      </c>
      <c r="K27" s="603" t="str">
        <f>IF(OR(K7&gt;'CUADRO 3'!K7,K8&gt;'CUADRO 3'!K8,K9&gt;'CUADRO 3'!K9,K10&gt;'CUADRO 3'!K10,K11&gt;'CUADRO 3'!K11,K12&gt;'CUADRO 3'!K12,K13&gt;'CUADRO 3'!K13,K14&gt;'CUADRO 3'!K14,K15&gt;'CUADRO 3'!K15,K16&gt;'CUADRO 3'!K16,K17&gt;'CUADRO 3'!K17,K18&gt;'CUADRO 3'!K18,K19&gt;'CUADRO 3'!K19,K20&gt;'CUADRO 3'!K20,K21&gt;'CUADRO 3'!K21,K22&gt;'CUADRO 3'!K22,K23&gt;'CUADRO 3'!K23,K24&gt;'CUADRO 3'!K24,K25&gt;'CUADRO 3'!K25,K26&gt;'CUADRO 3'!K26),"XX","")</f>
        <v/>
      </c>
      <c r="L27" s="603"/>
      <c r="M27" s="603" t="str">
        <f>IF(OR(M7&gt;'CUADRO 3'!M7,M8&gt;'CUADRO 3'!M8,M9&gt;'CUADRO 3'!M9,M10&gt;'CUADRO 3'!M10,M11&gt;'CUADRO 3'!M11,M12&gt;'CUADRO 3'!M12,M13&gt;'CUADRO 3'!M13,M14&gt;'CUADRO 3'!M14,M15&gt;'CUADRO 3'!M15,M16&gt;'CUADRO 3'!M16,M17&gt;'CUADRO 3'!M17,M18&gt;'CUADRO 3'!M18,M19&gt;'CUADRO 3'!M19,M20&gt;'CUADRO 3'!M20,M21&gt;'CUADRO 3'!M21,M22&gt;'CUADRO 3'!M22,M23&gt;'CUADRO 3'!M23,M24&gt;'CUADRO 3'!M24,M25&gt;'CUADRO 3'!M25,M26&gt;'CUADRO 3'!M26),"XX","")</f>
        <v/>
      </c>
      <c r="N27" s="603" t="str">
        <f>IF(OR(N7&gt;'CUADRO 3'!N7,N8&gt;'CUADRO 3'!N8,N9&gt;'CUADRO 3'!N9,N10&gt;'CUADRO 3'!N10,N11&gt;'CUADRO 3'!N11,N12&gt;'CUADRO 3'!N12,N13&gt;'CUADRO 3'!N13,N14&gt;'CUADRO 3'!N14,N15&gt;'CUADRO 3'!N15,N16&gt;'CUADRO 3'!N16,N17&gt;'CUADRO 3'!N17,N18&gt;'CUADRO 3'!N18,N19&gt;'CUADRO 3'!N19,N20&gt;'CUADRO 3'!N20,N21&gt;'CUADRO 3'!N21,N22&gt;'CUADRO 3'!N22,N23&gt;'CUADRO 3'!N23,N24&gt;'CUADRO 3'!N24,N25&gt;'CUADRO 3'!N25,N26&gt;'CUADRO 3'!N26),"XX","")</f>
        <v/>
      </c>
      <c r="O27" s="603"/>
      <c r="P27" s="603" t="str">
        <f>IF(OR(P7&gt;'CUADRO 3'!P7,P8&gt;'CUADRO 3'!P8,P9&gt;'CUADRO 3'!P9,P10&gt;'CUADRO 3'!P10,P11&gt;'CUADRO 3'!P11,P12&gt;'CUADRO 3'!P12,P13&gt;'CUADRO 3'!P13,P14&gt;'CUADRO 3'!P14,P15&gt;'CUADRO 3'!P15,P16&gt;'CUADRO 3'!P16,P17&gt;'CUADRO 3'!P17,P18&gt;'CUADRO 3'!P18,P19&gt;'CUADRO 3'!P19,P20&gt;'CUADRO 3'!P20,P21&gt;'CUADRO 3'!P21,P22&gt;'CUADRO 3'!P22,P23&gt;'CUADRO 3'!P23,P24&gt;'CUADRO 3'!P24,P25&gt;'CUADRO 3'!P25,P26&gt;'CUADRO 3'!P26),"XX","")</f>
        <v/>
      </c>
      <c r="Q27" s="603" t="str">
        <f>IF(OR(Q7&gt;'CUADRO 3'!Q7,Q8&gt;'CUADRO 3'!Q8,Q9&gt;'CUADRO 3'!Q9,Q10&gt;'CUADRO 3'!Q10,Q11&gt;'CUADRO 3'!Q11,Q12&gt;'CUADRO 3'!Q12,Q13&gt;'CUADRO 3'!Q13,Q14&gt;'CUADRO 3'!Q14,Q15&gt;'CUADRO 3'!Q15,Q16&gt;'CUADRO 3'!Q16,Q17&gt;'CUADRO 3'!Q17,Q18&gt;'CUADRO 3'!Q18,Q19&gt;'CUADRO 3'!Q19,Q20&gt;'CUADRO 3'!Q20,Q21&gt;'CUADRO 3'!Q21,Q22&gt;'CUADRO 3'!Q22,Q23&gt;'CUADRO 3'!Q23,Q24&gt;'CUADRO 3'!Q24,Q25&gt;'CUADRO 3'!Q25,Q26&gt;'CUADRO 3'!Q26),"XX","")</f>
        <v/>
      </c>
      <c r="R27" s="603"/>
      <c r="S27" s="603" t="str">
        <f>IF(OR(S7&gt;'CUADRO 3'!S7,S8&gt;'CUADRO 3'!S8,S9&gt;'CUADRO 3'!S9,S10&gt;'CUADRO 3'!S10,S11&gt;'CUADRO 3'!S11,S12&gt;'CUADRO 3'!S12,S13&gt;'CUADRO 3'!S13,S14&gt;'CUADRO 3'!S14,S15&gt;'CUADRO 3'!S15,S16&gt;'CUADRO 3'!S16,S17&gt;'CUADRO 3'!S17,S18&gt;'CUADRO 3'!S18,S19&gt;'CUADRO 3'!S19,S20&gt;'CUADRO 3'!S20,S21&gt;'CUADRO 3'!S21,S22&gt;'CUADRO 3'!S22,S23&gt;'CUADRO 3'!S23,S24&gt;'CUADRO 3'!S24,S25&gt;'CUADRO 3'!S25,S26&gt;'CUADRO 3'!S26),"XX","")</f>
        <v/>
      </c>
      <c r="T27" s="603" t="str">
        <f>IF(OR(T7&gt;'CUADRO 3'!T7,T8&gt;'CUADRO 3'!T8,T9&gt;'CUADRO 3'!T9,T10&gt;'CUADRO 3'!T10,T11&gt;'CUADRO 3'!T11,T12&gt;'CUADRO 3'!T12,T13&gt;'CUADRO 3'!T13,T14&gt;'CUADRO 3'!T14,T15&gt;'CUADRO 3'!T15,T16&gt;'CUADRO 3'!T16,T17&gt;'CUADRO 3'!T17,T18&gt;'CUADRO 3'!T18,T19&gt;'CUADRO 3'!T19,T20&gt;'CUADRO 3'!T20,T21&gt;'CUADRO 3'!T21,T22&gt;'CUADRO 3'!T22,T23&gt;'CUADRO 3'!T23,T24&gt;'CUADRO 3'!T24,T25&gt;'CUADRO 3'!T25,T26&gt;'CUADRO 3'!T26),"XX","")</f>
        <v/>
      </c>
      <c r="U27" s="603"/>
      <c r="V27" s="603" t="str">
        <f>IF(OR(V7&gt;'CUADRO 3'!V7,V8&gt;'CUADRO 3'!V8,V9&gt;'CUADRO 3'!V9,V10&gt;'CUADRO 3'!V10,V11&gt;'CUADRO 3'!V11,V12&gt;'CUADRO 3'!V12,V13&gt;'CUADRO 3'!V13,V14&gt;'CUADRO 3'!V14,V15&gt;'CUADRO 3'!V15,V16&gt;'CUADRO 3'!V16,V17&gt;'CUADRO 3'!V17,V18&gt;'CUADRO 3'!V18,V19&gt;'CUADRO 3'!V19,V20&gt;'CUADRO 3'!V20,V21&gt;'CUADRO 3'!V21,V22&gt;'CUADRO 3'!V22,V23&gt;'CUADRO 3'!V23,V24&gt;'CUADRO 3'!V24,V25&gt;'CUADRO 3'!V25,V26&gt;'CUADRO 3'!V26),"XX","")</f>
        <v/>
      </c>
      <c r="W27" s="603" t="str">
        <f>IF(OR(W7&gt;'CUADRO 3'!W7,W8&gt;'CUADRO 3'!W8,W9&gt;'CUADRO 3'!W9,W10&gt;'CUADRO 3'!W10,W11&gt;'CUADRO 3'!W11,W12&gt;'CUADRO 3'!W12,W13&gt;'CUADRO 3'!W13,W14&gt;'CUADRO 3'!W14,W15&gt;'CUADRO 3'!W15,W16&gt;'CUADRO 3'!W16,W17&gt;'CUADRO 3'!W17,W18&gt;'CUADRO 3'!W18,W19&gt;'CUADRO 3'!W19,W20&gt;'CUADRO 3'!W20,W21&gt;'CUADRO 3'!W21,W22&gt;'CUADRO 3'!W22,W23&gt;'CUADRO 3'!W23,W24&gt;'CUADRO 3'!W24,W25&gt;'CUADRO 3'!W25,W26&gt;'CUADRO 3'!W26),"XX","")</f>
        <v/>
      </c>
    </row>
    <row r="28" spans="1:26" ht="27.75" customHeight="1">
      <c r="A28" s="334"/>
      <c r="B28" s="334"/>
      <c r="C28" s="334"/>
      <c r="D28" s="334"/>
      <c r="F28" s="890" t="str">
        <f>IF(OR(G27="XX",H27="XX",J27="XX",K27="XX",M27="XX",N27="XX",P27="XX",Q27="XX",S27="XX",T27="XX",V27="XX",W27="XX"),"El dato de repitentes es mayor a la cifra de matrícula reportada en el Cuadro 3.","")</f>
        <v/>
      </c>
      <c r="G28" s="890"/>
      <c r="H28" s="890"/>
      <c r="I28" s="890"/>
      <c r="J28" s="890"/>
      <c r="K28" s="890"/>
      <c r="L28" s="890"/>
      <c r="M28" s="890"/>
      <c r="N28" s="890"/>
      <c r="O28" s="890"/>
      <c r="P28" s="890"/>
      <c r="Q28" s="890"/>
      <c r="R28" s="890"/>
      <c r="S28" s="890"/>
      <c r="T28" s="890"/>
      <c r="U28" s="604"/>
      <c r="V28" s="604"/>
      <c r="W28" s="604"/>
      <c r="X28" s="54"/>
      <c r="Y28" s="261"/>
      <c r="Z28" s="261"/>
    </row>
    <row r="30" spans="1:26" ht="27.75" customHeight="1">
      <c r="F30" s="891" t="str">
        <f>IF(AND('CUADRO 1'!H6=0,'CUADRO 4'!C27&gt;0),"Debe indicar datos en el Cuadro 1",IF(AND('CUADRO 1'!H6&gt;0,'CUADRO 4'!C27=0),"Indicó datos en el Cuadro 1, debe indicar datos en este Cuadro",""))</f>
        <v/>
      </c>
      <c r="G30" s="891"/>
      <c r="H30" s="891"/>
      <c r="I30" s="891"/>
      <c r="J30" s="891"/>
      <c r="K30" s="891"/>
      <c r="L30" s="891"/>
      <c r="M30" s="891"/>
      <c r="N30" s="891"/>
      <c r="O30" s="891"/>
      <c r="P30" s="891"/>
      <c r="Q30" s="891"/>
      <c r="R30" s="891"/>
      <c r="S30" s="891"/>
      <c r="T30" s="891"/>
    </row>
    <row r="31" spans="1:26" ht="15.75">
      <c r="B31" s="537" t="s">
        <v>1202</v>
      </c>
      <c r="C31" s="605"/>
      <c r="D31" s="605"/>
      <c r="E31" s="605"/>
      <c r="F31" s="605"/>
      <c r="G31" s="605"/>
      <c r="H31" s="605"/>
    </row>
    <row r="32" spans="1:26" ht="19.5" customHeight="1">
      <c r="B32" s="829"/>
      <c r="C32" s="830"/>
      <c r="D32" s="830"/>
      <c r="E32" s="830"/>
      <c r="F32" s="830"/>
      <c r="G32" s="830"/>
      <c r="H32" s="830"/>
      <c r="I32" s="830"/>
      <c r="J32" s="830"/>
      <c r="K32" s="830"/>
      <c r="L32" s="830"/>
      <c r="M32" s="830"/>
      <c r="N32" s="830"/>
      <c r="O32" s="830"/>
      <c r="P32" s="830"/>
      <c r="Q32" s="830"/>
      <c r="R32" s="830"/>
      <c r="S32" s="830"/>
      <c r="T32" s="830"/>
      <c r="U32" s="830"/>
      <c r="V32" s="830"/>
      <c r="W32" s="831"/>
    </row>
    <row r="33" spans="2:23" ht="19.5" customHeight="1">
      <c r="B33" s="832"/>
      <c r="C33" s="833"/>
      <c r="D33" s="833"/>
      <c r="E33" s="833"/>
      <c r="F33" s="833"/>
      <c r="G33" s="833"/>
      <c r="H33" s="833"/>
      <c r="I33" s="833"/>
      <c r="J33" s="833"/>
      <c r="K33" s="833"/>
      <c r="L33" s="833"/>
      <c r="M33" s="833"/>
      <c r="N33" s="833"/>
      <c r="O33" s="833"/>
      <c r="P33" s="833"/>
      <c r="Q33" s="833"/>
      <c r="R33" s="833"/>
      <c r="S33" s="833"/>
      <c r="T33" s="833"/>
      <c r="U33" s="833"/>
      <c r="V33" s="833"/>
      <c r="W33" s="834"/>
    </row>
    <row r="34" spans="2:23" ht="19.5" customHeight="1">
      <c r="B34" s="832"/>
      <c r="C34" s="833"/>
      <c r="D34" s="833"/>
      <c r="E34" s="833"/>
      <c r="F34" s="833"/>
      <c r="G34" s="833"/>
      <c r="H34" s="833"/>
      <c r="I34" s="833"/>
      <c r="J34" s="833"/>
      <c r="K34" s="833"/>
      <c r="L34" s="833"/>
      <c r="M34" s="833"/>
      <c r="N34" s="833"/>
      <c r="O34" s="833"/>
      <c r="P34" s="833"/>
      <c r="Q34" s="833"/>
      <c r="R34" s="833"/>
      <c r="S34" s="833"/>
      <c r="T34" s="833"/>
      <c r="U34" s="833"/>
      <c r="V34" s="833"/>
      <c r="W34" s="834"/>
    </row>
    <row r="35" spans="2:23" ht="19.5" customHeight="1">
      <c r="B35" s="832"/>
      <c r="C35" s="833"/>
      <c r="D35" s="833"/>
      <c r="E35" s="833"/>
      <c r="F35" s="833"/>
      <c r="G35" s="833"/>
      <c r="H35" s="833"/>
      <c r="I35" s="833"/>
      <c r="J35" s="833"/>
      <c r="K35" s="833"/>
      <c r="L35" s="833"/>
      <c r="M35" s="833"/>
      <c r="N35" s="833"/>
      <c r="O35" s="833"/>
      <c r="P35" s="833"/>
      <c r="Q35" s="833"/>
      <c r="R35" s="833"/>
      <c r="S35" s="833"/>
      <c r="T35" s="833"/>
      <c r="U35" s="833"/>
      <c r="V35" s="833"/>
      <c r="W35" s="834"/>
    </row>
    <row r="36" spans="2:23" ht="19.5" customHeight="1">
      <c r="B36" s="835"/>
      <c r="C36" s="836"/>
      <c r="D36" s="836"/>
      <c r="E36" s="836"/>
      <c r="F36" s="836"/>
      <c r="G36" s="836"/>
      <c r="H36" s="836"/>
      <c r="I36" s="836"/>
      <c r="J36" s="836"/>
      <c r="K36" s="836"/>
      <c r="L36" s="836"/>
      <c r="M36" s="836"/>
      <c r="N36" s="836"/>
      <c r="O36" s="836"/>
      <c r="P36" s="836"/>
      <c r="Q36" s="836"/>
      <c r="R36" s="836"/>
      <c r="S36" s="836"/>
      <c r="T36" s="836"/>
      <c r="U36" s="836"/>
      <c r="V36" s="836"/>
      <c r="W36" s="837"/>
    </row>
  </sheetData>
  <sheetProtection algorithmName="SHA-512" hashValue="e6EnQj5vr3SCkTZWAc+IEBI7tYKPlsI1BdhqXwRNz+mjgi/KToTMEJNA3KuSNJ3alSA5QDTtsnzLQZlgPYC7Ww==" saltValue="eirHI+1hDh0Wq7AT/a6GFw==" spinCount="100000" sheet="1" objects="1" scenarios="1"/>
  <mergeCells count="16">
    <mergeCell ref="V1:W1"/>
    <mergeCell ref="B32:W36"/>
    <mergeCell ref="O10:W10"/>
    <mergeCell ref="O17:W18"/>
    <mergeCell ref="F23:N24"/>
    <mergeCell ref="F28:T28"/>
    <mergeCell ref="F30:T30"/>
    <mergeCell ref="B4:B6"/>
    <mergeCell ref="C4:E5"/>
    <mergeCell ref="F4:W4"/>
    <mergeCell ref="F5:H5"/>
    <mergeCell ref="I5:K5"/>
    <mergeCell ref="L5:N5"/>
    <mergeCell ref="O5:Q5"/>
    <mergeCell ref="R5:T5"/>
    <mergeCell ref="U5:W5"/>
  </mergeCells>
  <conditionalFormatting sqref="C7:F7 I7 L7 O7 R7 U7 U16 R16 O16:O17 L16:L22 I16:I22 C16:F23 R19:R24 U19:U24 O19:O24 L26 I26 C26:F26 C24:E24 O26 U26 R26">
    <cfRule type="cellIs" dxfId="208" priority="210" operator="equal">
      <formula>0</formula>
    </cfRule>
  </conditionalFormatting>
  <conditionalFormatting sqref="F28">
    <cfRule type="notContainsBlanks" dxfId="207" priority="208">
      <formula>LEN(TRIM(F28))&gt;0</formula>
    </cfRule>
  </conditionalFormatting>
  <conditionalFormatting sqref="U8:U9 R8:R9 O8:O15 L8:L15 I8:I15 C8:F15 R11:R15 U11:U15">
    <cfRule type="cellIs" dxfId="206" priority="207" operator="equal">
      <formula>0</formula>
    </cfRule>
  </conditionalFormatting>
  <conditionalFormatting sqref="L25 I25 C25:F25 R25 U25 O25">
    <cfRule type="cellIs" dxfId="205" priority="5" operator="equal">
      <formula>0</formula>
    </cfRule>
  </conditionalFormatting>
  <conditionalFormatting sqref="F30">
    <cfRule type="notContainsBlanks" dxfId="204" priority="1">
      <formula>LEN(TRIM(F30))&gt;0</formula>
    </cfRule>
  </conditionalFormatting>
  <dataValidations count="1">
    <dataValidation type="whole" operator="greaterThanOrEqual" allowBlank="1" showInputMessage="1" showErrorMessage="1" sqref="C7:W26">
      <formula1>0</formula1>
    </dataValidation>
  </dataValidations>
  <printOptions horizontalCentered="1" verticalCentered="1"/>
  <pageMargins left="0" right="0.39370078740157483" top="0.23622047244094491" bottom="0.19685039370078741" header="0.43307086614173229" footer="0.19685039370078741"/>
  <pageSetup scale="64" orientation="landscape" r:id="rId1"/>
  <headerFooter scaleWithDoc="0">
    <oddFooter>&amp;R&amp;"Goudy,Negrita Cursiva"Académica Diurna&amp;"Goudy,Cursiva", página 5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9" id="{A7E77AD3-A7CA-4108-A438-C0DE41E8B78C}">
            <xm:f>G26&gt;'CUADRO 3'!G27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M26:N26 P26:Q26 S26:T26 V26:W26 G26:H26 J26:K26</xm:sqref>
        </x14:conditionalFormatting>
        <x14:conditionalFormatting xmlns:xm="http://schemas.microsoft.com/office/excel/2006/main">
          <x14:cfRule type="expression" priority="307" id="{A7E77AD3-A7CA-4108-A438-C0DE41E8B78C}">
            <xm:f>G7&gt;'CUADRO 3'!G7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G7:H22 J7:K22 M7:N22 P7:Q9 P11:Q16 S11:T16 V11:W16 S7:T9 V7:W9 J25:K25 M25:N25 P19:Q25 S19:T25 V19:W25 G25:H25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31</vt:i4>
      </vt:variant>
    </vt:vector>
  </HeadingPairs>
  <TitlesOfParts>
    <vt:vector size="52" baseType="lpstr">
      <vt:lpstr>ubicacion</vt:lpstr>
      <vt:lpstr>Códigos Portada</vt:lpstr>
      <vt:lpstr>sincodigo</vt:lpstr>
      <vt:lpstr>Portada 1-con Código Presup.</vt:lpstr>
      <vt:lpstr>Portada 2-sin Código Presup.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RenCT</vt:lpstr>
      <vt:lpstr>CUADRO 9</vt:lpstr>
      <vt:lpstr>CUADRO 10</vt:lpstr>
      <vt:lpstr>CUADRO 11</vt:lpstr>
      <vt:lpstr>CUADRO 12</vt:lpstr>
      <vt:lpstr>CUADRO 13</vt:lpstr>
      <vt:lpstr>CUADRO 14</vt:lpstr>
      <vt:lpstr>CUADRO 15</vt:lpstr>
      <vt:lpstr>aplazados</vt:lpstr>
      <vt:lpstr>'CUADRO 1'!Área_de_impresión</vt:lpstr>
      <vt:lpstr>'CUADRO 10'!Área_de_impresión</vt:lpstr>
      <vt:lpstr>'CUADRO 11'!Área_de_impresión</vt:lpstr>
      <vt:lpstr>'CUADRO 12'!Área_de_impresión</vt:lpstr>
      <vt:lpstr>'CUADRO 13'!Área_de_impresión</vt:lpstr>
      <vt:lpstr>'CUADRO 14'!Área_de_impresión</vt:lpstr>
      <vt:lpstr>'CUADRO 15'!Área_de_impresión</vt:lpstr>
      <vt:lpstr>'CUADRO 2'!Área_de_impresión</vt:lpstr>
      <vt:lpstr>'CUADRO 3'!Área_de_impresión</vt:lpstr>
      <vt:lpstr>'CUADRO 4'!Área_de_impresión</vt:lpstr>
      <vt:lpstr>'CUADRO 5'!Área_de_impresión</vt:lpstr>
      <vt:lpstr>'CUADRO 6'!Área_de_impresión</vt:lpstr>
      <vt:lpstr>'CUADRO 7'!Área_de_impresión</vt:lpstr>
      <vt:lpstr>'CUADRO 8'!Área_de_impresión</vt:lpstr>
      <vt:lpstr>'CUADRO 9'!Área_de_impresión</vt:lpstr>
      <vt:lpstr>'Portada 1-con Código Presup.'!Área_de_impresión</vt:lpstr>
      <vt:lpstr>'Portada 2-sin Código Presup.'!Área_de_impresión</vt:lpstr>
      <vt:lpstr>codigo</vt:lpstr>
      <vt:lpstr>sincodigo!datos</vt:lpstr>
      <vt:lpstr>datos</vt:lpstr>
      <vt:lpstr>lista</vt:lpstr>
      <vt:lpstr>MARCA</vt:lpstr>
      <vt:lpstr>nombres</vt:lpstr>
      <vt:lpstr>prov</vt:lpstr>
      <vt:lpstr>sincod</vt:lpstr>
      <vt:lpstr>sincodigo!SINcodigo</vt:lpstr>
      <vt:lpstr>sino</vt:lpstr>
      <vt:lpstr>'CUADRO 6'!Títulos_a_imprimir</vt:lpstr>
      <vt:lpstr>ubic</vt:lpstr>
      <vt:lpstr>ubicac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Dixie Brenes Vindas</cp:lastModifiedBy>
  <cp:lastPrinted>2023-03-31T04:11:11Z</cp:lastPrinted>
  <dcterms:created xsi:type="dcterms:W3CDTF">2011-05-27T17:11:21Z</dcterms:created>
  <dcterms:modified xsi:type="dcterms:W3CDTF">2023-03-31T20:03:14Z</dcterms:modified>
</cp:coreProperties>
</file>