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Colegios\"/>
    </mc:Choice>
  </mc:AlternateContent>
  <xr:revisionPtr revIDLastSave="0" documentId="13_ncr:1_{390ADAD3-0D70-4319-A353-9C8F66C7AD39}" xr6:coauthVersionLast="47" xr6:coauthVersionMax="47" xr10:uidLastSave="{00000000-0000-0000-0000-000000000000}"/>
  <workbookProtection workbookAlgorithmName="SHA-512" workbookHashValue="yFwhiamBTTHUqDJP6meRwBUTrLYGAKUXziBXSXAv3OwhM5QDN4VzDgFQPQJleUg2PKw3j5iI8l4M6CDu3vBkzg==" workbookSaltValue="dNHx2AaNjcq/t/9i8IsIwg==" workbookSpinCount="100000" lockStructure="1"/>
  <bookViews>
    <workbookView xWindow="-120" yWindow="-16320" windowWidth="29040" windowHeight="15720" tabRatio="791" firstSheet="2" activeTab="2" xr2:uid="{00000000-000D-0000-FFFF-FFFF00000000}"/>
  </bookViews>
  <sheets>
    <sheet name="ubicacion" sheetId="80" state="hidden" r:id="rId1"/>
    <sheet name="Códigos Portada" sheetId="27" state="hidden" r:id="rId2"/>
    <sheet name="Portada" sheetId="12" r:id="rId3"/>
    <sheet name="CUADRO 1" sheetId="96" r:id="rId4"/>
    <sheet name="CUADRO 2" sheetId="61" r:id="rId5"/>
    <sheet name="CUADRO 3" sheetId="95" r:id="rId6"/>
    <sheet name="CUADRO 4" sheetId="99" r:id="rId7"/>
    <sheet name="CUADRO 5" sheetId="100" r:id="rId8"/>
    <sheet name="CUADRO 6" sheetId="86" r:id="rId9"/>
    <sheet name="CUADRO 7" sheetId="87" r:id="rId10"/>
    <sheet name="CUADRO 8" sheetId="67" r:id="rId11"/>
    <sheet name="RenCT" sheetId="91" state="hidden" r:id="rId12"/>
    <sheet name="CUADRO 9" sheetId="90" r:id="rId13"/>
    <sheet name="CUADRO 10" sheetId="92" r:id="rId14"/>
    <sheet name="CUADRO 11" sheetId="76" r:id="rId15"/>
    <sheet name="CUADRO 12" sheetId="77" r:id="rId16"/>
    <sheet name="CUADRO 13" sheetId="78" r:id="rId17"/>
    <sheet name="CUADRO 14" sheetId="104" r:id="rId18"/>
    <sheet name="CUADRO 15" sheetId="105" r:id="rId19"/>
    <sheet name="CUADRO 16" sheetId="106" r:id="rId20"/>
    <sheet name="CUADRO 17" sheetId="107" r:id="rId21"/>
  </sheets>
  <definedNames>
    <definedName name="_xlnm._FilterDatabase" localSheetId="1" hidden="1">'Códigos Portada'!$A$2:$AA$137</definedName>
    <definedName name="_xlnm._FilterDatabase" localSheetId="11" hidden="1">RenCT!$A$2:$AH$137</definedName>
    <definedName name="aplazados">RenCT!$A$3:$AH$137</definedName>
    <definedName name="_xlnm.Print_Area" localSheetId="3">'CUADRO 1'!$C$1:$L$31</definedName>
    <definedName name="_xlnm.Print_Area" localSheetId="13">'CUADRO 10'!$C$1:$X$27</definedName>
    <definedName name="_xlnm.Print_Area" localSheetId="14">'CUADRO 11'!$C$1:$K$17</definedName>
    <definedName name="_xlnm.Print_Area" localSheetId="15">'CUADRO 12'!$C$1:$G$70</definedName>
    <definedName name="_xlnm.Print_Area" localSheetId="16">'CUADRO 13'!$C$1:$M$40</definedName>
    <definedName name="_xlnm.Print_Area" localSheetId="17">'CUADRO 14'!$D$1:$G$72</definedName>
    <definedName name="_xlnm.Print_Area" localSheetId="18">'CUADRO 15'!$C$1:$G$36</definedName>
    <definedName name="_xlnm.Print_Area" localSheetId="19">'CUADRO 16'!$C$1:$G$18</definedName>
    <definedName name="_xlnm.Print_Area" localSheetId="20">'CUADRO 17'!$C$1:$M$17</definedName>
    <definedName name="_xlnm.Print_Area" localSheetId="4">'CUADRO 2'!$C$1:$X$31</definedName>
    <definedName name="_xlnm.Print_Area" localSheetId="5">'CUADRO 3'!$C$1:$X$30</definedName>
    <definedName name="_xlnm.Print_Area" localSheetId="6">'CUADRO 4'!$C$1:$R$18</definedName>
    <definedName name="_xlnm.Print_Area" localSheetId="7">'CUADRO 5'!$D$1:$R$91</definedName>
    <definedName name="_xlnm.Print_Area" localSheetId="8">'CUADRO 6'!$C$1:$I$38</definedName>
    <definedName name="_xlnm.Print_Area" localSheetId="9">'CUADRO 7'!$C$1:$O$41</definedName>
    <definedName name="_xlnm.Print_Area" localSheetId="10">'CUADRO 8'!$C$1:$U$38</definedName>
    <definedName name="_xlnm.Print_Area" localSheetId="12">'CUADRO 9'!$C$1:$H$21</definedName>
    <definedName name="_xlnm.Print_Area" localSheetId="2">Portada!$C$2:$F$34</definedName>
    <definedName name="codigo">'Códigos Portada'!$A$3:$B$137</definedName>
    <definedName name="datos">'Códigos Portada'!$D$3:$AA$137</definedName>
    <definedName name="MARCA">'CUADRO 14'!$H$7</definedName>
    <definedName name="prov">ubicacion!$A$1:$B$492</definedName>
    <definedName name="SINO">'CUADRO 14'!$H$4:$H$5</definedName>
    <definedName name="sino1">'CUADRO 14'!$I$4:$I$6</definedName>
    <definedName name="_xlnm.Print_Titles" localSheetId="7">'CUADRO 5'!$3:$5</definedName>
    <definedName name="ubic">ubicacion!$D$2:$D$492</definedName>
    <definedName name="ubicac">ubicacion!$D$2:$E$492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04" l="1"/>
  <c r="G16" i="104"/>
  <c r="G21" i="104"/>
  <c r="G17" i="104"/>
  <c r="G19" i="104"/>
  <c r="L10" i="107" l="1"/>
  <c r="E9" i="107"/>
  <c r="L9" i="107" s="1"/>
  <c r="D9" i="107"/>
  <c r="E8" i="107"/>
  <c r="D8" i="107"/>
  <c r="L8" i="107" s="1"/>
  <c r="E7" i="107"/>
  <c r="D7" i="107"/>
  <c r="L7" i="107" s="1"/>
  <c r="L6" i="107"/>
  <c r="E6" i="107"/>
  <c r="D6" i="107"/>
  <c r="E5" i="107"/>
  <c r="D5" i="107"/>
  <c r="L5" i="107" s="1"/>
  <c r="F25" i="12" l="1"/>
  <c r="E25" i="12"/>
  <c r="G7" i="100" l="1"/>
  <c r="F7" i="100"/>
  <c r="N75" i="100"/>
  <c r="K75" i="100"/>
  <c r="H75" i="100"/>
  <c r="G75" i="100"/>
  <c r="F75" i="100"/>
  <c r="E75" i="100"/>
  <c r="I8" i="100"/>
  <c r="N44" i="100"/>
  <c r="K44" i="100"/>
  <c r="H44" i="100"/>
  <c r="G44" i="100"/>
  <c r="F44" i="100"/>
  <c r="E44" i="100" s="1"/>
  <c r="N43" i="100"/>
  <c r="K43" i="100"/>
  <c r="H43" i="100"/>
  <c r="G43" i="100"/>
  <c r="F43" i="100"/>
  <c r="E43" i="100"/>
  <c r="N42" i="100"/>
  <c r="K42" i="100"/>
  <c r="H42" i="100"/>
  <c r="G42" i="100"/>
  <c r="E42" i="100" s="1"/>
  <c r="F42" i="100"/>
  <c r="F4" i="105"/>
  <c r="E4" i="105"/>
  <c r="G5" i="106" l="1"/>
  <c r="F5" i="106"/>
  <c r="E5" i="106"/>
  <c r="D5" i="106"/>
  <c r="B3" i="106"/>
  <c r="B4" i="106" s="1"/>
  <c r="B5" i="106" s="1"/>
  <c r="B6" i="106" s="1"/>
  <c r="B7" i="106" s="1"/>
  <c r="B8" i="106" s="1"/>
  <c r="G24" i="105"/>
  <c r="G23" i="105"/>
  <c r="D23" i="105"/>
  <c r="C27" i="105" s="1"/>
  <c r="G22" i="105"/>
  <c r="G21" i="105"/>
  <c r="G20" i="105"/>
  <c r="G19" i="105"/>
  <c r="G18" i="105"/>
  <c r="G17" i="105"/>
  <c r="D17" i="105"/>
  <c r="G16" i="105"/>
  <c r="G15" i="105"/>
  <c r="G14" i="105"/>
  <c r="G13" i="105"/>
  <c r="G12" i="105"/>
  <c r="G11" i="105"/>
  <c r="G10" i="105"/>
  <c r="G9" i="105"/>
  <c r="G8" i="105"/>
  <c r="F7" i="105"/>
  <c r="E7" i="105"/>
  <c r="G5" i="105"/>
  <c r="E60" i="104"/>
  <c r="B60" i="104"/>
  <c r="B61" i="104" s="1"/>
  <c r="B62" i="104" s="1"/>
  <c r="B63" i="104" s="1"/>
  <c r="B64" i="104" s="1"/>
  <c r="G59" i="104"/>
  <c r="G52" i="104"/>
  <c r="B52" i="104"/>
  <c r="B53" i="104" s="1"/>
  <c r="B54" i="104" s="1"/>
  <c r="B55" i="104" s="1"/>
  <c r="B56" i="104" s="1"/>
  <c r="B57" i="104" s="1"/>
  <c r="G44" i="104"/>
  <c r="B44" i="104"/>
  <c r="B45" i="104" s="1"/>
  <c r="B46" i="104" s="1"/>
  <c r="B47" i="104" s="1"/>
  <c r="B48" i="104" s="1"/>
  <c r="B49" i="104" s="1"/>
  <c r="G31" i="104"/>
  <c r="B31" i="104"/>
  <c r="B32" i="104" s="1"/>
  <c r="B33" i="104" s="1"/>
  <c r="B34" i="104" s="1"/>
  <c r="B35" i="104" s="1"/>
  <c r="B36" i="104" s="1"/>
  <c r="B37" i="104" s="1"/>
  <c r="B38" i="104" s="1"/>
  <c r="B39" i="104" s="1"/>
  <c r="B40" i="104" s="1"/>
  <c r="B41" i="104" s="1"/>
  <c r="G25" i="104"/>
  <c r="B25" i="104"/>
  <c r="B26" i="104" s="1"/>
  <c r="B27" i="104" s="1"/>
  <c r="B28" i="104" s="1"/>
  <c r="B18" i="104"/>
  <c r="B19" i="104" s="1"/>
  <c r="B20" i="104" s="1"/>
  <c r="B21" i="104" s="1"/>
  <c r="B22" i="104" s="1"/>
  <c r="E16" i="104"/>
  <c r="G15" i="104"/>
  <c r="G13" i="104"/>
  <c r="G12" i="104"/>
  <c r="G11" i="104"/>
  <c r="G10" i="104"/>
  <c r="G9" i="104"/>
  <c r="B9" i="104"/>
  <c r="B10" i="104" s="1"/>
  <c r="B11" i="104" s="1"/>
  <c r="B12" i="104" s="1"/>
  <c r="B13" i="104" s="1"/>
  <c r="B8" i="104"/>
  <c r="G4" i="104"/>
  <c r="C26" i="105" l="1"/>
  <c r="C25" i="105"/>
  <c r="N46" i="100"/>
  <c r="K46" i="100"/>
  <c r="H46" i="100"/>
  <c r="G46" i="100"/>
  <c r="F46" i="100"/>
  <c r="E46" i="100" s="1"/>
  <c r="N45" i="100"/>
  <c r="K45" i="100"/>
  <c r="H45" i="100"/>
  <c r="G45" i="100"/>
  <c r="F45" i="100"/>
  <c r="E45" i="100" s="1"/>
  <c r="N41" i="100"/>
  <c r="K41" i="100"/>
  <c r="H41" i="100"/>
  <c r="G41" i="100"/>
  <c r="F41" i="100"/>
  <c r="E41" i="100" s="1"/>
  <c r="N40" i="100"/>
  <c r="K40" i="100"/>
  <c r="H40" i="100"/>
  <c r="G40" i="100"/>
  <c r="F40" i="100"/>
  <c r="N39" i="100"/>
  <c r="K39" i="100"/>
  <c r="H39" i="100"/>
  <c r="G39" i="100"/>
  <c r="F39" i="100"/>
  <c r="N38" i="100"/>
  <c r="K38" i="100"/>
  <c r="H38" i="100"/>
  <c r="G38" i="100"/>
  <c r="F38" i="100"/>
  <c r="E38" i="100" s="1"/>
  <c r="N37" i="100"/>
  <c r="K37" i="100"/>
  <c r="H37" i="100"/>
  <c r="G37" i="100"/>
  <c r="F37" i="100"/>
  <c r="N36" i="100"/>
  <c r="K36" i="100"/>
  <c r="H36" i="100"/>
  <c r="G36" i="100"/>
  <c r="F36" i="100"/>
  <c r="N35" i="100"/>
  <c r="K35" i="100"/>
  <c r="H35" i="100"/>
  <c r="G35" i="100"/>
  <c r="F35" i="100"/>
  <c r="E35" i="100" s="1"/>
  <c r="N34" i="100"/>
  <c r="K34" i="100"/>
  <c r="H34" i="100"/>
  <c r="G34" i="100"/>
  <c r="F34" i="100"/>
  <c r="N33" i="100"/>
  <c r="K33" i="100"/>
  <c r="H33" i="100"/>
  <c r="G33" i="100"/>
  <c r="F33" i="100"/>
  <c r="E33" i="100" s="1"/>
  <c r="N32" i="100"/>
  <c r="K32" i="100"/>
  <c r="H32" i="100"/>
  <c r="G32" i="100"/>
  <c r="F32" i="100"/>
  <c r="N31" i="100"/>
  <c r="K31" i="100"/>
  <c r="H31" i="100"/>
  <c r="G31" i="100"/>
  <c r="F31" i="100"/>
  <c r="N30" i="100"/>
  <c r="K30" i="100"/>
  <c r="H30" i="100"/>
  <c r="G30" i="100"/>
  <c r="F30" i="100"/>
  <c r="E30" i="100" s="1"/>
  <c r="N29" i="100"/>
  <c r="K29" i="100"/>
  <c r="H29" i="100"/>
  <c r="G29" i="100"/>
  <c r="F29" i="100"/>
  <c r="N28" i="100"/>
  <c r="K28" i="100"/>
  <c r="H28" i="100"/>
  <c r="G28" i="100"/>
  <c r="F28" i="100"/>
  <c r="N27" i="100"/>
  <c r="K27" i="100"/>
  <c r="H27" i="100"/>
  <c r="G27" i="100"/>
  <c r="F27" i="100"/>
  <c r="E27" i="100" s="1"/>
  <c r="N26" i="100"/>
  <c r="K26" i="100"/>
  <c r="H26" i="100"/>
  <c r="G26" i="100"/>
  <c r="F26" i="100"/>
  <c r="N25" i="100"/>
  <c r="K25" i="100"/>
  <c r="H25" i="100"/>
  <c r="G25" i="100"/>
  <c r="F25" i="100"/>
  <c r="N24" i="100"/>
  <c r="K24" i="100"/>
  <c r="H24" i="100"/>
  <c r="G24" i="100"/>
  <c r="F24" i="100"/>
  <c r="N23" i="100"/>
  <c r="K23" i="100"/>
  <c r="H23" i="100"/>
  <c r="G23" i="100"/>
  <c r="F23" i="100"/>
  <c r="N22" i="100"/>
  <c r="K22" i="100"/>
  <c r="H22" i="100"/>
  <c r="G22" i="100"/>
  <c r="F22" i="100"/>
  <c r="E22" i="100" s="1"/>
  <c r="N21" i="100"/>
  <c r="K21" i="100"/>
  <c r="H21" i="100"/>
  <c r="G21" i="100"/>
  <c r="F21" i="100"/>
  <c r="N20" i="100"/>
  <c r="K20" i="100"/>
  <c r="H20" i="100"/>
  <c r="G20" i="100"/>
  <c r="F20" i="100"/>
  <c r="N19" i="100"/>
  <c r="K19" i="100"/>
  <c r="H19" i="100"/>
  <c r="G19" i="100"/>
  <c r="F19" i="100"/>
  <c r="E19" i="100" s="1"/>
  <c r="N18" i="100"/>
  <c r="K18" i="100"/>
  <c r="H18" i="100"/>
  <c r="G18" i="100"/>
  <c r="F18" i="100"/>
  <c r="N17" i="100"/>
  <c r="K17" i="100"/>
  <c r="H17" i="100"/>
  <c r="G17" i="100"/>
  <c r="F17" i="100"/>
  <c r="E17" i="100" s="1"/>
  <c r="N16" i="100"/>
  <c r="K16" i="100"/>
  <c r="H16" i="100"/>
  <c r="G16" i="100"/>
  <c r="F16" i="100"/>
  <c r="N15" i="100"/>
  <c r="K15" i="100"/>
  <c r="H15" i="100"/>
  <c r="G15" i="100"/>
  <c r="F15" i="100"/>
  <c r="N14" i="100"/>
  <c r="K14" i="100"/>
  <c r="H14" i="100"/>
  <c r="G14" i="100"/>
  <c r="F14" i="100"/>
  <c r="E14" i="100" s="1"/>
  <c r="N13" i="100"/>
  <c r="K13" i="100"/>
  <c r="H13" i="100"/>
  <c r="G13" i="100"/>
  <c r="F13" i="100"/>
  <c r="N12" i="100"/>
  <c r="K12" i="100"/>
  <c r="H12" i="100"/>
  <c r="G12" i="100"/>
  <c r="F12" i="100"/>
  <c r="N11" i="100"/>
  <c r="K11" i="100"/>
  <c r="H11" i="100"/>
  <c r="G11" i="100"/>
  <c r="F11" i="100"/>
  <c r="E11" i="100" s="1"/>
  <c r="N10" i="100"/>
  <c r="K10" i="100"/>
  <c r="H10" i="100"/>
  <c r="G10" i="100"/>
  <c r="F10" i="100"/>
  <c r="N9" i="100"/>
  <c r="K9" i="100"/>
  <c r="H9" i="100"/>
  <c r="G9" i="100"/>
  <c r="F9" i="100"/>
  <c r="E9" i="100" s="1"/>
  <c r="N76" i="100"/>
  <c r="K76" i="100"/>
  <c r="H76" i="100"/>
  <c r="G76" i="100"/>
  <c r="F76" i="100"/>
  <c r="N74" i="100"/>
  <c r="K74" i="100"/>
  <c r="H74" i="100"/>
  <c r="G74" i="100"/>
  <c r="F74" i="100"/>
  <c r="N73" i="100"/>
  <c r="K73" i="100"/>
  <c r="H73" i="100"/>
  <c r="G73" i="100"/>
  <c r="F73" i="100"/>
  <c r="E73" i="100"/>
  <c r="N72" i="100"/>
  <c r="K72" i="100"/>
  <c r="H72" i="100"/>
  <c r="G72" i="100"/>
  <c r="F72" i="100"/>
  <c r="N71" i="100"/>
  <c r="K71" i="100"/>
  <c r="H71" i="100"/>
  <c r="G71" i="100"/>
  <c r="F71" i="100"/>
  <c r="N70" i="100"/>
  <c r="K70" i="100"/>
  <c r="H70" i="100"/>
  <c r="G70" i="100"/>
  <c r="F70" i="100"/>
  <c r="E70" i="100" s="1"/>
  <c r="N69" i="100"/>
  <c r="K69" i="100"/>
  <c r="H69" i="100"/>
  <c r="G69" i="100"/>
  <c r="F69" i="100"/>
  <c r="N68" i="100"/>
  <c r="K68" i="100"/>
  <c r="H68" i="100"/>
  <c r="G68" i="100"/>
  <c r="F68" i="100"/>
  <c r="N67" i="100"/>
  <c r="K67" i="100"/>
  <c r="H67" i="100"/>
  <c r="G67" i="100"/>
  <c r="F67" i="100"/>
  <c r="E67" i="100" s="1"/>
  <c r="N66" i="100"/>
  <c r="K66" i="100"/>
  <c r="H66" i="100"/>
  <c r="G66" i="100"/>
  <c r="F66" i="100"/>
  <c r="N65" i="100"/>
  <c r="K65" i="100"/>
  <c r="H65" i="100"/>
  <c r="G65" i="100"/>
  <c r="F65" i="100"/>
  <c r="N64" i="100"/>
  <c r="K64" i="100"/>
  <c r="H64" i="100"/>
  <c r="G64" i="100"/>
  <c r="F64" i="100"/>
  <c r="N63" i="100"/>
  <c r="K63" i="100"/>
  <c r="H63" i="100"/>
  <c r="G63" i="100"/>
  <c r="F63" i="100"/>
  <c r="N62" i="100"/>
  <c r="K62" i="100"/>
  <c r="H62" i="100"/>
  <c r="G62" i="100"/>
  <c r="F62" i="100"/>
  <c r="N61" i="100"/>
  <c r="K61" i="100"/>
  <c r="H61" i="100"/>
  <c r="G61" i="100"/>
  <c r="F61" i="100"/>
  <c r="N60" i="100"/>
  <c r="K60" i="100"/>
  <c r="H60" i="100"/>
  <c r="G60" i="100"/>
  <c r="F60" i="100"/>
  <c r="N59" i="100"/>
  <c r="K59" i="100"/>
  <c r="H59" i="100"/>
  <c r="G59" i="100"/>
  <c r="F59" i="100"/>
  <c r="N58" i="100"/>
  <c r="K58" i="100"/>
  <c r="H58" i="100"/>
  <c r="G58" i="100"/>
  <c r="F58" i="100"/>
  <c r="N57" i="100"/>
  <c r="K57" i="100"/>
  <c r="H57" i="100"/>
  <c r="G57" i="100"/>
  <c r="F57" i="100"/>
  <c r="N56" i="100"/>
  <c r="K56" i="100"/>
  <c r="H56" i="100"/>
  <c r="G56" i="100"/>
  <c r="F56" i="100"/>
  <c r="N55" i="100"/>
  <c r="K55" i="100"/>
  <c r="H55" i="100"/>
  <c r="G55" i="100"/>
  <c r="F55" i="100"/>
  <c r="N54" i="100"/>
  <c r="K54" i="100"/>
  <c r="H54" i="100"/>
  <c r="G54" i="100"/>
  <c r="F54" i="100"/>
  <c r="N53" i="100"/>
  <c r="K53" i="100"/>
  <c r="H53" i="100"/>
  <c r="G53" i="100"/>
  <c r="F53" i="100"/>
  <c r="E53" i="100" s="1"/>
  <c r="N52" i="100"/>
  <c r="K52" i="100"/>
  <c r="H52" i="100"/>
  <c r="G52" i="100"/>
  <c r="F52" i="100"/>
  <c r="N51" i="100"/>
  <c r="K51" i="100"/>
  <c r="H51" i="100"/>
  <c r="G51" i="100"/>
  <c r="F51" i="100"/>
  <c r="N50" i="100"/>
  <c r="K50" i="100"/>
  <c r="H50" i="100"/>
  <c r="G50" i="100"/>
  <c r="F50" i="100"/>
  <c r="N49" i="100"/>
  <c r="K49" i="100"/>
  <c r="H49" i="100"/>
  <c r="G49" i="100"/>
  <c r="F49" i="100"/>
  <c r="N48" i="100"/>
  <c r="K48" i="100"/>
  <c r="H48" i="100"/>
  <c r="G48" i="100"/>
  <c r="F48" i="100"/>
  <c r="N85" i="100"/>
  <c r="K85" i="100"/>
  <c r="H85" i="100"/>
  <c r="G85" i="100"/>
  <c r="F85" i="100"/>
  <c r="N84" i="100"/>
  <c r="K84" i="100"/>
  <c r="H84" i="100"/>
  <c r="G84" i="100"/>
  <c r="F84" i="100"/>
  <c r="E84" i="100" s="1"/>
  <c r="N83" i="100"/>
  <c r="K83" i="100"/>
  <c r="H83" i="100"/>
  <c r="G83" i="100"/>
  <c r="F83" i="100"/>
  <c r="E83" i="100" s="1"/>
  <c r="N82" i="100"/>
  <c r="K82" i="100"/>
  <c r="H82" i="100"/>
  <c r="G82" i="100"/>
  <c r="F82" i="100"/>
  <c r="N81" i="100"/>
  <c r="K81" i="100"/>
  <c r="H81" i="100"/>
  <c r="G81" i="100"/>
  <c r="F81" i="100"/>
  <c r="N80" i="100"/>
  <c r="K80" i="100"/>
  <c r="H80" i="100"/>
  <c r="G80" i="100"/>
  <c r="F80" i="100"/>
  <c r="N79" i="100"/>
  <c r="K79" i="100"/>
  <c r="H79" i="100"/>
  <c r="G79" i="100"/>
  <c r="F79" i="100"/>
  <c r="N78" i="100"/>
  <c r="K78" i="100"/>
  <c r="H78" i="100"/>
  <c r="G78" i="100"/>
  <c r="F78" i="100"/>
  <c r="E71" i="100" l="1"/>
  <c r="E15" i="100"/>
  <c r="E64" i="100"/>
  <c r="E61" i="100"/>
  <c r="E37" i="100"/>
  <c r="E69" i="100"/>
  <c r="E60" i="100"/>
  <c r="E25" i="100"/>
  <c r="E81" i="100"/>
  <c r="E24" i="100"/>
  <c r="E50" i="100"/>
  <c r="E58" i="100"/>
  <c r="E13" i="100"/>
  <c r="E21" i="100"/>
  <c r="E29" i="100"/>
  <c r="E18" i="100"/>
  <c r="E26" i="100"/>
  <c r="E34" i="100"/>
  <c r="E52" i="100"/>
  <c r="E39" i="100"/>
  <c r="E49" i="100"/>
  <c r="E57" i="100"/>
  <c r="E85" i="100"/>
  <c r="E55" i="100"/>
  <c r="E72" i="100"/>
  <c r="E16" i="100"/>
  <c r="E40" i="100"/>
  <c r="E54" i="100"/>
  <c r="E78" i="100"/>
  <c r="E51" i="100"/>
  <c r="E59" i="100"/>
  <c r="E62" i="100"/>
  <c r="E74" i="100"/>
  <c r="E23" i="100"/>
  <c r="E31" i="100"/>
  <c r="E79" i="100"/>
  <c r="E66" i="100"/>
  <c r="E80" i="100"/>
  <c r="E48" i="100"/>
  <c r="E56" i="100"/>
  <c r="E12" i="100"/>
  <c r="E28" i="100"/>
  <c r="E36" i="100"/>
  <c r="E82" i="100"/>
  <c r="E65" i="100"/>
  <c r="E63" i="100"/>
  <c r="E68" i="100"/>
  <c r="E10" i="100"/>
  <c r="E76" i="100"/>
  <c r="E20" i="100"/>
  <c r="E32" i="100"/>
  <c r="I47" i="100"/>
  <c r="J77" i="100"/>
  <c r="I77" i="100"/>
  <c r="F23" i="12" l="1"/>
  <c r="F22" i="12"/>
  <c r="P77" i="100" l="1"/>
  <c r="O77" i="100"/>
  <c r="M77" i="100"/>
  <c r="L77" i="100"/>
  <c r="P47" i="100"/>
  <c r="O47" i="100"/>
  <c r="M47" i="100"/>
  <c r="L47" i="100"/>
  <c r="J47" i="100"/>
  <c r="H47" i="100" s="1"/>
  <c r="P8" i="100"/>
  <c r="O8" i="100"/>
  <c r="M8" i="100"/>
  <c r="L8" i="100"/>
  <c r="J8" i="100"/>
  <c r="F8" i="100"/>
  <c r="J6" i="100" l="1"/>
  <c r="K77" i="100"/>
  <c r="G8" i="100"/>
  <c r="E8" i="100" s="1"/>
  <c r="F47" i="100"/>
  <c r="M6" i="100"/>
  <c r="H77" i="100"/>
  <c r="P6" i="100"/>
  <c r="O6" i="100"/>
  <c r="I6" i="100"/>
  <c r="K8" i="100"/>
  <c r="G47" i="100"/>
  <c r="N47" i="100"/>
  <c r="F77" i="100"/>
  <c r="H8" i="100"/>
  <c r="K47" i="100"/>
  <c r="N77" i="100"/>
  <c r="G77" i="100"/>
  <c r="N8" i="100"/>
  <c r="L6" i="100"/>
  <c r="U29" i="67"/>
  <c r="T29" i="67"/>
  <c r="R29" i="67"/>
  <c r="Q29" i="67"/>
  <c r="O29" i="67"/>
  <c r="N29" i="67"/>
  <c r="I29" i="67"/>
  <c r="H29" i="67"/>
  <c r="E77" i="100" l="1"/>
  <c r="N6" i="100"/>
  <c r="E47" i="100"/>
  <c r="K6" i="100"/>
  <c r="G6" i="100"/>
  <c r="F6" i="100"/>
  <c r="H6" i="100"/>
  <c r="E6" i="100" l="1"/>
  <c r="S28" i="67" l="1"/>
  <c r="P28" i="67"/>
  <c r="M28" i="67"/>
  <c r="J28" i="67"/>
  <c r="G28" i="67"/>
  <c r="D28" i="67"/>
  <c r="S27" i="67"/>
  <c r="P27" i="67"/>
  <c r="M27" i="67"/>
  <c r="J27" i="67"/>
  <c r="G27" i="67"/>
  <c r="D27" i="67"/>
  <c r="S26" i="67"/>
  <c r="P26" i="67"/>
  <c r="M26" i="67"/>
  <c r="J26" i="67"/>
  <c r="G26" i="67"/>
  <c r="D26" i="67"/>
  <c r="S25" i="67"/>
  <c r="P25" i="67"/>
  <c r="M25" i="67"/>
  <c r="J25" i="67"/>
  <c r="G25" i="67"/>
  <c r="D25" i="67"/>
  <c r="S24" i="67"/>
  <c r="P24" i="67"/>
  <c r="M24" i="67"/>
  <c r="J24" i="67"/>
  <c r="G24" i="67"/>
  <c r="D24" i="67"/>
  <c r="S23" i="67"/>
  <c r="P23" i="67"/>
  <c r="M23" i="67"/>
  <c r="J23" i="67"/>
  <c r="G23" i="67"/>
  <c r="D23" i="67"/>
  <c r="S22" i="67"/>
  <c r="P22" i="67"/>
  <c r="M22" i="67"/>
  <c r="J22" i="67"/>
  <c r="G22" i="67"/>
  <c r="D22" i="67"/>
  <c r="S21" i="67"/>
  <c r="P21" i="67"/>
  <c r="M21" i="67"/>
  <c r="J21" i="67"/>
  <c r="G21" i="67"/>
  <c r="D21" i="67"/>
  <c r="S20" i="67"/>
  <c r="P20" i="67"/>
  <c r="M20" i="67"/>
  <c r="J20" i="67"/>
  <c r="G20" i="67"/>
  <c r="D20" i="67"/>
  <c r="S19" i="67"/>
  <c r="P19" i="67"/>
  <c r="M19" i="67"/>
  <c r="J19" i="67"/>
  <c r="G19" i="67"/>
  <c r="D19" i="67"/>
  <c r="U18" i="67"/>
  <c r="T18" i="67"/>
  <c r="S18" i="67" s="1"/>
  <c r="R18" i="67"/>
  <c r="Q18" i="67"/>
  <c r="O18" i="67"/>
  <c r="N18" i="67"/>
  <c r="M18" i="67" s="1"/>
  <c r="L18" i="67"/>
  <c r="K18" i="67"/>
  <c r="J18" i="67" s="1"/>
  <c r="I18" i="67"/>
  <c r="H18" i="67"/>
  <c r="G18" i="67" s="1"/>
  <c r="F18" i="67"/>
  <c r="E18" i="67"/>
  <c r="S17" i="67"/>
  <c r="P17" i="67"/>
  <c r="M17" i="67"/>
  <c r="J17" i="67"/>
  <c r="G17" i="67"/>
  <c r="D17" i="67"/>
  <c r="S16" i="67"/>
  <c r="P16" i="67"/>
  <c r="M16" i="67"/>
  <c r="J16" i="67"/>
  <c r="G16" i="67"/>
  <c r="D16" i="67"/>
  <c r="S15" i="67"/>
  <c r="P15" i="67"/>
  <c r="M15" i="67"/>
  <c r="J15" i="67"/>
  <c r="G15" i="67"/>
  <c r="D15" i="67"/>
  <c r="U14" i="67"/>
  <c r="T14" i="67"/>
  <c r="R14" i="67"/>
  <c r="Q14" i="67"/>
  <c r="P14" i="67" s="1"/>
  <c r="O14" i="67"/>
  <c r="N14" i="67"/>
  <c r="L14" i="67"/>
  <c r="K14" i="67"/>
  <c r="I14" i="67"/>
  <c r="H14" i="67"/>
  <c r="F14" i="67"/>
  <c r="E14" i="67"/>
  <c r="S13" i="67"/>
  <c r="P13" i="67"/>
  <c r="M13" i="67"/>
  <c r="J13" i="67"/>
  <c r="G13" i="67"/>
  <c r="D13" i="67"/>
  <c r="S12" i="67"/>
  <c r="P12" i="67"/>
  <c r="M12" i="67"/>
  <c r="J12" i="67"/>
  <c r="G12" i="67"/>
  <c r="D12" i="67"/>
  <c r="S11" i="67"/>
  <c r="P11" i="67"/>
  <c r="M11" i="67"/>
  <c r="J11" i="67"/>
  <c r="G11" i="67"/>
  <c r="D11" i="67"/>
  <c r="S10" i="67"/>
  <c r="P10" i="67"/>
  <c r="M10" i="67"/>
  <c r="J10" i="67"/>
  <c r="G10" i="67"/>
  <c r="D10" i="67"/>
  <c r="S9" i="67"/>
  <c r="P9" i="67"/>
  <c r="M9" i="67"/>
  <c r="J9" i="67"/>
  <c r="G9" i="67"/>
  <c r="D9" i="67"/>
  <c r="S8" i="67"/>
  <c r="P8" i="67"/>
  <c r="M8" i="67"/>
  <c r="J8" i="67"/>
  <c r="G8" i="67"/>
  <c r="D8" i="67"/>
  <c r="G14" i="67" l="1"/>
  <c r="S14" i="67"/>
  <c r="M14" i="67"/>
  <c r="D18" i="67"/>
  <c r="J14" i="67"/>
  <c r="P18" i="67"/>
  <c r="D14" i="67"/>
  <c r="E35" i="87"/>
  <c r="E34" i="87"/>
  <c r="E33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E7" i="87"/>
  <c r="O7" i="67" l="1"/>
  <c r="H7" i="67"/>
  <c r="U7" i="67"/>
  <c r="T7" i="67"/>
  <c r="Q7" i="67"/>
  <c r="L7" i="67"/>
  <c r="L29" i="67" s="1"/>
  <c r="I7" i="67"/>
  <c r="E7" i="67"/>
  <c r="E29" i="67" s="1"/>
  <c r="S7" i="67" l="1"/>
  <c r="G7" i="67"/>
  <c r="K7" i="67"/>
  <c r="K29" i="67" s="1"/>
  <c r="Q30" i="67"/>
  <c r="N7" i="67"/>
  <c r="M7" i="67" s="1"/>
  <c r="F7" i="67"/>
  <c r="F29" i="67" s="1"/>
  <c r="R7" i="67"/>
  <c r="P7" i="67" s="1"/>
  <c r="C3" i="67" l="1"/>
  <c r="J7" i="67"/>
  <c r="G30" i="67"/>
  <c r="D7" i="67"/>
  <c r="G32" i="67"/>
  <c r="H13" i="96" l="1"/>
  <c r="J6" i="96"/>
  <c r="I6" i="96"/>
  <c r="H12" i="96"/>
  <c r="H11" i="96"/>
  <c r="H10" i="96"/>
  <c r="H9" i="96"/>
  <c r="H8" i="96"/>
  <c r="H7" i="96"/>
  <c r="F24" i="12"/>
  <c r="H6" i="96" l="1"/>
  <c r="F21" i="12"/>
  <c r="AC89" i="91" l="1"/>
  <c r="AD89" i="91"/>
  <c r="AE89" i="91"/>
  <c r="AF89" i="91"/>
  <c r="AG89" i="91"/>
  <c r="AH89" i="91"/>
  <c r="AC137" i="91"/>
  <c r="AD137" i="91"/>
  <c r="AE137" i="91"/>
  <c r="AF137" i="91"/>
  <c r="AG137" i="91"/>
  <c r="AH137" i="91"/>
  <c r="E21" i="61" l="1"/>
  <c r="E20" i="61"/>
  <c r="E18" i="61"/>
  <c r="E19" i="61"/>
  <c r="E17" i="61"/>
  <c r="K21" i="95" l="1"/>
  <c r="H21" i="95"/>
  <c r="H22" i="61"/>
  <c r="U22" i="61" l="1"/>
  <c r="T22" i="61"/>
  <c r="R22" i="61"/>
  <c r="Q22" i="61"/>
  <c r="O22" i="61"/>
  <c r="N22" i="61"/>
  <c r="L22" i="61"/>
  <c r="K22" i="61"/>
  <c r="I22" i="61"/>
  <c r="F21" i="61"/>
  <c r="D21" i="61" s="1"/>
  <c r="G21" i="61"/>
  <c r="J21" i="61"/>
  <c r="M21" i="61"/>
  <c r="P21" i="61"/>
  <c r="S21" i="61"/>
  <c r="V21" i="61"/>
  <c r="H23" i="61" l="1"/>
  <c r="E14" i="92"/>
  <c r="F14" i="92"/>
  <c r="G14" i="92"/>
  <c r="J14" i="92"/>
  <c r="M14" i="92"/>
  <c r="P14" i="92"/>
  <c r="S14" i="92"/>
  <c r="V14" i="92"/>
  <c r="D14" i="92" l="1"/>
  <c r="L35" i="87"/>
  <c r="I35" i="87"/>
  <c r="F35" i="87"/>
  <c r="L34" i="87"/>
  <c r="I34" i="87"/>
  <c r="F34" i="87"/>
  <c r="L33" i="87"/>
  <c r="I33" i="87"/>
  <c r="F33" i="87"/>
  <c r="L32" i="87"/>
  <c r="I32" i="87"/>
  <c r="F32" i="87"/>
  <c r="L31" i="87"/>
  <c r="I31" i="87"/>
  <c r="F31" i="87"/>
  <c r="L30" i="87"/>
  <c r="I30" i="87"/>
  <c r="F30" i="87"/>
  <c r="L29" i="87"/>
  <c r="I29" i="87"/>
  <c r="F29" i="87"/>
  <c r="L28" i="87"/>
  <c r="I28" i="87"/>
  <c r="F28" i="87"/>
  <c r="L27" i="87"/>
  <c r="I27" i="87"/>
  <c r="F27" i="87"/>
  <c r="L26" i="87"/>
  <c r="I26" i="87"/>
  <c r="F26" i="87"/>
  <c r="L25" i="87"/>
  <c r="I25" i="87"/>
  <c r="F25" i="87"/>
  <c r="L24" i="87"/>
  <c r="I24" i="87"/>
  <c r="F24" i="87"/>
  <c r="L23" i="87"/>
  <c r="I23" i="87"/>
  <c r="F23" i="87"/>
  <c r="L22" i="87"/>
  <c r="I22" i="87"/>
  <c r="F22" i="87"/>
  <c r="L21" i="87"/>
  <c r="I21" i="87"/>
  <c r="F21" i="87"/>
  <c r="L20" i="87"/>
  <c r="I20" i="87"/>
  <c r="F20" i="87"/>
  <c r="L19" i="87"/>
  <c r="I19" i="87"/>
  <c r="F19" i="87"/>
  <c r="L18" i="87"/>
  <c r="I18" i="87"/>
  <c r="F18" i="87"/>
  <c r="L17" i="87"/>
  <c r="I17" i="87"/>
  <c r="F17" i="87"/>
  <c r="L16" i="87"/>
  <c r="I16" i="87"/>
  <c r="F16" i="87"/>
  <c r="L15" i="87"/>
  <c r="I15" i="87"/>
  <c r="F15" i="87"/>
  <c r="L14" i="87"/>
  <c r="O15" i="87" s="1"/>
  <c r="I14" i="87"/>
  <c r="F14" i="87"/>
  <c r="L13" i="87"/>
  <c r="I13" i="87"/>
  <c r="F13" i="87"/>
  <c r="L12" i="87"/>
  <c r="I12" i="87"/>
  <c r="F12" i="87"/>
  <c r="L11" i="87"/>
  <c r="I11" i="87"/>
  <c r="F11" i="87"/>
  <c r="L10" i="87"/>
  <c r="I10" i="87"/>
  <c r="F10" i="87"/>
  <c r="L9" i="87"/>
  <c r="I9" i="87"/>
  <c r="F9" i="87"/>
  <c r="L8" i="87"/>
  <c r="I8" i="87"/>
  <c r="F8" i="87"/>
  <c r="L7" i="87"/>
  <c r="I7" i="87"/>
  <c r="F7" i="87"/>
  <c r="N6" i="87"/>
  <c r="M6" i="87"/>
  <c r="K6" i="87"/>
  <c r="J6" i="87"/>
  <c r="I6" i="87" s="1"/>
  <c r="H6" i="87"/>
  <c r="G6" i="87"/>
  <c r="F6" i="87" s="1"/>
  <c r="L6" i="87" l="1"/>
  <c r="K6" i="96"/>
  <c r="K5" i="96" s="1"/>
  <c r="G16" i="77" l="1"/>
  <c r="F16" i="77"/>
  <c r="X21" i="95"/>
  <c r="W21" i="95"/>
  <c r="U21" i="95"/>
  <c r="T21" i="95"/>
  <c r="R21" i="95"/>
  <c r="Q21" i="95"/>
  <c r="O21" i="95"/>
  <c r="N21" i="95"/>
  <c r="L21" i="95"/>
  <c r="I21" i="95"/>
  <c r="G18" i="95" l="1"/>
  <c r="J18" i="95"/>
  <c r="M18" i="95"/>
  <c r="V19" i="61"/>
  <c r="S19" i="61"/>
  <c r="P19" i="61"/>
  <c r="F19" i="61"/>
  <c r="G6" i="96"/>
  <c r="F6" i="96"/>
  <c r="E6" i="87" l="1"/>
  <c r="O6" i="87" s="1"/>
  <c r="D19" i="61"/>
  <c r="G22" i="95"/>
  <c r="AC31" i="91" l="1"/>
  <c r="AD31" i="91"/>
  <c r="AE31" i="91"/>
  <c r="AF31" i="91"/>
  <c r="AG31" i="91"/>
  <c r="AH31" i="91"/>
  <c r="AC33" i="91"/>
  <c r="AD33" i="91"/>
  <c r="AE33" i="91"/>
  <c r="AF33" i="91"/>
  <c r="AG33" i="91"/>
  <c r="AH33" i="91"/>
  <c r="AC79" i="91"/>
  <c r="AD79" i="91"/>
  <c r="AE79" i="91"/>
  <c r="AF79" i="91"/>
  <c r="AG79" i="91"/>
  <c r="AH79" i="91"/>
  <c r="AC104" i="91"/>
  <c r="AD104" i="91"/>
  <c r="AE104" i="91"/>
  <c r="AF104" i="91"/>
  <c r="AG104" i="91"/>
  <c r="AH104" i="91"/>
  <c r="AC90" i="91"/>
  <c r="AD90" i="91"/>
  <c r="AE90" i="91"/>
  <c r="AF90" i="91"/>
  <c r="AG90" i="91"/>
  <c r="AH90" i="91"/>
  <c r="AC125" i="91"/>
  <c r="AD125" i="91"/>
  <c r="AE125" i="91"/>
  <c r="AF125" i="91"/>
  <c r="AG125" i="91"/>
  <c r="AH125" i="91"/>
  <c r="AC114" i="91"/>
  <c r="AD114" i="91"/>
  <c r="AE114" i="91"/>
  <c r="AF114" i="91"/>
  <c r="AG114" i="91"/>
  <c r="AH114" i="91"/>
  <c r="AC124" i="91"/>
  <c r="AD124" i="91"/>
  <c r="AE124" i="91"/>
  <c r="AF124" i="91"/>
  <c r="AG124" i="91"/>
  <c r="AH124" i="91"/>
  <c r="AC7" i="91"/>
  <c r="AD7" i="91"/>
  <c r="AE7" i="91"/>
  <c r="AF7" i="91"/>
  <c r="AG7" i="91"/>
  <c r="AH7" i="91"/>
  <c r="AC35" i="91"/>
  <c r="AD35" i="91"/>
  <c r="AE35" i="91"/>
  <c r="AF35" i="91"/>
  <c r="AG35" i="91"/>
  <c r="AH35" i="91"/>
  <c r="AC11" i="91"/>
  <c r="AD11" i="91"/>
  <c r="AE11" i="91"/>
  <c r="AF11" i="91"/>
  <c r="AG11" i="91"/>
  <c r="AH11" i="91"/>
  <c r="AC6" i="91"/>
  <c r="AD6" i="91"/>
  <c r="AE6" i="91"/>
  <c r="AF6" i="91"/>
  <c r="AG6" i="91"/>
  <c r="AH6" i="91"/>
  <c r="AC123" i="91"/>
  <c r="AD123" i="91"/>
  <c r="AE123" i="91"/>
  <c r="AF123" i="91"/>
  <c r="AG123" i="91"/>
  <c r="AH123" i="91"/>
  <c r="AC13" i="91"/>
  <c r="AD13" i="91"/>
  <c r="AE13" i="91"/>
  <c r="AF13" i="91"/>
  <c r="AG13" i="91"/>
  <c r="AH13" i="91"/>
  <c r="AC18" i="91"/>
  <c r="AD18" i="91"/>
  <c r="AE18" i="91"/>
  <c r="AF18" i="91"/>
  <c r="AG18" i="91"/>
  <c r="AH18" i="91"/>
  <c r="AC19" i="91"/>
  <c r="AD19" i="91"/>
  <c r="AE19" i="91"/>
  <c r="AF19" i="91"/>
  <c r="AG19" i="91"/>
  <c r="AH19" i="91"/>
  <c r="AC88" i="91"/>
  <c r="AD88" i="91"/>
  <c r="AE88" i="91"/>
  <c r="AF88" i="91"/>
  <c r="AG88" i="91"/>
  <c r="AH88" i="91"/>
  <c r="AC86" i="91"/>
  <c r="AD86" i="91"/>
  <c r="AE86" i="91"/>
  <c r="AF86" i="91"/>
  <c r="AG86" i="91"/>
  <c r="AH86" i="91"/>
  <c r="AC96" i="91"/>
  <c r="AD96" i="91"/>
  <c r="AE96" i="91"/>
  <c r="AF96" i="91"/>
  <c r="AG96" i="91"/>
  <c r="AH96" i="91"/>
  <c r="AC131" i="91"/>
  <c r="AD131" i="91"/>
  <c r="AE131" i="91"/>
  <c r="AF131" i="91"/>
  <c r="AG131" i="91"/>
  <c r="AH131" i="91"/>
  <c r="AC98" i="91"/>
  <c r="AD98" i="91"/>
  <c r="AE98" i="91"/>
  <c r="AF98" i="91"/>
  <c r="AG98" i="91"/>
  <c r="AH98" i="91"/>
  <c r="AC97" i="91"/>
  <c r="AD97" i="91"/>
  <c r="AE97" i="91"/>
  <c r="AF97" i="91"/>
  <c r="AG97" i="91"/>
  <c r="AH97" i="91"/>
  <c r="AC100" i="91"/>
  <c r="AD100" i="91"/>
  <c r="AE100" i="91"/>
  <c r="AF100" i="91"/>
  <c r="AG100" i="91"/>
  <c r="AH100" i="91"/>
  <c r="AC118" i="91"/>
  <c r="AD118" i="91"/>
  <c r="AE118" i="91"/>
  <c r="AF118" i="91"/>
  <c r="AG118" i="91"/>
  <c r="AH118" i="91"/>
  <c r="AC21" i="91"/>
  <c r="AD21" i="91"/>
  <c r="AE21" i="91"/>
  <c r="AF21" i="91"/>
  <c r="AG21" i="91"/>
  <c r="AH21" i="91"/>
  <c r="AC73" i="91"/>
  <c r="AD73" i="91"/>
  <c r="AE73" i="91"/>
  <c r="AF73" i="91"/>
  <c r="AG73" i="91"/>
  <c r="AH73" i="91"/>
  <c r="AC77" i="91"/>
  <c r="AD77" i="91"/>
  <c r="AE77" i="91"/>
  <c r="AF77" i="91"/>
  <c r="AG77" i="91"/>
  <c r="AH77" i="91"/>
  <c r="AC127" i="91"/>
  <c r="AD127" i="91"/>
  <c r="AE127" i="91"/>
  <c r="AF127" i="91"/>
  <c r="AG127" i="91"/>
  <c r="AH127" i="91"/>
  <c r="AC126" i="91"/>
  <c r="AD126" i="91"/>
  <c r="AE126" i="91"/>
  <c r="AF126" i="91"/>
  <c r="AG126" i="91"/>
  <c r="AH126" i="91"/>
  <c r="AC57" i="91"/>
  <c r="AD57" i="91"/>
  <c r="AE57" i="91"/>
  <c r="AF57" i="91"/>
  <c r="AG57" i="91"/>
  <c r="AH57" i="91"/>
  <c r="AC59" i="91"/>
  <c r="AD59" i="91"/>
  <c r="AE59" i="91"/>
  <c r="AF59" i="91"/>
  <c r="AG59" i="91"/>
  <c r="AH59" i="91"/>
  <c r="AC56" i="91"/>
  <c r="AD56" i="91"/>
  <c r="AE56" i="91"/>
  <c r="AF56" i="91"/>
  <c r="AG56" i="91"/>
  <c r="AH56" i="91"/>
  <c r="AC55" i="91"/>
  <c r="AD55" i="91"/>
  <c r="AE55" i="91"/>
  <c r="AF55" i="91"/>
  <c r="AG55" i="91"/>
  <c r="AH55" i="91"/>
  <c r="AC58" i="91"/>
  <c r="AD58" i="91"/>
  <c r="AE58" i="91"/>
  <c r="AF58" i="91"/>
  <c r="AG58" i="91"/>
  <c r="AH58" i="91"/>
  <c r="AC122" i="91"/>
  <c r="AD122" i="91"/>
  <c r="AE122" i="91"/>
  <c r="AF122" i="91"/>
  <c r="AG122" i="91"/>
  <c r="AH122" i="91"/>
  <c r="AC116" i="91"/>
  <c r="AD116" i="91"/>
  <c r="AE116" i="91"/>
  <c r="AF116" i="91"/>
  <c r="AG116" i="91"/>
  <c r="AH116" i="91"/>
  <c r="AC70" i="91"/>
  <c r="AD70" i="91"/>
  <c r="AE70" i="91"/>
  <c r="AF70" i="91"/>
  <c r="AG70" i="91"/>
  <c r="AH70" i="91"/>
  <c r="AC68" i="91"/>
  <c r="AD68" i="91"/>
  <c r="AE68" i="91"/>
  <c r="AF68" i="91"/>
  <c r="AG68" i="91"/>
  <c r="AH68" i="91"/>
  <c r="AC8" i="91"/>
  <c r="AD8" i="91"/>
  <c r="AE8" i="91"/>
  <c r="AF8" i="91"/>
  <c r="AG8" i="91"/>
  <c r="AH8" i="91"/>
  <c r="AC9" i="91"/>
  <c r="AD9" i="91"/>
  <c r="AE9" i="91"/>
  <c r="AF9" i="91"/>
  <c r="AG9" i="91"/>
  <c r="AH9" i="91"/>
  <c r="AC94" i="91"/>
  <c r="AD94" i="91"/>
  <c r="AE94" i="91"/>
  <c r="AF94" i="91"/>
  <c r="AG94" i="91"/>
  <c r="AH94" i="91"/>
  <c r="AC115" i="91"/>
  <c r="AD115" i="91"/>
  <c r="AE115" i="91"/>
  <c r="AF115" i="91"/>
  <c r="AG115" i="91"/>
  <c r="AH115" i="91"/>
  <c r="AC12" i="91"/>
  <c r="AD12" i="91"/>
  <c r="AE12" i="91"/>
  <c r="AF12" i="91"/>
  <c r="AG12" i="91"/>
  <c r="AH12" i="91"/>
  <c r="AC67" i="91"/>
  <c r="AD67" i="91"/>
  <c r="AE67" i="91"/>
  <c r="AF67" i="91"/>
  <c r="AG67" i="91"/>
  <c r="AH67" i="91"/>
  <c r="AC66" i="91"/>
  <c r="AD66" i="91"/>
  <c r="AE66" i="91"/>
  <c r="AF66" i="91"/>
  <c r="AG66" i="91"/>
  <c r="AH66" i="91"/>
  <c r="AC65" i="91"/>
  <c r="AD65" i="91"/>
  <c r="AE65" i="91"/>
  <c r="AF65" i="91"/>
  <c r="AG65" i="91"/>
  <c r="AH65" i="91"/>
  <c r="AC64" i="91"/>
  <c r="AD64" i="91"/>
  <c r="AE64" i="91"/>
  <c r="AF64" i="91"/>
  <c r="AG64" i="91"/>
  <c r="AH64" i="91"/>
  <c r="AC76" i="91"/>
  <c r="AD76" i="91"/>
  <c r="AE76" i="91"/>
  <c r="AF76" i="91"/>
  <c r="AG76" i="91"/>
  <c r="AH76" i="91"/>
  <c r="AC120" i="91"/>
  <c r="AD120" i="91"/>
  <c r="AE120" i="91"/>
  <c r="AF120" i="91"/>
  <c r="AG120" i="91"/>
  <c r="AH120" i="91"/>
  <c r="AC74" i="91"/>
  <c r="AD74" i="91"/>
  <c r="AE74" i="91"/>
  <c r="AF74" i="91"/>
  <c r="AG74" i="91"/>
  <c r="AH74" i="91"/>
  <c r="AC72" i="91"/>
  <c r="AD72" i="91"/>
  <c r="AE72" i="91"/>
  <c r="AF72" i="91"/>
  <c r="AG72" i="91"/>
  <c r="AH72" i="91"/>
  <c r="AC10" i="91"/>
  <c r="AD10" i="91"/>
  <c r="AE10" i="91"/>
  <c r="AF10" i="91"/>
  <c r="AG10" i="91"/>
  <c r="AH10" i="91"/>
  <c r="AC105" i="91"/>
  <c r="AD105" i="91"/>
  <c r="AE105" i="91"/>
  <c r="AF105" i="91"/>
  <c r="AG105" i="91"/>
  <c r="AH105" i="91"/>
  <c r="AC71" i="91"/>
  <c r="AD71" i="91"/>
  <c r="AE71" i="91"/>
  <c r="AF71" i="91"/>
  <c r="AG71" i="91"/>
  <c r="AH71" i="91"/>
  <c r="AC103" i="91"/>
  <c r="AD103" i="91"/>
  <c r="AE103" i="91"/>
  <c r="AF103" i="91"/>
  <c r="AG103" i="91"/>
  <c r="AH103" i="91"/>
  <c r="AC92" i="91"/>
  <c r="AD92" i="91"/>
  <c r="AE92" i="91"/>
  <c r="AF92" i="91"/>
  <c r="AG92" i="91"/>
  <c r="AH92" i="91"/>
  <c r="AC111" i="91"/>
  <c r="AD111" i="91"/>
  <c r="AE111" i="91"/>
  <c r="AF111" i="91"/>
  <c r="AG111" i="91"/>
  <c r="AH111" i="91"/>
  <c r="AC4" i="91"/>
  <c r="AD4" i="91"/>
  <c r="AE4" i="91"/>
  <c r="AF4" i="91"/>
  <c r="AG4" i="91"/>
  <c r="AH4" i="91"/>
  <c r="AC136" i="91"/>
  <c r="AD136" i="91"/>
  <c r="AE136" i="91"/>
  <c r="AF136" i="91"/>
  <c r="AG136" i="91"/>
  <c r="AH136" i="91"/>
  <c r="AC82" i="91"/>
  <c r="AD82" i="91"/>
  <c r="AE82" i="91"/>
  <c r="AF82" i="91"/>
  <c r="AG82" i="91"/>
  <c r="AH82" i="91"/>
  <c r="AC83" i="91"/>
  <c r="AD83" i="91"/>
  <c r="AE83" i="91"/>
  <c r="AF83" i="91"/>
  <c r="AG83" i="91"/>
  <c r="AH83" i="91"/>
  <c r="AC61" i="91"/>
  <c r="AD61" i="91"/>
  <c r="AE61" i="91"/>
  <c r="AF61" i="91"/>
  <c r="AG61" i="91"/>
  <c r="AH61" i="91"/>
  <c r="AC60" i="91"/>
  <c r="AD60" i="91"/>
  <c r="AE60" i="91"/>
  <c r="AF60" i="91"/>
  <c r="AG60" i="91"/>
  <c r="AH60" i="91"/>
  <c r="AC46" i="91"/>
  <c r="AD46" i="91"/>
  <c r="AE46" i="91"/>
  <c r="AF46" i="91"/>
  <c r="AG46" i="91"/>
  <c r="AH46" i="91"/>
  <c r="AC47" i="91"/>
  <c r="AD47" i="91"/>
  <c r="AE47" i="91"/>
  <c r="AF47" i="91"/>
  <c r="AG47" i="91"/>
  <c r="AH47" i="91"/>
  <c r="AC48" i="91"/>
  <c r="AD48" i="91"/>
  <c r="AE48" i="91"/>
  <c r="AF48" i="91"/>
  <c r="AG48" i="91"/>
  <c r="AH48" i="91"/>
  <c r="AC49" i="91"/>
  <c r="AD49" i="91"/>
  <c r="AE49" i="91"/>
  <c r="AF49" i="91"/>
  <c r="AG49" i="91"/>
  <c r="AH49" i="91"/>
  <c r="AC51" i="91"/>
  <c r="AD51" i="91"/>
  <c r="AE51" i="91"/>
  <c r="AF51" i="91"/>
  <c r="AG51" i="91"/>
  <c r="AH51" i="91"/>
  <c r="AC119" i="91"/>
  <c r="AD119" i="91"/>
  <c r="AE119" i="91"/>
  <c r="AF119" i="91"/>
  <c r="AG119" i="91"/>
  <c r="AH119" i="91"/>
  <c r="AC42" i="91"/>
  <c r="AD42" i="91"/>
  <c r="AE42" i="91"/>
  <c r="AF42" i="91"/>
  <c r="AG42" i="91"/>
  <c r="AH42" i="91"/>
  <c r="AC50" i="91"/>
  <c r="AD50" i="91"/>
  <c r="AE50" i="91"/>
  <c r="AF50" i="91"/>
  <c r="AG50" i="91"/>
  <c r="AH50" i="91"/>
  <c r="AC113" i="91"/>
  <c r="AD113" i="91"/>
  <c r="AE113" i="91"/>
  <c r="AF113" i="91"/>
  <c r="AG113" i="91"/>
  <c r="AH113" i="91"/>
  <c r="AC81" i="91"/>
  <c r="AD81" i="91"/>
  <c r="AE81" i="91"/>
  <c r="AF81" i="91"/>
  <c r="AG81" i="91"/>
  <c r="AH81" i="91"/>
  <c r="AC85" i="91"/>
  <c r="AD85" i="91"/>
  <c r="AE85" i="91"/>
  <c r="AF85" i="91"/>
  <c r="AG85" i="91"/>
  <c r="AH85" i="91"/>
  <c r="AC39" i="91"/>
  <c r="AD39" i="91"/>
  <c r="AE39" i="91"/>
  <c r="AF39" i="91"/>
  <c r="AG39" i="91"/>
  <c r="AH39" i="91"/>
  <c r="AC110" i="91"/>
  <c r="AD110" i="91"/>
  <c r="AE110" i="91"/>
  <c r="AF110" i="91"/>
  <c r="AG110" i="91"/>
  <c r="AH110" i="91"/>
  <c r="AC93" i="91"/>
  <c r="AD93" i="91"/>
  <c r="AE93" i="91"/>
  <c r="AF93" i="91"/>
  <c r="AG93" i="91"/>
  <c r="AH93" i="91"/>
  <c r="AC109" i="91"/>
  <c r="AD109" i="91"/>
  <c r="AE109" i="91"/>
  <c r="AF109" i="91"/>
  <c r="AG109" i="91"/>
  <c r="AH109" i="91"/>
  <c r="AC134" i="91"/>
  <c r="AD134" i="91"/>
  <c r="AE134" i="91"/>
  <c r="AF134" i="91"/>
  <c r="AG134" i="91"/>
  <c r="AH134" i="91"/>
  <c r="AC108" i="91"/>
  <c r="AD108" i="91"/>
  <c r="AE108" i="91"/>
  <c r="AF108" i="91"/>
  <c r="AG108" i="91"/>
  <c r="AH108" i="91"/>
  <c r="AC40" i="91"/>
  <c r="AD40" i="91"/>
  <c r="AE40" i="91"/>
  <c r="AF40" i="91"/>
  <c r="AG40" i="91"/>
  <c r="AH40" i="91"/>
  <c r="AC80" i="91"/>
  <c r="AD80" i="91"/>
  <c r="AE80" i="91"/>
  <c r="AF80" i="91"/>
  <c r="AG80" i="91"/>
  <c r="AH80" i="91"/>
  <c r="AC135" i="91"/>
  <c r="AD135" i="91"/>
  <c r="AE135" i="91"/>
  <c r="AF135" i="91"/>
  <c r="AG135" i="91"/>
  <c r="AH135" i="91"/>
  <c r="AC20" i="91"/>
  <c r="AD20" i="91"/>
  <c r="AE20" i="91"/>
  <c r="AF20" i="91"/>
  <c r="AG20" i="91"/>
  <c r="AH20" i="91"/>
  <c r="AC130" i="91"/>
  <c r="AD130" i="91"/>
  <c r="AE130" i="91"/>
  <c r="AF130" i="91"/>
  <c r="AG130" i="91"/>
  <c r="AH130" i="91"/>
  <c r="AC95" i="91"/>
  <c r="AD95" i="91"/>
  <c r="AE95" i="91"/>
  <c r="AF95" i="91"/>
  <c r="AG95" i="91"/>
  <c r="AH95" i="91"/>
  <c r="AC107" i="91"/>
  <c r="AD107" i="91"/>
  <c r="AE107" i="91"/>
  <c r="AF107" i="91"/>
  <c r="AG107" i="91"/>
  <c r="AH107" i="91"/>
  <c r="AC112" i="91"/>
  <c r="AD112" i="91"/>
  <c r="AE112" i="91"/>
  <c r="AF112" i="91"/>
  <c r="AG112" i="91"/>
  <c r="AH112" i="91"/>
  <c r="AC117" i="91"/>
  <c r="AD117" i="91"/>
  <c r="AE117" i="91"/>
  <c r="AF117" i="91"/>
  <c r="AG117" i="91"/>
  <c r="AH117" i="91"/>
  <c r="AC30" i="91"/>
  <c r="AD30" i="91"/>
  <c r="AE30" i="91"/>
  <c r="AF30" i="91"/>
  <c r="AG30" i="91"/>
  <c r="AH30" i="91"/>
  <c r="AC23" i="91"/>
  <c r="AD23" i="91"/>
  <c r="AE23" i="91"/>
  <c r="AF23" i="91"/>
  <c r="AG23" i="91"/>
  <c r="AH23" i="91"/>
  <c r="AC24" i="91"/>
  <c r="AD24" i="91"/>
  <c r="AE24" i="91"/>
  <c r="AF24" i="91"/>
  <c r="AG24" i="91"/>
  <c r="AH24" i="91"/>
  <c r="AC25" i="91"/>
  <c r="AD25" i="91"/>
  <c r="AE25" i="91"/>
  <c r="AF25" i="91"/>
  <c r="AG25" i="91"/>
  <c r="AH25" i="91"/>
  <c r="AC26" i="91"/>
  <c r="AD26" i="91"/>
  <c r="AE26" i="91"/>
  <c r="AF26" i="91"/>
  <c r="AG26" i="91"/>
  <c r="AH26" i="91"/>
  <c r="AC27" i="91"/>
  <c r="AD27" i="91"/>
  <c r="AE27" i="91"/>
  <c r="AF27" i="91"/>
  <c r="AG27" i="91"/>
  <c r="AH27" i="91"/>
  <c r="AC28" i="91"/>
  <c r="AD28" i="91"/>
  <c r="AE28" i="91"/>
  <c r="AF28" i="91"/>
  <c r="AG28" i="91"/>
  <c r="AH28" i="91"/>
  <c r="AC29" i="91"/>
  <c r="AD29" i="91"/>
  <c r="AE29" i="91"/>
  <c r="AF29" i="91"/>
  <c r="AG29" i="91"/>
  <c r="AH29" i="91"/>
  <c r="AC41" i="91"/>
  <c r="AD41" i="91"/>
  <c r="AE41" i="91"/>
  <c r="AF41" i="91"/>
  <c r="AG41" i="91"/>
  <c r="AH41" i="91"/>
  <c r="AC32" i="91"/>
  <c r="AD32" i="91"/>
  <c r="AE32" i="91"/>
  <c r="AF32" i="91"/>
  <c r="AG32" i="91"/>
  <c r="AH32" i="91"/>
  <c r="AC132" i="91"/>
  <c r="AD132" i="91"/>
  <c r="AE132" i="91"/>
  <c r="AF132" i="91"/>
  <c r="AG132" i="91"/>
  <c r="AH132" i="91"/>
  <c r="AC128" i="91"/>
  <c r="AD128" i="91"/>
  <c r="AE128" i="91"/>
  <c r="AF128" i="91"/>
  <c r="AG128" i="91"/>
  <c r="AH128" i="91"/>
  <c r="AC34" i="91"/>
  <c r="AD34" i="91"/>
  <c r="AE34" i="91"/>
  <c r="AF34" i="91"/>
  <c r="AG34" i="91"/>
  <c r="AH34" i="91"/>
  <c r="AC99" i="91"/>
  <c r="AD99" i="91"/>
  <c r="AE99" i="91"/>
  <c r="AF99" i="91"/>
  <c r="AG99" i="91"/>
  <c r="AH99" i="91"/>
  <c r="AC106" i="91"/>
  <c r="AD106" i="91"/>
  <c r="AE106" i="91"/>
  <c r="AF106" i="91"/>
  <c r="AG106" i="91"/>
  <c r="AH106" i="91"/>
  <c r="AC38" i="91"/>
  <c r="AD38" i="91"/>
  <c r="AE38" i="91"/>
  <c r="AF38" i="91"/>
  <c r="AG38" i="91"/>
  <c r="AH38" i="91"/>
  <c r="AC102" i="91"/>
  <c r="AD102" i="91"/>
  <c r="AE102" i="91"/>
  <c r="AF102" i="91"/>
  <c r="AG102" i="91"/>
  <c r="AH102" i="91"/>
  <c r="AC36" i="91"/>
  <c r="AD36" i="91"/>
  <c r="AE36" i="91"/>
  <c r="AF36" i="91"/>
  <c r="AG36" i="91"/>
  <c r="AH36" i="91"/>
  <c r="AC84" i="91"/>
  <c r="AD84" i="91"/>
  <c r="AE84" i="91"/>
  <c r="AF84" i="91"/>
  <c r="AG84" i="91"/>
  <c r="AH84" i="91"/>
  <c r="AC91" i="91"/>
  <c r="AD91" i="91"/>
  <c r="AE91" i="91"/>
  <c r="AF91" i="91"/>
  <c r="AG91" i="91"/>
  <c r="AH91" i="91"/>
  <c r="AC121" i="91"/>
  <c r="AD121" i="91"/>
  <c r="AE121" i="91"/>
  <c r="AF121" i="91"/>
  <c r="AG121" i="91"/>
  <c r="AH121" i="91"/>
  <c r="AC37" i="91"/>
  <c r="AD37" i="91"/>
  <c r="AE37" i="91"/>
  <c r="AF37" i="91"/>
  <c r="AG37" i="91"/>
  <c r="AH37" i="91"/>
  <c r="AC43" i="91"/>
  <c r="AD43" i="91"/>
  <c r="AE43" i="91"/>
  <c r="AF43" i="91"/>
  <c r="AG43" i="91"/>
  <c r="AH43" i="91"/>
  <c r="AC45" i="91"/>
  <c r="AD45" i="91"/>
  <c r="AE45" i="91"/>
  <c r="AF45" i="91"/>
  <c r="AG45" i="91"/>
  <c r="AH45" i="91"/>
  <c r="AC53" i="91"/>
  <c r="AD53" i="91"/>
  <c r="AE53" i="91"/>
  <c r="AF53" i="91"/>
  <c r="AG53" i="91"/>
  <c r="AH53" i="91"/>
  <c r="AC54" i="91"/>
  <c r="AD54" i="91"/>
  <c r="AE54" i="91"/>
  <c r="AF54" i="91"/>
  <c r="AG54" i="91"/>
  <c r="AH54" i="91"/>
  <c r="AC133" i="91"/>
  <c r="AD133" i="91"/>
  <c r="AE133" i="91"/>
  <c r="AF133" i="91"/>
  <c r="AG133" i="91"/>
  <c r="AH133" i="91"/>
  <c r="AC101" i="91"/>
  <c r="AD101" i="91"/>
  <c r="AE101" i="91"/>
  <c r="AF101" i="91"/>
  <c r="AG101" i="91"/>
  <c r="AH101" i="91"/>
  <c r="AC15" i="91"/>
  <c r="AD15" i="91"/>
  <c r="AE15" i="91"/>
  <c r="AF15" i="91"/>
  <c r="AG15" i="91"/>
  <c r="AH15" i="91"/>
  <c r="AC14" i="91"/>
  <c r="AD14" i="91"/>
  <c r="AE14" i="91"/>
  <c r="AF14" i="91"/>
  <c r="AG14" i="91"/>
  <c r="AH14" i="91"/>
  <c r="AC16" i="91"/>
  <c r="AD16" i="91"/>
  <c r="AE16" i="91"/>
  <c r="AF16" i="91"/>
  <c r="AG16" i="91"/>
  <c r="AH16" i="91"/>
  <c r="AC5" i="91"/>
  <c r="AD5" i="91"/>
  <c r="AE5" i="91"/>
  <c r="AF5" i="91"/>
  <c r="AG5" i="91"/>
  <c r="AH5" i="91"/>
  <c r="AC17" i="91"/>
  <c r="AD17" i="91"/>
  <c r="AE17" i="91"/>
  <c r="AF17" i="91"/>
  <c r="AG17" i="91"/>
  <c r="AH17" i="91"/>
  <c r="AC87" i="91"/>
  <c r="AD87" i="91"/>
  <c r="AE87" i="91"/>
  <c r="AF87" i="91"/>
  <c r="AG87" i="91"/>
  <c r="AH87" i="91"/>
  <c r="AC3" i="91"/>
  <c r="AD3" i="91"/>
  <c r="AE3" i="91"/>
  <c r="AF3" i="91"/>
  <c r="AG3" i="91"/>
  <c r="AH3" i="91"/>
  <c r="AC129" i="91"/>
  <c r="AD129" i="91"/>
  <c r="AE129" i="91"/>
  <c r="AF129" i="91"/>
  <c r="AG129" i="91"/>
  <c r="AH129" i="91"/>
  <c r="AC62" i="91"/>
  <c r="AD62" i="91"/>
  <c r="AE62" i="91"/>
  <c r="AF62" i="91"/>
  <c r="AG62" i="91"/>
  <c r="AH62" i="91"/>
  <c r="AC63" i="91"/>
  <c r="AD63" i="91"/>
  <c r="AE63" i="91"/>
  <c r="AF63" i="91"/>
  <c r="AG63" i="91"/>
  <c r="AH63" i="91"/>
  <c r="AC69" i="91"/>
  <c r="AD69" i="91"/>
  <c r="AE69" i="91"/>
  <c r="AF69" i="91"/>
  <c r="AG69" i="91"/>
  <c r="AH69" i="91"/>
  <c r="AC78" i="91"/>
  <c r="AD78" i="91"/>
  <c r="AE78" i="91"/>
  <c r="AF78" i="91"/>
  <c r="AG78" i="91"/>
  <c r="AH78" i="91"/>
  <c r="AC52" i="91"/>
  <c r="AD52" i="91"/>
  <c r="AE52" i="91"/>
  <c r="AF52" i="91"/>
  <c r="AG52" i="91"/>
  <c r="AH52" i="91"/>
  <c r="AC44" i="91"/>
  <c r="AD44" i="91"/>
  <c r="AE44" i="91"/>
  <c r="AF44" i="91"/>
  <c r="AG44" i="91"/>
  <c r="AH44" i="91"/>
  <c r="AC22" i="91"/>
  <c r="AD22" i="91"/>
  <c r="AE22" i="91"/>
  <c r="AF22" i="91"/>
  <c r="AG22" i="91"/>
  <c r="AH22" i="91"/>
  <c r="AH75" i="91"/>
  <c r="AG75" i="91"/>
  <c r="AF75" i="91"/>
  <c r="AE75" i="91"/>
  <c r="AD75" i="91"/>
  <c r="AC75" i="91"/>
  <c r="E20" i="78" l="1"/>
  <c r="V20" i="95" l="1"/>
  <c r="S20" i="95"/>
  <c r="P20" i="95"/>
  <c r="M20" i="95"/>
  <c r="J20" i="95"/>
  <c r="G20" i="95"/>
  <c r="F20" i="95"/>
  <c r="E20" i="95"/>
  <c r="D20" i="95" l="1"/>
  <c r="V20" i="61"/>
  <c r="S20" i="61"/>
  <c r="P20" i="61"/>
  <c r="M20" i="61"/>
  <c r="J20" i="61"/>
  <c r="G20" i="61"/>
  <c r="F20" i="61"/>
  <c r="D20" i="61" l="1"/>
  <c r="E20" i="96"/>
  <c r="E19" i="96"/>
  <c r="E18" i="96"/>
  <c r="E17" i="96"/>
  <c r="E16" i="96"/>
  <c r="G15" i="96"/>
  <c r="G5" i="96" s="1"/>
  <c r="F15" i="96"/>
  <c r="E14" i="96"/>
  <c r="C24" i="96" s="1"/>
  <c r="E13" i="96"/>
  <c r="C23" i="96" s="1"/>
  <c r="E12" i="96"/>
  <c r="E11" i="96"/>
  <c r="L11" i="96" s="1"/>
  <c r="E10" i="96"/>
  <c r="E9" i="96"/>
  <c r="E8" i="96"/>
  <c r="L8" i="96" s="1"/>
  <c r="E7" i="96"/>
  <c r="L12" i="96" l="1"/>
  <c r="E7" i="100"/>
  <c r="Q3" i="100" s="1"/>
  <c r="L9" i="96"/>
  <c r="L14" i="96"/>
  <c r="L13" i="96"/>
  <c r="L7" i="96"/>
  <c r="E15" i="96"/>
  <c r="F5" i="96"/>
  <c r="E5" i="96" s="1"/>
  <c r="L10" i="96"/>
  <c r="E6" i="96"/>
  <c r="C25" i="96" l="1"/>
  <c r="P9" i="99"/>
  <c r="M9" i="99"/>
  <c r="P10" i="99"/>
  <c r="M10" i="99"/>
  <c r="J9" i="99"/>
  <c r="P8" i="99"/>
  <c r="M8" i="99"/>
  <c r="J8" i="99"/>
  <c r="G8" i="99"/>
  <c r="P7" i="99"/>
  <c r="M7" i="99"/>
  <c r="J7" i="99"/>
  <c r="G7" i="99"/>
  <c r="D7" i="99"/>
  <c r="P6" i="99"/>
  <c r="M6" i="99"/>
  <c r="J6" i="99"/>
  <c r="G6" i="99"/>
  <c r="D6" i="99"/>
  <c r="D30" i="86"/>
  <c r="E30" i="86" s="1"/>
  <c r="D8" i="86" l="1"/>
  <c r="E8" i="86" s="1"/>
  <c r="D9" i="86"/>
  <c r="E9" i="86" s="1"/>
  <c r="D10" i="86"/>
  <c r="E10" i="86" s="1"/>
  <c r="D11" i="86"/>
  <c r="E11" i="86" s="1"/>
  <c r="D12" i="86"/>
  <c r="E12" i="86" s="1"/>
  <c r="D13" i="86"/>
  <c r="E13" i="86" s="1"/>
  <c r="D14" i="86"/>
  <c r="E14" i="86" s="1"/>
  <c r="D15" i="86"/>
  <c r="E15" i="86" s="1"/>
  <c r="D16" i="86"/>
  <c r="E16" i="86" s="1"/>
  <c r="D17" i="86"/>
  <c r="E17" i="86" s="1"/>
  <c r="D18" i="86"/>
  <c r="E18" i="86" s="1"/>
  <c r="D19" i="86"/>
  <c r="E19" i="86" s="1"/>
  <c r="D20" i="86"/>
  <c r="E20" i="86" s="1"/>
  <c r="D21" i="86"/>
  <c r="E21" i="86" s="1"/>
  <c r="D22" i="86"/>
  <c r="E22" i="86" s="1"/>
  <c r="D23" i="86"/>
  <c r="E23" i="86" s="1"/>
  <c r="D24" i="86"/>
  <c r="E24" i="86" s="1"/>
  <c r="D25" i="86"/>
  <c r="E25" i="86" s="1"/>
  <c r="D26" i="86"/>
  <c r="E26" i="86" s="1"/>
  <c r="D27" i="86"/>
  <c r="E27" i="86" s="1"/>
  <c r="D28" i="86"/>
  <c r="E28" i="86" s="1"/>
  <c r="D29" i="86"/>
  <c r="E29" i="86" s="1"/>
  <c r="E59" i="77" l="1"/>
  <c r="D59" i="77" s="1"/>
  <c r="C65" i="77" s="1"/>
  <c r="E33" i="78" l="1"/>
  <c r="E32" i="78"/>
  <c r="E31" i="78"/>
  <c r="E30" i="78"/>
  <c r="E29" i="78"/>
  <c r="E28" i="78"/>
  <c r="E27" i="78"/>
  <c r="E26" i="78"/>
  <c r="E25" i="78"/>
  <c r="E24" i="78"/>
  <c r="E22" i="78"/>
  <c r="E21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E17" i="77" l="1"/>
  <c r="E18" i="77"/>
  <c r="D7" i="78" s="1"/>
  <c r="E19" i="77"/>
  <c r="D8" i="78" s="1"/>
  <c r="E20" i="77"/>
  <c r="D9" i="78" s="1"/>
  <c r="E21" i="77"/>
  <c r="D10" i="78" s="1"/>
  <c r="E22" i="77"/>
  <c r="D11" i="78" s="1"/>
  <c r="E23" i="77"/>
  <c r="D12" i="78" s="1"/>
  <c r="E24" i="77"/>
  <c r="D13" i="78" s="1"/>
  <c r="E58" i="77"/>
  <c r="E57" i="77"/>
  <c r="E56" i="77"/>
  <c r="E55" i="77"/>
  <c r="E54" i="77"/>
  <c r="E53" i="77"/>
  <c r="E52" i="77"/>
  <c r="E51" i="77"/>
  <c r="E50" i="77"/>
  <c r="E49" i="77"/>
  <c r="E48" i="77"/>
  <c r="E47" i="77"/>
  <c r="E46" i="77"/>
  <c r="E44" i="77"/>
  <c r="D33" i="78" s="1"/>
  <c r="E43" i="77"/>
  <c r="D32" i="78" s="1"/>
  <c r="E42" i="77"/>
  <c r="D31" i="78" s="1"/>
  <c r="E41" i="77"/>
  <c r="D30" i="78" s="1"/>
  <c r="E40" i="77"/>
  <c r="E39" i="77"/>
  <c r="D28" i="78" s="1"/>
  <c r="E38" i="77"/>
  <c r="D27" i="78" s="1"/>
  <c r="E37" i="77"/>
  <c r="D26" i="78" s="1"/>
  <c r="E36" i="77"/>
  <c r="D25" i="78" s="1"/>
  <c r="E35" i="77"/>
  <c r="D24" i="78" s="1"/>
  <c r="E33" i="77"/>
  <c r="D22" i="78" s="1"/>
  <c r="E32" i="77"/>
  <c r="D21" i="78" s="1"/>
  <c r="E31" i="77"/>
  <c r="D20" i="78" s="1"/>
  <c r="E30" i="77"/>
  <c r="D19" i="78" s="1"/>
  <c r="E29" i="77"/>
  <c r="D18" i="78" s="1"/>
  <c r="E28" i="77"/>
  <c r="D17" i="78" s="1"/>
  <c r="E27" i="77"/>
  <c r="D16" i="78" s="1"/>
  <c r="E26" i="77"/>
  <c r="D15" i="78" s="1"/>
  <c r="E25" i="77"/>
  <c r="D14" i="78" s="1"/>
  <c r="E15" i="77"/>
  <c r="E14" i="77"/>
  <c r="E13" i="77"/>
  <c r="E12" i="77"/>
  <c r="E10" i="77"/>
  <c r="E9" i="77"/>
  <c r="E8" i="77"/>
  <c r="E7" i="77"/>
  <c r="D29" i="78" l="1"/>
  <c r="E34" i="78"/>
  <c r="E35" i="78" s="1"/>
  <c r="D6" i="78"/>
  <c r="F31" i="86"/>
  <c r="D31" i="86"/>
  <c r="E31" i="86" s="1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7" i="86"/>
  <c r="E7" i="86" s="1"/>
  <c r="F6" i="86"/>
  <c r="D6" i="86"/>
  <c r="G5" i="86"/>
  <c r="H5" i="86" s="1"/>
  <c r="H16" i="86" l="1"/>
  <c r="H13" i="86"/>
  <c r="H9" i="86"/>
  <c r="F5" i="77" l="1"/>
  <c r="D14" i="96" l="1"/>
  <c r="C22" i="96" s="1"/>
  <c r="D13" i="96"/>
  <c r="C21" i="96" s="1"/>
  <c r="V13" i="92" l="1"/>
  <c r="S13" i="92"/>
  <c r="P13" i="92"/>
  <c r="M13" i="92"/>
  <c r="J13" i="92"/>
  <c r="G13" i="92"/>
  <c r="F13" i="92"/>
  <c r="E13" i="92"/>
  <c r="V12" i="92"/>
  <c r="S12" i="92"/>
  <c r="P12" i="92"/>
  <c r="M12" i="92"/>
  <c r="J12" i="92"/>
  <c r="G12" i="92"/>
  <c r="F12" i="92"/>
  <c r="E12" i="92"/>
  <c r="V11" i="92"/>
  <c r="S11" i="92"/>
  <c r="P11" i="92"/>
  <c r="M11" i="92"/>
  <c r="J11" i="92"/>
  <c r="G11" i="92"/>
  <c r="F11" i="92"/>
  <c r="E11" i="92"/>
  <c r="V10" i="92"/>
  <c r="S10" i="92"/>
  <c r="P10" i="92"/>
  <c r="M10" i="92"/>
  <c r="J10" i="92"/>
  <c r="G10" i="92"/>
  <c r="F10" i="92"/>
  <c r="E10" i="92"/>
  <c r="D10" i="92" s="1"/>
  <c r="D11" i="92" l="1"/>
  <c r="D12" i="92"/>
  <c r="D13" i="92"/>
  <c r="G5" i="78" l="1"/>
  <c r="E16" i="77"/>
  <c r="V19" i="95" l="1"/>
  <c r="S19" i="95"/>
  <c r="P19" i="95"/>
  <c r="F19" i="95"/>
  <c r="E19" i="95"/>
  <c r="V18" i="95"/>
  <c r="S18" i="95"/>
  <c r="P18" i="95"/>
  <c r="F18" i="95"/>
  <c r="E18" i="95"/>
  <c r="V17" i="95"/>
  <c r="S17" i="95"/>
  <c r="P17" i="95"/>
  <c r="M17" i="95"/>
  <c r="J17" i="95"/>
  <c r="G17" i="95"/>
  <c r="F17" i="95"/>
  <c r="E17" i="95"/>
  <c r="V16" i="95"/>
  <c r="S16" i="95"/>
  <c r="P16" i="95"/>
  <c r="M16" i="95"/>
  <c r="J16" i="95"/>
  <c r="G16" i="95"/>
  <c r="F16" i="95"/>
  <c r="E16" i="95"/>
  <c r="V15" i="95"/>
  <c r="S15" i="95"/>
  <c r="P15" i="95"/>
  <c r="M15" i="95"/>
  <c r="J15" i="95"/>
  <c r="G15" i="95"/>
  <c r="F15" i="95"/>
  <c r="E15" i="95"/>
  <c r="V14" i="95"/>
  <c r="S14" i="95"/>
  <c r="P14" i="95"/>
  <c r="M14" i="95"/>
  <c r="J14" i="95"/>
  <c r="G14" i="95"/>
  <c r="F14" i="95"/>
  <c r="E14" i="95"/>
  <c r="V13" i="95"/>
  <c r="S13" i="95"/>
  <c r="P13" i="95"/>
  <c r="M13" i="95"/>
  <c r="J13" i="95"/>
  <c r="G13" i="95"/>
  <c r="F13" i="95"/>
  <c r="E13" i="95"/>
  <c r="V12" i="95"/>
  <c r="S12" i="95"/>
  <c r="P12" i="95"/>
  <c r="M12" i="95"/>
  <c r="J12" i="95"/>
  <c r="G12" i="95"/>
  <c r="F12" i="95"/>
  <c r="E12" i="95"/>
  <c r="V11" i="95"/>
  <c r="S11" i="95"/>
  <c r="P11" i="95"/>
  <c r="M11" i="95"/>
  <c r="J11" i="95"/>
  <c r="G11" i="95"/>
  <c r="F11" i="95"/>
  <c r="E11" i="95"/>
  <c r="V10" i="95"/>
  <c r="S10" i="95"/>
  <c r="P10" i="95"/>
  <c r="M10" i="95"/>
  <c r="J10" i="95"/>
  <c r="G10" i="95"/>
  <c r="F10" i="95"/>
  <c r="E10" i="95"/>
  <c r="M9" i="95"/>
  <c r="J9" i="95"/>
  <c r="G9" i="95"/>
  <c r="F9" i="95"/>
  <c r="E9" i="95"/>
  <c r="V8" i="95"/>
  <c r="S8" i="95"/>
  <c r="P8" i="95"/>
  <c r="M8" i="95"/>
  <c r="J8" i="95"/>
  <c r="G8" i="95"/>
  <c r="F8" i="95"/>
  <c r="E8" i="95"/>
  <c r="V7" i="95"/>
  <c r="S7" i="95"/>
  <c r="P7" i="95"/>
  <c r="M7" i="95"/>
  <c r="J7" i="95"/>
  <c r="G7" i="95"/>
  <c r="F7" i="95"/>
  <c r="E7" i="95"/>
  <c r="V6" i="95"/>
  <c r="S6" i="95"/>
  <c r="P6" i="95"/>
  <c r="M6" i="95"/>
  <c r="J6" i="95"/>
  <c r="G6" i="95"/>
  <c r="F6" i="95"/>
  <c r="E6" i="95"/>
  <c r="D7" i="95" l="1"/>
  <c r="D14" i="95"/>
  <c r="D19" i="95"/>
  <c r="D16" i="95"/>
  <c r="D18" i="95"/>
  <c r="D17" i="95"/>
  <c r="D12" i="95"/>
  <c r="D11" i="95"/>
  <c r="D10" i="95"/>
  <c r="D8" i="95"/>
  <c r="D13" i="95"/>
  <c r="D9" i="95"/>
  <c r="D15" i="95"/>
  <c r="D21" i="95" s="1"/>
  <c r="G24" i="95" s="1"/>
  <c r="D6" i="95"/>
  <c r="V14" i="61" l="1"/>
  <c r="S14" i="61"/>
  <c r="P14" i="61"/>
  <c r="M14" i="61"/>
  <c r="J14" i="61"/>
  <c r="G14" i="61"/>
  <c r="F14" i="61"/>
  <c r="E14" i="61"/>
  <c r="V13" i="61"/>
  <c r="S13" i="61"/>
  <c r="P13" i="61"/>
  <c r="M13" i="61"/>
  <c r="J13" i="61"/>
  <c r="G13" i="61"/>
  <c r="F13" i="61"/>
  <c r="E13" i="61"/>
  <c r="V12" i="61"/>
  <c r="S12" i="61"/>
  <c r="P12" i="61"/>
  <c r="M12" i="61"/>
  <c r="J12" i="61"/>
  <c r="G12" i="61"/>
  <c r="F12" i="61"/>
  <c r="E12" i="61"/>
  <c r="V11" i="61"/>
  <c r="S11" i="61"/>
  <c r="P11" i="61"/>
  <c r="M11" i="61"/>
  <c r="J11" i="61"/>
  <c r="G11" i="61"/>
  <c r="F11" i="61"/>
  <c r="E11" i="61"/>
  <c r="V10" i="61"/>
  <c r="S10" i="61"/>
  <c r="P10" i="61"/>
  <c r="M10" i="61"/>
  <c r="J10" i="61"/>
  <c r="G10" i="61"/>
  <c r="F10" i="61"/>
  <c r="E10" i="61"/>
  <c r="M9" i="61"/>
  <c r="J9" i="61"/>
  <c r="G9" i="61"/>
  <c r="F9" i="61"/>
  <c r="E9" i="61"/>
  <c r="V8" i="61"/>
  <c r="S8" i="61"/>
  <c r="P8" i="61"/>
  <c r="M8" i="61"/>
  <c r="J8" i="61"/>
  <c r="G8" i="61"/>
  <c r="F8" i="61"/>
  <c r="E8" i="61"/>
  <c r="V7" i="61"/>
  <c r="S7" i="61"/>
  <c r="P7" i="61"/>
  <c r="M7" i="61"/>
  <c r="J7" i="61"/>
  <c r="G7" i="61"/>
  <c r="F7" i="61"/>
  <c r="E7" i="61"/>
  <c r="I16" i="96" l="1"/>
  <c r="D12" i="61"/>
  <c r="D14" i="61"/>
  <c r="D10" i="61"/>
  <c r="D13" i="61"/>
  <c r="D7" i="61"/>
  <c r="D11" i="61"/>
  <c r="D9" i="61"/>
  <c r="D8" i="61"/>
  <c r="D12" i="90" l="1"/>
  <c r="D11" i="90"/>
  <c r="D10" i="90"/>
  <c r="D9" i="90"/>
  <c r="D8" i="90"/>
  <c r="D7" i="90"/>
  <c r="V20" i="92" l="1"/>
  <c r="S20" i="92"/>
  <c r="P20" i="92"/>
  <c r="M20" i="92"/>
  <c r="J20" i="92"/>
  <c r="G20" i="92"/>
  <c r="F20" i="92"/>
  <c r="E20" i="92"/>
  <c r="V19" i="92"/>
  <c r="S19" i="92"/>
  <c r="P19" i="92"/>
  <c r="M19" i="92"/>
  <c r="J19" i="92"/>
  <c r="G19" i="92"/>
  <c r="F19" i="92"/>
  <c r="E19" i="92"/>
  <c r="V18" i="92"/>
  <c r="S18" i="92"/>
  <c r="P18" i="92"/>
  <c r="M18" i="92"/>
  <c r="J18" i="92"/>
  <c r="G18" i="92"/>
  <c r="F18" i="92"/>
  <c r="E18" i="92"/>
  <c r="V17" i="92"/>
  <c r="S17" i="92"/>
  <c r="P17" i="92"/>
  <c r="M17" i="92"/>
  <c r="J17" i="92"/>
  <c r="G17" i="92"/>
  <c r="F17" i="92"/>
  <c r="E17" i="92"/>
  <c r="V16" i="92"/>
  <c r="S16" i="92"/>
  <c r="P16" i="92"/>
  <c r="M16" i="92"/>
  <c r="J16" i="92"/>
  <c r="G16" i="92"/>
  <c r="F16" i="92"/>
  <c r="E16" i="92"/>
  <c r="V15" i="92"/>
  <c r="S15" i="92"/>
  <c r="P15" i="92"/>
  <c r="M15" i="92"/>
  <c r="J15" i="92"/>
  <c r="G15" i="92"/>
  <c r="F15" i="92"/>
  <c r="E15" i="92"/>
  <c r="V9" i="92"/>
  <c r="S9" i="92"/>
  <c r="P9" i="92"/>
  <c r="M9" i="92"/>
  <c r="J9" i="92"/>
  <c r="G9" i="92"/>
  <c r="F9" i="92"/>
  <c r="E9" i="92"/>
  <c r="V8" i="92"/>
  <c r="S8" i="92"/>
  <c r="P8" i="92"/>
  <c r="M8" i="92"/>
  <c r="J8" i="92"/>
  <c r="G8" i="92"/>
  <c r="F8" i="92"/>
  <c r="E8" i="92"/>
  <c r="V7" i="92"/>
  <c r="S7" i="92"/>
  <c r="P7" i="92"/>
  <c r="M7" i="92"/>
  <c r="J7" i="92"/>
  <c r="G7" i="92"/>
  <c r="F7" i="92"/>
  <c r="E7" i="92"/>
  <c r="V6" i="92"/>
  <c r="S6" i="92"/>
  <c r="P6" i="92"/>
  <c r="M6" i="92"/>
  <c r="J6" i="92"/>
  <c r="G6" i="92"/>
  <c r="F6" i="92"/>
  <c r="E6" i="92"/>
  <c r="V5" i="92"/>
  <c r="S5" i="92"/>
  <c r="P5" i="92"/>
  <c r="M5" i="92"/>
  <c r="J5" i="92"/>
  <c r="G5" i="92"/>
  <c r="F5" i="92"/>
  <c r="E5" i="92"/>
  <c r="D16" i="92" l="1"/>
  <c r="D19" i="92"/>
  <c r="D17" i="92"/>
  <c r="D5" i="92"/>
  <c r="D6" i="92"/>
  <c r="D18" i="92"/>
  <c r="D8" i="92"/>
  <c r="D9" i="92"/>
  <c r="D15" i="92"/>
  <c r="D20" i="92"/>
  <c r="D7" i="92"/>
  <c r="G6" i="90"/>
  <c r="E6" i="90"/>
  <c r="D7" i="12" l="1"/>
  <c r="H12" i="90" l="1"/>
  <c r="F10" i="90"/>
  <c r="H11" i="90"/>
  <c r="F9" i="90"/>
  <c r="H10" i="90"/>
  <c r="F8" i="90"/>
  <c r="H9" i="90"/>
  <c r="F7" i="90"/>
  <c r="H8" i="90"/>
  <c r="H7" i="90"/>
  <c r="F12" i="90"/>
  <c r="F11" i="90"/>
  <c r="E22" i="12"/>
  <c r="E24" i="12"/>
  <c r="E23" i="12"/>
  <c r="G14" i="12"/>
  <c r="D12" i="12" s="1"/>
  <c r="D13" i="12" s="1"/>
  <c r="D18" i="12"/>
  <c r="D15" i="12"/>
  <c r="D10" i="12"/>
  <c r="D14" i="12"/>
  <c r="D9" i="12"/>
  <c r="D19" i="12"/>
  <c r="D17" i="12"/>
  <c r="D6" i="12"/>
  <c r="F5" i="12" s="1"/>
  <c r="D11" i="12"/>
  <c r="D27" i="12"/>
  <c r="V18" i="61" l="1"/>
  <c r="V17" i="61"/>
  <c r="V16" i="61"/>
  <c r="V15" i="61"/>
  <c r="V6" i="61"/>
  <c r="S18" i="61"/>
  <c r="S17" i="61"/>
  <c r="S16" i="61"/>
  <c r="S15" i="61"/>
  <c r="S6" i="61"/>
  <c r="P18" i="61"/>
  <c r="P17" i="61"/>
  <c r="P16" i="61"/>
  <c r="P15" i="61"/>
  <c r="P6" i="61"/>
  <c r="M18" i="61"/>
  <c r="M17" i="61"/>
  <c r="M16" i="61"/>
  <c r="M15" i="61"/>
  <c r="M6" i="61"/>
  <c r="J18" i="61"/>
  <c r="J17" i="61"/>
  <c r="J16" i="61"/>
  <c r="J15" i="61"/>
  <c r="J6" i="61"/>
  <c r="G15" i="61"/>
  <c r="G16" i="61"/>
  <c r="G17" i="61"/>
  <c r="G18" i="61"/>
  <c r="E13" i="90" l="1"/>
  <c r="G13" i="90"/>
  <c r="D6" i="90"/>
  <c r="M23" i="78"/>
  <c r="L23" i="78"/>
  <c r="K23" i="78"/>
  <c r="J23" i="78"/>
  <c r="I23" i="78"/>
  <c r="H23" i="78"/>
  <c r="G23" i="78"/>
  <c r="G4" i="78" s="1"/>
  <c r="F23" i="78"/>
  <c r="M5" i="78"/>
  <c r="L5" i="78"/>
  <c r="K5" i="78"/>
  <c r="J5" i="78"/>
  <c r="I5" i="78"/>
  <c r="H5" i="78"/>
  <c r="F5" i="78"/>
  <c r="G45" i="77"/>
  <c r="F45" i="77"/>
  <c r="G11" i="77"/>
  <c r="F11" i="77"/>
  <c r="E6" i="77"/>
  <c r="G5" i="77"/>
  <c r="G34" i="77"/>
  <c r="F34" i="77"/>
  <c r="F9" i="76"/>
  <c r="D45" i="77" s="1"/>
  <c r="F8" i="76"/>
  <c r="F7" i="76"/>
  <c r="F6" i="76"/>
  <c r="D11" i="77" s="1"/>
  <c r="F5" i="76"/>
  <c r="H4" i="76"/>
  <c r="G4" i="76"/>
  <c r="C14" i="90" l="1"/>
  <c r="I8" i="76"/>
  <c r="D34" i="77"/>
  <c r="D16" i="77"/>
  <c r="E7" i="76"/>
  <c r="L4" i="78"/>
  <c r="K4" i="78"/>
  <c r="H4" i="78"/>
  <c r="E45" i="77"/>
  <c r="E9" i="76" s="1"/>
  <c r="E34" i="77"/>
  <c r="E8" i="76" s="1"/>
  <c r="I4" i="78"/>
  <c r="E11" i="77"/>
  <c r="E6" i="76" s="1"/>
  <c r="E23" i="78"/>
  <c r="E5" i="78"/>
  <c r="M4" i="78"/>
  <c r="F4" i="78"/>
  <c r="J4" i="78"/>
  <c r="F4" i="76"/>
  <c r="F4" i="77"/>
  <c r="G4" i="77"/>
  <c r="E5" i="77"/>
  <c r="E5" i="76" s="1"/>
  <c r="C11" i="76" s="1"/>
  <c r="D5" i="77" l="1"/>
  <c r="C62" i="77" s="1"/>
  <c r="E4" i="78"/>
  <c r="E4" i="77"/>
  <c r="D4" i="77" s="1"/>
  <c r="C61" i="77" s="1"/>
  <c r="F18" i="61" l="1"/>
  <c r="D18" i="61" s="1"/>
  <c r="F17" i="61"/>
  <c r="F16" i="61"/>
  <c r="E16" i="61"/>
  <c r="F15" i="61"/>
  <c r="E15" i="61"/>
  <c r="D16" i="61" l="1"/>
  <c r="D15" i="61"/>
  <c r="D17" i="61"/>
  <c r="G6" i="61" l="1"/>
  <c r="F6" i="61"/>
  <c r="F22" i="61" s="1"/>
  <c r="E6" i="61"/>
  <c r="E22" i="61" s="1"/>
  <c r="D23" i="61" l="1"/>
  <c r="D6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tc={DED4ADB6-524A-430F-9F90-1143F2E97C45}</author>
    <author>tc={359D4443-8FDD-4CC9-A1FD-3713F1598219}</author>
  </authors>
  <commentList>
    <comment ref="AA79" authorId="0" shapeId="0" xr:uid="{DED4ADB6-524A-430F-9F90-1143F2E97C4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00910 cerrado</t>
      </text>
    </comment>
    <comment ref="AA82" authorId="1" shapeId="0" xr:uid="{359D4443-8FDD-4CC9-A1FD-3713F1598219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00909 cerrado
</t>
      </text>
    </comment>
  </commentList>
</comments>
</file>

<file path=xl/sharedStrings.xml><?xml version="1.0" encoding="utf-8"?>
<sst xmlns="http://schemas.openxmlformats.org/spreadsheetml/2006/main" count="7041" uniqueCount="2640">
  <si>
    <t>Total</t>
  </si>
  <si>
    <t>Código Secuencial: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</si>
  <si>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</si>
  <si>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</si>
  <si>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</si>
  <si>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</si>
  <si>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</si>
  <si>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</si>
  <si>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</si>
  <si>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</si>
  <si>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</si>
  <si>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</si>
  <si>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</si>
  <si>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</si>
  <si>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</si>
  <si>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</si>
  <si>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</si>
  <si>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</si>
  <si>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Francés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</si>
  <si>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</si>
  <si>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</si>
  <si>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</si>
  <si>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</si>
  <si>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</si>
  <si>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</si>
  <si>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</si>
  <si>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</si>
  <si>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</si>
  <si>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</si>
  <si>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</si>
  <si>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</si>
  <si>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</si>
  <si>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</si>
  <si>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</si>
  <si>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</si>
  <si>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</si>
  <si>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</si>
  <si>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</si>
  <si>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</si>
  <si>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</si>
  <si>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</si>
  <si>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</si>
  <si>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</si>
  <si>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SAN MIGUEL</t>
  </si>
  <si>
    <t>3</t>
  </si>
  <si>
    <t>CRISTO REY</t>
  </si>
  <si>
    <t>LOS ANGELES</t>
  </si>
  <si>
    <t>OCCIDENTE</t>
  </si>
  <si>
    <t>ALAJUELA</t>
  </si>
  <si>
    <t>7</t>
  </si>
  <si>
    <t>18</t>
  </si>
  <si>
    <t>SAN JOSECITO</t>
  </si>
  <si>
    <t>COTO</t>
  </si>
  <si>
    <t>6</t>
  </si>
  <si>
    <t>PUNTARENAS</t>
  </si>
  <si>
    <t>PUERTO JIMENEZ</t>
  </si>
  <si>
    <t>CORAZON DE JESUS</t>
  </si>
  <si>
    <t>SAN RAFAEL</t>
  </si>
  <si>
    <t>SABANA SUR</t>
  </si>
  <si>
    <t>UPALA</t>
  </si>
  <si>
    <t>15</t>
  </si>
  <si>
    <t>SARAPIQUI</t>
  </si>
  <si>
    <t>4</t>
  </si>
  <si>
    <t>HEREDIA</t>
  </si>
  <si>
    <t>SAN CARLOS</t>
  </si>
  <si>
    <t>14</t>
  </si>
  <si>
    <t>LOS CHILES</t>
  </si>
  <si>
    <t>SANTA CRUZ</t>
  </si>
  <si>
    <t>5</t>
  </si>
  <si>
    <t>CARTAGO</t>
  </si>
  <si>
    <t>EL LLANO</t>
  </si>
  <si>
    <t>HATILLO CENTRO</t>
  </si>
  <si>
    <t>SAN RAFAEL ABAJO</t>
  </si>
  <si>
    <t>MONTERREY</t>
  </si>
  <si>
    <t>PURISCAL</t>
  </si>
  <si>
    <t>EL CARMEN</t>
  </si>
  <si>
    <t>SAN JERONIMO</t>
  </si>
  <si>
    <t>LA LUCHA</t>
  </si>
  <si>
    <t>00147</t>
  </si>
  <si>
    <t>CORRALILLO</t>
  </si>
  <si>
    <t>SANTA ELENA</t>
  </si>
  <si>
    <t>00182</t>
  </si>
  <si>
    <t>SALITRILLOS</t>
  </si>
  <si>
    <t>LOS SANTOS</t>
  </si>
  <si>
    <t>GUADALUPE</t>
  </si>
  <si>
    <t>00216</t>
  </si>
  <si>
    <t>DULCE NOMBRE</t>
  </si>
  <si>
    <t>SAN PEDRO</t>
  </si>
  <si>
    <t>PALMICHAL</t>
  </si>
  <si>
    <t>SAN IGNACIO</t>
  </si>
  <si>
    <t>00272</t>
  </si>
  <si>
    <t>00282</t>
  </si>
  <si>
    <t>00283</t>
  </si>
  <si>
    <t>00285</t>
  </si>
  <si>
    <t>SABANILLA</t>
  </si>
  <si>
    <t>00291</t>
  </si>
  <si>
    <t>BELLA VISTA</t>
  </si>
  <si>
    <t>MERCEDES NORTE</t>
  </si>
  <si>
    <t>LIBERIA</t>
  </si>
  <si>
    <t>16</t>
  </si>
  <si>
    <t>SAN MARTIN</t>
  </si>
  <si>
    <t>COLON</t>
  </si>
  <si>
    <t>SAN PABLO</t>
  </si>
  <si>
    <t>PEREZ ZELEDON</t>
  </si>
  <si>
    <t>19</t>
  </si>
  <si>
    <t>00414</t>
  </si>
  <si>
    <t>SANTA ROSA</t>
  </si>
  <si>
    <t>00433</t>
  </si>
  <si>
    <t>CONTIGUO AL SALON COMUNAL</t>
  </si>
  <si>
    <t>LA RIBERA</t>
  </si>
  <si>
    <t>AGUIRRE</t>
  </si>
  <si>
    <t>SAN LORENZO</t>
  </si>
  <si>
    <t>LA SUIZA</t>
  </si>
  <si>
    <t>00628</t>
  </si>
  <si>
    <t>CAÑAS</t>
  </si>
  <si>
    <t>PALMIRA</t>
  </si>
  <si>
    <t>CANOAS</t>
  </si>
  <si>
    <t>00741</t>
  </si>
  <si>
    <t>00742</t>
  </si>
  <si>
    <t>00818</t>
  </si>
  <si>
    <t>00837</t>
  </si>
  <si>
    <t>SAN MATEO</t>
  </si>
  <si>
    <t>00826</t>
  </si>
  <si>
    <t>JACO</t>
  </si>
  <si>
    <t>00843</t>
  </si>
  <si>
    <t>ATENAS</t>
  </si>
  <si>
    <t>SANTA EULALIA</t>
  </si>
  <si>
    <t>00896</t>
  </si>
  <si>
    <t>PIEDADES SUR</t>
  </si>
  <si>
    <t>SANTA CLARA</t>
  </si>
  <si>
    <t>AGUAS ZARCAS</t>
  </si>
  <si>
    <t>PITAL</t>
  </si>
  <si>
    <t>FORTUNA</t>
  </si>
  <si>
    <t>SAN DIEGO</t>
  </si>
  <si>
    <t>SANTA MARIA</t>
  </si>
  <si>
    <t>SAN VITO</t>
  </si>
  <si>
    <t>SANTA LUCIA</t>
  </si>
  <si>
    <t>COBANO</t>
  </si>
  <si>
    <t>GUAPILES</t>
  </si>
  <si>
    <t>PUERTO VIEJO</t>
  </si>
  <si>
    <t>20</t>
  </si>
  <si>
    <t>17</t>
  </si>
  <si>
    <t>LA CUESTA</t>
  </si>
  <si>
    <t>QUEBRADILLA</t>
  </si>
  <si>
    <t>AGUA CALIENTE</t>
  </si>
  <si>
    <t>PACAYAS</t>
  </si>
  <si>
    <t>BARRIO EL CARMEN</t>
  </si>
  <si>
    <t>TURRIALBA</t>
  </si>
  <si>
    <t>ULLOA</t>
  </si>
  <si>
    <t>NICOYA</t>
  </si>
  <si>
    <t>CARMONA</t>
  </si>
  <si>
    <t>CARTAGENA</t>
  </si>
  <si>
    <t>PENINSULAR</t>
  </si>
  <si>
    <t>SARDINAL</t>
  </si>
  <si>
    <t>TRONADORA</t>
  </si>
  <si>
    <t>PAQUERA</t>
  </si>
  <si>
    <t>BATAN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</si>
  <si>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</si>
  <si>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</si>
  <si>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</si>
  <si>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</si>
  <si>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</si>
  <si>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</si>
  <si>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</si>
  <si>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</si>
  <si>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</si>
  <si>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</si>
  <si>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</si>
  <si>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</si>
  <si>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</si>
  <si>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</si>
  <si>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</si>
  <si>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</si>
  <si>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00570</t>
  </si>
  <si>
    <t>21</t>
  </si>
  <si>
    <t>22</t>
  </si>
  <si>
    <t>23</t>
  </si>
  <si>
    <t>24</t>
  </si>
  <si>
    <t>25</t>
  </si>
  <si>
    <t>26</t>
  </si>
  <si>
    <t>27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</si>
  <si>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</si>
  <si>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</si>
  <si>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</si>
  <si>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</si>
  <si>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</si>
  <si>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</si>
  <si>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</si>
  <si>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</si>
  <si>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</si>
  <si>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</si>
  <si>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</si>
  <si>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</si>
  <si>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</si>
  <si>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</si>
  <si>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</si>
  <si>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</si>
  <si>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</si>
  <si>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</si>
  <si>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</si>
  <si>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</si>
  <si>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</si>
  <si>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</si>
  <si>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</si>
  <si>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</si>
  <si>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</si>
  <si>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</si>
  <si>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</si>
  <si>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</si>
  <si>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</si>
  <si>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</si>
  <si>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</si>
  <si>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</si>
  <si>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</si>
  <si>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</si>
  <si>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</si>
  <si>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</si>
  <si>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</si>
  <si>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</si>
  <si>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</si>
  <si>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</si>
  <si>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</si>
  <si>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</si>
  <si>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</si>
  <si>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</si>
  <si>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</si>
  <si>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</si>
  <si>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</si>
  <si>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</si>
  <si>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</si>
  <si>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</si>
  <si>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</si>
  <si>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</si>
  <si>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</si>
  <si>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</si>
  <si>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</si>
  <si>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</si>
  <si>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</si>
  <si>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</si>
  <si>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</si>
  <si>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</si>
  <si>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</si>
  <si>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</si>
  <si>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</si>
  <si>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</si>
  <si>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</si>
  <si>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</si>
  <si>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</si>
  <si>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</si>
  <si>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</si>
  <si>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</si>
  <si>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</si>
  <si>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</si>
  <si>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</si>
  <si>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</si>
  <si>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El o los Servicios Sanitarios están conectados a:</t>
  </si>
  <si>
    <t>Correo Electrónico de la Institución:</t>
  </si>
  <si>
    <t>PRIVADA</t>
  </si>
  <si>
    <t>Sicólogo</t>
  </si>
  <si>
    <t>Sociólogo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</si>
  <si>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</si>
  <si>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</si>
  <si>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</si>
  <si>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</si>
  <si>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</si>
  <si>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</si>
  <si>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</si>
  <si>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00572</t>
  </si>
  <si>
    <t>00058</t>
  </si>
  <si>
    <t>00084</t>
  </si>
  <si>
    <t>00841</t>
  </si>
  <si>
    <t>Comedor</t>
  </si>
  <si>
    <t>Año Cursado</t>
  </si>
  <si>
    <t>OBSERVACIONES/COMENTARIOS:</t>
  </si>
  <si>
    <t>Asignatura</t>
  </si>
  <si>
    <t>Hom-bres</t>
  </si>
  <si>
    <t>Mu-jeres</t>
  </si>
  <si>
    <t>Español</t>
  </si>
  <si>
    <t>Estudios Sociales</t>
  </si>
  <si>
    <t>Ciencias</t>
  </si>
  <si>
    <t>Matemática</t>
  </si>
  <si>
    <t>Alfabetización</t>
  </si>
  <si>
    <t>Educación Diversificada a Distancia</t>
  </si>
  <si>
    <t>Biblioteca</t>
  </si>
  <si>
    <t>Taller de Artes Industriales</t>
  </si>
  <si>
    <t>Otros Talleres</t>
  </si>
  <si>
    <t>Total-Centro Educativo</t>
  </si>
  <si>
    <t>Gimnasio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</si>
  <si>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</si>
  <si>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</si>
  <si>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</si>
  <si>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</si>
  <si>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</si>
  <si>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</si>
  <si>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</si>
  <si>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</si>
  <si>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</si>
  <si>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</si>
  <si>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</si>
  <si>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Docentes que atienden los Proyectos de Educación Abierta</t>
  </si>
  <si>
    <t>Cantidad
Total</t>
  </si>
  <si>
    <t>Aulas (que no se utilizan para impartir lecciones)</t>
  </si>
  <si>
    <t>Sí</t>
  </si>
  <si>
    <t>No</t>
  </si>
  <si>
    <t>Personal</t>
  </si>
  <si>
    <t>Plan Nacional (o equivalente)</t>
  </si>
  <si>
    <t>¿Proyectos de Educación Abierta?</t>
  </si>
  <si>
    <t>Ubicación (PR/CA/DI):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</si>
  <si>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</si>
  <si>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</si>
  <si>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</si>
  <si>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</si>
  <si>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</si>
  <si>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</si>
  <si>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</si>
  <si>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</si>
  <si>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</si>
  <si>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</si>
  <si>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</si>
  <si>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</si>
  <si>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</si>
  <si>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</si>
  <si>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</si>
  <si>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</si>
  <si>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</si>
  <si>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</si>
  <si>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</si>
  <si>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</si>
  <si>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</si>
  <si>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</si>
  <si>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</si>
  <si>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</si>
  <si>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</si>
  <si>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</si>
  <si>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</si>
  <si>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</si>
  <si>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</si>
  <si>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</si>
  <si>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</si>
  <si>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</si>
  <si>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</si>
  <si>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</si>
  <si>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</si>
  <si>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</si>
  <si>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</si>
  <si>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</si>
  <si>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</si>
  <si>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</si>
  <si>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</si>
  <si>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</si>
  <si>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</si>
  <si>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</si>
  <si>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</si>
  <si>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</si>
  <si>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</si>
  <si>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</si>
  <si>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</si>
  <si>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</si>
  <si>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</si>
  <si>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</si>
  <si>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</si>
  <si>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</si>
  <si>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</si>
  <si>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</si>
  <si>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</si>
  <si>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</si>
  <si>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</si>
  <si>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</si>
  <si>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</si>
  <si>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</si>
  <si>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</si>
  <si>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</si>
  <si>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</si>
  <si>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</si>
  <si>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</si>
  <si>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</si>
  <si>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</si>
  <si>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</si>
  <si>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</si>
  <si>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</si>
  <si>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</si>
  <si>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</si>
  <si>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</si>
  <si>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</si>
  <si>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</si>
  <si>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</si>
  <si>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</si>
  <si>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</si>
  <si>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</si>
  <si>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</si>
  <si>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</si>
  <si>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</si>
  <si>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</si>
  <si>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</si>
  <si>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</si>
  <si>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</si>
  <si>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</si>
  <si>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</si>
  <si>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</si>
  <si>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</si>
  <si>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</si>
  <si>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</si>
  <si>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</si>
  <si>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</si>
  <si>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</si>
  <si>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</si>
  <si>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</si>
  <si>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</si>
  <si>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</si>
  <si>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</si>
  <si>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</si>
  <si>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</si>
  <si>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</si>
  <si>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</si>
  <si>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</si>
  <si>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</si>
  <si>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</si>
  <si>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</si>
  <si>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</si>
  <si>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</si>
  <si>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</si>
  <si>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</si>
  <si>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</si>
  <si>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</si>
  <si>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</si>
  <si>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</si>
  <si>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</si>
  <si>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</si>
  <si>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</si>
  <si>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</si>
  <si>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</si>
  <si>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</si>
  <si>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</si>
  <si>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</si>
  <si>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</si>
  <si>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</si>
  <si>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</si>
  <si>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</si>
  <si>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</si>
  <si>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</si>
  <si>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</si>
  <si>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</si>
  <si>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</si>
  <si>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</si>
  <si>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</si>
  <si>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</si>
  <si>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</si>
  <si>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</si>
  <si>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</si>
  <si>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</si>
  <si>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</si>
  <si>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</si>
  <si>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</si>
  <si>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</si>
  <si>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</si>
  <si>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</si>
  <si>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</si>
  <si>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</si>
  <si>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</si>
  <si>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</si>
  <si>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</si>
  <si>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</si>
  <si>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</si>
  <si>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</si>
  <si>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</si>
  <si>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</si>
  <si>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</si>
  <si>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</si>
  <si>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</si>
  <si>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</si>
  <si>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</si>
  <si>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</si>
  <si>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</si>
  <si>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</si>
  <si>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</si>
  <si>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</si>
  <si>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</si>
  <si>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</si>
  <si>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</si>
  <si>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</si>
  <si>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</si>
  <si>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</si>
  <si>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</si>
  <si>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</si>
  <si>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</si>
  <si>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</si>
  <si>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</si>
  <si>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</si>
  <si>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</si>
  <si>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</si>
  <si>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</si>
  <si>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</si>
  <si>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</si>
  <si>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</si>
  <si>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</si>
  <si>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</si>
  <si>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</si>
  <si>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</si>
  <si>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</si>
  <si>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</si>
  <si>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</si>
  <si>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</si>
  <si>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</si>
  <si>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</si>
  <si>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</si>
  <si>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</si>
  <si>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</si>
  <si>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</si>
  <si>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</si>
  <si>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</si>
  <si>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</si>
  <si>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</si>
  <si>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</si>
  <si>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</si>
  <si>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</si>
  <si>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</si>
  <si>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</si>
  <si>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</si>
  <si>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</si>
  <si>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</si>
  <si>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</si>
  <si>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</si>
  <si>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</si>
  <si>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</si>
  <si>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</si>
  <si>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</si>
  <si>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</si>
  <si>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</si>
  <si>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</si>
  <si>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</si>
  <si>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</si>
  <si>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</si>
  <si>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</si>
  <si>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</si>
  <si>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</si>
  <si>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</si>
  <si>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</si>
  <si>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</si>
  <si>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</si>
  <si>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</si>
  <si>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</si>
  <si>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</si>
  <si>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</si>
  <si>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</si>
  <si>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</si>
  <si>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</si>
  <si>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</si>
  <si>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</si>
  <si>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</si>
  <si>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</si>
  <si>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</si>
  <si>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</si>
  <si>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</si>
  <si>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</si>
  <si>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</si>
  <si>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</si>
  <si>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</si>
  <si>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</si>
  <si>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</si>
  <si>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</si>
  <si>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</si>
  <si>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</si>
  <si>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</si>
  <si>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</si>
  <si>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</si>
  <si>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</si>
  <si>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</si>
  <si>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</si>
  <si>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</si>
  <si>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</si>
  <si>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</si>
  <si>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</si>
  <si>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</si>
  <si>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</si>
  <si>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</si>
  <si>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</si>
  <si>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</si>
  <si>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</si>
  <si>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</si>
  <si>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</si>
  <si>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</si>
  <si>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</si>
  <si>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</si>
  <si>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</si>
  <si>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</si>
  <si>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</si>
  <si>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</si>
  <si>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</si>
  <si>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</si>
  <si>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</si>
  <si>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</si>
  <si>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</si>
  <si>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</si>
  <si>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</si>
  <si>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</si>
  <si>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</si>
  <si>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</si>
  <si>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</si>
  <si>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</si>
  <si>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</si>
  <si>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</si>
  <si>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</si>
  <si>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</si>
  <si>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</si>
  <si>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</si>
  <si>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</si>
  <si>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</si>
  <si>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</si>
  <si>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</si>
  <si>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</si>
  <si>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</si>
  <si>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</si>
  <si>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</si>
  <si>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</si>
  <si>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</si>
  <si>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</si>
  <si>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</si>
  <si>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</si>
  <si>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</si>
  <si>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</si>
  <si>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</si>
  <si>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</si>
  <si>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</si>
  <si>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</si>
  <si>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</si>
  <si>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</si>
  <si>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</si>
  <si>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</si>
  <si>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</si>
  <si>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</si>
  <si>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</si>
  <si>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</si>
  <si>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</si>
  <si>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</si>
  <si>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</si>
  <si>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</si>
  <si>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</si>
  <si>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</si>
  <si>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</si>
  <si>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</si>
  <si>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</si>
  <si>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</si>
  <si>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</si>
  <si>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</si>
  <si>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</si>
  <si>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</si>
  <si>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</si>
  <si>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</si>
  <si>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</si>
  <si>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</si>
  <si>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</si>
  <si>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</si>
  <si>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</si>
  <si>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</si>
  <si>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</si>
  <si>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</si>
  <si>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</si>
  <si>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</si>
  <si>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</si>
  <si>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</si>
  <si>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</si>
  <si>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</si>
  <si>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</si>
  <si>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</si>
  <si>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</si>
  <si>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</si>
  <si>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</si>
  <si>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</si>
  <si>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</si>
  <si>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</si>
  <si>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</si>
  <si>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</si>
  <si>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</si>
  <si>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</si>
  <si>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</si>
  <si>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</si>
  <si>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</si>
  <si>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</si>
  <si>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</si>
  <si>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</si>
  <si>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</si>
  <si>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</si>
  <si>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</si>
  <si>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</si>
  <si>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</si>
  <si>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</si>
  <si>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</si>
  <si>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</si>
  <si>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</si>
  <si>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</si>
  <si>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</si>
  <si>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</si>
  <si>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</si>
  <si>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</si>
  <si>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</si>
  <si>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</si>
  <si>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</si>
  <si>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</si>
  <si>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</si>
  <si>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</si>
  <si>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</si>
  <si>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</si>
  <si>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</si>
  <si>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</si>
  <si>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</si>
  <si>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</si>
  <si>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</si>
  <si>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</si>
  <si>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</si>
  <si>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</si>
  <si>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</si>
  <si>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</si>
  <si>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</si>
  <si>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</si>
  <si>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</si>
  <si>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</si>
  <si>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</si>
  <si>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</si>
  <si>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</si>
  <si>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</si>
  <si>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</si>
  <si>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</si>
  <si>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</si>
  <si>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</si>
  <si>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</si>
  <si>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</si>
  <si>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</si>
  <si>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</si>
  <si>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</si>
  <si>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</si>
  <si>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</si>
  <si>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</si>
  <si>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</si>
  <si>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</si>
  <si>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</si>
  <si>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</si>
  <si>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</si>
  <si>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</si>
  <si>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</si>
  <si>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</si>
  <si>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</si>
  <si>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</si>
  <si>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</si>
  <si>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</si>
  <si>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</si>
  <si>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</si>
  <si>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</si>
  <si>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</si>
  <si>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</si>
  <si>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</si>
  <si>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</si>
  <si>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</si>
  <si>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</si>
  <si>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</si>
  <si>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</si>
  <si>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</si>
  <si>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</si>
  <si>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</si>
  <si>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</si>
  <si>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</si>
  <si>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</si>
  <si>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</si>
  <si>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</si>
  <si>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</si>
  <si>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</si>
  <si>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</si>
  <si>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</si>
  <si>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</si>
  <si>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</si>
  <si>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</si>
  <si>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</si>
  <si>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</si>
  <si>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</si>
  <si>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</si>
  <si>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</si>
  <si>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</si>
  <si>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</si>
  <si>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</si>
  <si>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</si>
  <si>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</si>
  <si>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</si>
  <si>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</si>
  <si>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</si>
  <si>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</si>
  <si>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COLONIA KENNEDY</t>
  </si>
  <si>
    <t>00232</t>
  </si>
  <si>
    <t>LOS COLEGIOS</t>
  </si>
  <si>
    <t>KILOMETRO</t>
  </si>
  <si>
    <t>CUADRO 1</t>
  </si>
  <si>
    <t>Proyectos de Educación Abierta</t>
  </si>
  <si>
    <t>Matrícula Inicial</t>
  </si>
  <si>
    <t>CUADRO 4</t>
  </si>
  <si>
    <t>Provincia / Cantón / Distrito</t>
  </si>
  <si>
    <t>CUADRO 5</t>
  </si>
  <si>
    <t>CUADRO 7</t>
  </si>
  <si>
    <t>CUADRO 11</t>
  </si>
  <si>
    <t>CUADRO 12</t>
  </si>
  <si>
    <t>Otro lugar (indicar debajo de esta línea)</t>
  </si>
  <si>
    <t>X</t>
  </si>
  <si>
    <t>Otros Laboratorios</t>
  </si>
  <si>
    <t>Soda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</si>
  <si>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</si>
  <si>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</si>
  <si>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</si>
  <si>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</si>
  <si>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</si>
  <si>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</si>
  <si>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</si>
  <si>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</si>
  <si>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</si>
  <si>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</si>
  <si>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</si>
  <si>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</si>
  <si>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</si>
  <si>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</si>
  <si>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</si>
  <si>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</si>
  <si>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</si>
  <si>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</si>
  <si>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</si>
  <si>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0000</t>
  </si>
  <si>
    <t>AZ1M</t>
  </si>
  <si>
    <t>AZ2M</t>
  </si>
  <si>
    <t>AZ3M</t>
  </si>
  <si>
    <t>AZ4M</t>
  </si>
  <si>
    <t>AZ5M</t>
  </si>
  <si>
    <t>AZ6M</t>
  </si>
  <si>
    <t>Conducta</t>
  </si>
  <si>
    <t>¿Plan Nacional (o equivalente)?</t>
  </si>
  <si>
    <t>CODTALLER</t>
  </si>
  <si>
    <t>ESPE</t>
  </si>
  <si>
    <t>Biología</t>
  </si>
  <si>
    <t>Química</t>
  </si>
  <si>
    <t>Física</t>
  </si>
  <si>
    <t>Educación Cívica</t>
  </si>
  <si>
    <t>CUADRO 13</t>
  </si>
  <si>
    <t>CUADRO 10</t>
  </si>
  <si>
    <t>10º</t>
  </si>
  <si>
    <t xml:space="preserve">Docentes </t>
  </si>
  <si>
    <t>III Ciclo</t>
  </si>
  <si>
    <t>Educación Diversificada</t>
  </si>
  <si>
    <t>Subdirector</t>
  </si>
  <si>
    <t>CUADRO 6</t>
  </si>
  <si>
    <t>Administrativos Reubicados</t>
  </si>
  <si>
    <t>Técnicos-Docentes Reubicados</t>
  </si>
  <si>
    <t>Docentes Reubicados</t>
  </si>
  <si>
    <t>Docentes Reubicados de Educación Especial</t>
  </si>
  <si>
    <t>7º</t>
  </si>
  <si>
    <t>8º</t>
  </si>
  <si>
    <t>9º</t>
  </si>
  <si>
    <t>11º</t>
  </si>
  <si>
    <t>12º</t>
  </si>
  <si>
    <t>Adelantan una o más asignaturas de:</t>
  </si>
  <si>
    <t>Discapacidad/Condición</t>
  </si>
  <si>
    <t>Cubículos</t>
  </si>
  <si>
    <t>Si requiere más filas, insértelas.</t>
  </si>
  <si>
    <t>1-07-07</t>
  </si>
  <si>
    <t>1-19-12</t>
  </si>
  <si>
    <t>2-02-14</t>
  </si>
  <si>
    <t>6-02-06</t>
  </si>
  <si>
    <t>6-08-06</t>
  </si>
  <si>
    <t>00114</t>
  </si>
  <si>
    <t>COLEGIO AGROPECUARIO DE SAN CARLOS</t>
  </si>
  <si>
    <t>GRANADILLA SUR</t>
  </si>
  <si>
    <t>Primaria por Suficiencia</t>
  </si>
  <si>
    <t>III Ciclo por Suficiencia</t>
  </si>
  <si>
    <t>Bachillerato por Madurez</t>
  </si>
  <si>
    <t>Cantidad de 
Secciones</t>
  </si>
  <si>
    <t>Lengua Indígena</t>
  </si>
  <si>
    <t>CUADRO 2</t>
  </si>
  <si>
    <t>CUADRO 3</t>
  </si>
  <si>
    <t>CUADRO 8</t>
  </si>
  <si>
    <t>CUADRO 9</t>
  </si>
  <si>
    <t>Técnica Diurna</t>
  </si>
  <si>
    <t>DISCAPACIDAD O CONDICIÓN DE LOS ESTUDIANTES DE TÉCNICA DIURNA</t>
  </si>
  <si>
    <t>PERSONAL TOTAL QUE LABORA EN TÉCNICA DIURNA</t>
  </si>
  <si>
    <t>00007</t>
  </si>
  <si>
    <t>00022</t>
  </si>
  <si>
    <t>00030</t>
  </si>
  <si>
    <t>00039</t>
  </si>
  <si>
    <t>00042</t>
  </si>
  <si>
    <t>00045</t>
  </si>
  <si>
    <t>00046</t>
  </si>
  <si>
    <t>00053</t>
  </si>
  <si>
    <t>00060</t>
  </si>
  <si>
    <t>00076</t>
  </si>
  <si>
    <t>00077</t>
  </si>
  <si>
    <t>00081</t>
  </si>
  <si>
    <t>00082</t>
  </si>
  <si>
    <t>00083</t>
  </si>
  <si>
    <t>00085</t>
  </si>
  <si>
    <t>00091</t>
  </si>
  <si>
    <t>00102</t>
  </si>
  <si>
    <t>00105</t>
  </si>
  <si>
    <t>00110</t>
  </si>
  <si>
    <t>00112</t>
  </si>
  <si>
    <t>00115</t>
  </si>
  <si>
    <t>00116</t>
  </si>
  <si>
    <t>00117</t>
  </si>
  <si>
    <t>00118</t>
  </si>
  <si>
    <t>00119</t>
  </si>
  <si>
    <t>00121</t>
  </si>
  <si>
    <t>00122</t>
  </si>
  <si>
    <t>00123</t>
  </si>
  <si>
    <t>00124</t>
  </si>
  <si>
    <t>00130</t>
  </si>
  <si>
    <t>00132</t>
  </si>
  <si>
    <t>00134</t>
  </si>
  <si>
    <t>00137</t>
  </si>
  <si>
    <t>00138</t>
  </si>
  <si>
    <t>00144</t>
  </si>
  <si>
    <t>00148</t>
  </si>
  <si>
    <t>00159</t>
  </si>
  <si>
    <t>00162</t>
  </si>
  <si>
    <t>00165</t>
  </si>
  <si>
    <t>00167</t>
  </si>
  <si>
    <t>00168</t>
  </si>
  <si>
    <t>00170</t>
  </si>
  <si>
    <t>00171</t>
  </si>
  <si>
    <t>00172</t>
  </si>
  <si>
    <t>00173</t>
  </si>
  <si>
    <t>00175</t>
  </si>
  <si>
    <t>00176</t>
  </si>
  <si>
    <t>00177</t>
  </si>
  <si>
    <t>00181</t>
  </si>
  <si>
    <t>00183</t>
  </si>
  <si>
    <t>00187</t>
  </si>
  <si>
    <t>00188</t>
  </si>
  <si>
    <t>00189</t>
  </si>
  <si>
    <t>00190</t>
  </si>
  <si>
    <t>00191</t>
  </si>
  <si>
    <t>00193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</si>
  <si>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</si>
  <si>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</si>
  <si>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</si>
  <si>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</si>
  <si>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</si>
  <si>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</si>
  <si>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</si>
  <si>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</si>
  <si>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</si>
  <si>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00206</t>
  </si>
  <si>
    <t>00208</t>
  </si>
  <si>
    <t>00209</t>
  </si>
  <si>
    <t>00212</t>
  </si>
  <si>
    <t>00213</t>
  </si>
  <si>
    <t>00214</t>
  </si>
  <si>
    <t>00215</t>
  </si>
  <si>
    <t>00238</t>
  </si>
  <si>
    <t>00269</t>
  </si>
  <si>
    <t>00526</t>
  </si>
  <si>
    <t>00592</t>
  </si>
  <si>
    <t>00678</t>
  </si>
  <si>
    <t>00730</t>
  </si>
  <si>
    <t>00755</t>
  </si>
  <si>
    <t>00771</t>
  </si>
  <si>
    <t>00784</t>
  </si>
  <si>
    <t>00791</t>
  </si>
  <si>
    <t>00801</t>
  </si>
  <si>
    <t>00807</t>
  </si>
  <si>
    <t>00817</t>
  </si>
  <si>
    <t>00867</t>
  </si>
  <si>
    <t>00903</t>
  </si>
  <si>
    <t>00918</t>
  </si>
  <si>
    <t>00919</t>
  </si>
  <si>
    <t>00920</t>
  </si>
  <si>
    <t>00921</t>
  </si>
  <si>
    <t>00922</t>
  </si>
  <si>
    <t>00923</t>
  </si>
  <si>
    <t>00931</t>
  </si>
  <si>
    <t>00932</t>
  </si>
  <si>
    <t>00934</t>
  </si>
  <si>
    <t>00935</t>
  </si>
  <si>
    <t>00936</t>
  </si>
  <si>
    <t>00937</t>
  </si>
  <si>
    <t>00939</t>
  </si>
  <si>
    <t>00940</t>
  </si>
  <si>
    <t>00946</t>
  </si>
  <si>
    <t>00947</t>
  </si>
  <si>
    <t>00948</t>
  </si>
  <si>
    <t>00949</t>
  </si>
  <si>
    <t>00950</t>
  </si>
  <si>
    <t>00967</t>
  </si>
  <si>
    <t>00968</t>
  </si>
  <si>
    <t>00983</t>
  </si>
  <si>
    <t>00984</t>
  </si>
  <si>
    <t>00985</t>
  </si>
  <si>
    <t>00986</t>
  </si>
  <si>
    <t>01011</t>
  </si>
  <si>
    <t>01012</t>
  </si>
  <si>
    <t>01013</t>
  </si>
  <si>
    <t>01014</t>
  </si>
  <si>
    <t>01016</t>
  </si>
  <si>
    <t>01017</t>
  </si>
  <si>
    <t>01018</t>
  </si>
  <si>
    <t>01019</t>
  </si>
  <si>
    <t>01020</t>
  </si>
  <si>
    <t>01021</t>
  </si>
  <si>
    <t>01029</t>
  </si>
  <si>
    <t>01030</t>
  </si>
  <si>
    <t>01031</t>
  </si>
  <si>
    <t>01052</t>
  </si>
  <si>
    <t>01053</t>
  </si>
  <si>
    <t>01054</t>
  </si>
  <si>
    <t>01056</t>
  </si>
  <si>
    <t>01079</t>
  </si>
  <si>
    <t>01082</t>
  </si>
  <si>
    <t>4154</t>
  </si>
  <si>
    <t>4156</t>
  </si>
  <si>
    <t>4157</t>
  </si>
  <si>
    <t>4159</t>
  </si>
  <si>
    <t>4160</t>
  </si>
  <si>
    <t>4163</t>
  </si>
  <si>
    <t>4165</t>
  </si>
  <si>
    <t>4155</t>
  </si>
  <si>
    <t>4162</t>
  </si>
  <si>
    <t>4164</t>
  </si>
  <si>
    <t>4186</t>
  </si>
  <si>
    <t>4169</t>
  </si>
  <si>
    <t>4166</t>
  </si>
  <si>
    <t>4167</t>
  </si>
  <si>
    <t>4168</t>
  </si>
  <si>
    <t>4188</t>
  </si>
  <si>
    <t>4171</t>
  </si>
  <si>
    <t>4174</t>
  </si>
  <si>
    <t>4173</t>
  </si>
  <si>
    <t>4172</t>
  </si>
  <si>
    <t>4183</t>
  </si>
  <si>
    <t>4176</t>
  </si>
  <si>
    <t>4178</t>
  </si>
  <si>
    <t>4180</t>
  </si>
  <si>
    <t>4179</t>
  </si>
  <si>
    <t>4182</t>
  </si>
  <si>
    <t>4175</t>
  </si>
  <si>
    <t>4232</t>
  </si>
  <si>
    <t>4177</t>
  </si>
  <si>
    <t>4181</t>
  </si>
  <si>
    <t>4184</t>
  </si>
  <si>
    <t>4161</t>
  </si>
  <si>
    <t>5082</t>
  </si>
  <si>
    <t>4189</t>
  </si>
  <si>
    <t>4185</t>
  </si>
  <si>
    <t>4191</t>
  </si>
  <si>
    <t>4192</t>
  </si>
  <si>
    <t>4193</t>
  </si>
  <si>
    <t>4194</t>
  </si>
  <si>
    <t>4198</t>
  </si>
  <si>
    <t>4199</t>
  </si>
  <si>
    <t>4200</t>
  </si>
  <si>
    <t>4203</t>
  </si>
  <si>
    <t>4202</t>
  </si>
  <si>
    <t>4205</t>
  </si>
  <si>
    <t>4204</t>
  </si>
  <si>
    <t>4195</t>
  </si>
  <si>
    <t>4201</t>
  </si>
  <si>
    <t>4206</t>
  </si>
  <si>
    <t>4196</t>
  </si>
  <si>
    <t>4197</t>
  </si>
  <si>
    <t>4209</t>
  </si>
  <si>
    <t>4208</t>
  </si>
  <si>
    <t>4210</t>
  </si>
  <si>
    <t>4212</t>
  </si>
  <si>
    <t>4211</t>
  </si>
  <si>
    <t>4170</t>
  </si>
  <si>
    <t>4213</t>
  </si>
  <si>
    <t>5748</t>
  </si>
  <si>
    <t>4231</t>
  </si>
  <si>
    <t>4214</t>
  </si>
  <si>
    <t>4220</t>
  </si>
  <si>
    <t>4217</t>
  </si>
  <si>
    <t>4215</t>
  </si>
  <si>
    <t>4216</t>
  </si>
  <si>
    <t>4230</t>
  </si>
  <si>
    <t>4218</t>
  </si>
  <si>
    <t>4221</t>
  </si>
  <si>
    <t>4224</t>
  </si>
  <si>
    <t>4227</t>
  </si>
  <si>
    <t>4226</t>
  </si>
  <si>
    <t>4223</t>
  </si>
  <si>
    <t>4222</t>
  </si>
  <si>
    <t>4228</t>
  </si>
  <si>
    <t>4229</t>
  </si>
  <si>
    <t>4158</t>
  </si>
  <si>
    <t>4190</t>
  </si>
  <si>
    <t>4207</t>
  </si>
  <si>
    <t>5680</t>
  </si>
  <si>
    <t>5818</t>
  </si>
  <si>
    <t>6032</t>
  </si>
  <si>
    <t>6034</t>
  </si>
  <si>
    <t>6033</t>
  </si>
  <si>
    <t>6016</t>
  </si>
  <si>
    <t>6105</t>
  </si>
  <si>
    <t>6130</t>
  </si>
  <si>
    <t>6104</t>
  </si>
  <si>
    <t>6358</t>
  </si>
  <si>
    <t>6504</t>
  </si>
  <si>
    <t>6505</t>
  </si>
  <si>
    <t>6502</t>
  </si>
  <si>
    <t>6507</t>
  </si>
  <si>
    <t>6508</t>
  </si>
  <si>
    <t>6506</t>
  </si>
  <si>
    <t>6503</t>
  </si>
  <si>
    <t>6537</t>
  </si>
  <si>
    <t>6532</t>
  </si>
  <si>
    <t>6534</t>
  </si>
  <si>
    <t>6529</t>
  </si>
  <si>
    <t>6527</t>
  </si>
  <si>
    <t>6528</t>
  </si>
  <si>
    <t>6533</t>
  </si>
  <si>
    <t>6536</t>
  </si>
  <si>
    <t>6524</t>
  </si>
  <si>
    <t>6525</t>
  </si>
  <si>
    <t>6526</t>
  </si>
  <si>
    <t>6530</t>
  </si>
  <si>
    <t>6535</t>
  </si>
  <si>
    <t>6538</t>
  </si>
  <si>
    <t>6531</t>
  </si>
  <si>
    <t>6548</t>
  </si>
  <si>
    <t>6550</t>
  </si>
  <si>
    <t>6549</t>
  </si>
  <si>
    <t>6547</t>
  </si>
  <si>
    <t>6578</t>
  </si>
  <si>
    <t>6579</t>
  </si>
  <si>
    <t>6581</t>
  </si>
  <si>
    <t>6576</t>
  </si>
  <si>
    <t>6582</t>
  </si>
  <si>
    <t>6583</t>
  </si>
  <si>
    <t>6574</t>
  </si>
  <si>
    <t>6580</t>
  </si>
  <si>
    <t>6584</t>
  </si>
  <si>
    <t>6577</t>
  </si>
  <si>
    <t>6634</t>
  </si>
  <si>
    <t>6633</t>
  </si>
  <si>
    <t>6635</t>
  </si>
  <si>
    <t>6641</t>
  </si>
  <si>
    <t>6640</t>
  </si>
  <si>
    <t>6639</t>
  </si>
  <si>
    <t>6718</t>
  </si>
  <si>
    <t>6719</t>
  </si>
  <si>
    <t>C.T.P. DON BOSCO</t>
  </si>
  <si>
    <t>C.T.P. SAN SEBASTIAN</t>
  </si>
  <si>
    <t>C.T.P. MONSEÑOR SANABRIA</t>
  </si>
  <si>
    <t>C.T.P. JOSE FIGUERES FERRER</t>
  </si>
  <si>
    <t>C.T.P. DE PURISCAL</t>
  </si>
  <si>
    <t>C.T.P. LA GLORIA</t>
  </si>
  <si>
    <t>C.T.P. CALLE BLANCOS</t>
  </si>
  <si>
    <t>C.T.P. DE ACOSTA</t>
  </si>
  <si>
    <t>C.T.P. DE TURRUBARES</t>
  </si>
  <si>
    <t>C.T.P. JOSE DANIEL FLORES</t>
  </si>
  <si>
    <t>C.T.P. GENERAL VIEJO</t>
  </si>
  <si>
    <t>C.T.P. SAN ISIDRO</t>
  </si>
  <si>
    <t>C.T.P. PLATANARES</t>
  </si>
  <si>
    <t>C.T.P. SAN PABLO</t>
  </si>
  <si>
    <t>C.T.P. JESUS OCAÑA ROJAS</t>
  </si>
  <si>
    <t>C.T.P. PIEDADES SUR</t>
  </si>
  <si>
    <t>C.T.P. SAN MATEO</t>
  </si>
  <si>
    <t>C.T.P. RICARDO CASTRO BEER</t>
  </si>
  <si>
    <t>C.T.P. SAN CARLOS</t>
  </si>
  <si>
    <t>C.T.P. NATANIEL ARIAS MURILLO</t>
  </si>
  <si>
    <t>C.T.P. DE VENECIA</t>
  </si>
  <si>
    <t>C.T.P. DE PITAL</t>
  </si>
  <si>
    <t>C.T.P. LA FORTUNA</t>
  </si>
  <si>
    <t>C.T.P. SANTA ROSA</t>
  </si>
  <si>
    <t>C.T.P. FRANCISCO JOSE ORLICH BOLMARCICH</t>
  </si>
  <si>
    <t>C.T.P. UPALA</t>
  </si>
  <si>
    <t>C.T.P. LOS CHILES</t>
  </si>
  <si>
    <t>C.T.P. DE GUATUSO</t>
  </si>
  <si>
    <t>C.T.P. COVAO DIURNO</t>
  </si>
  <si>
    <t>C.T.P. SAN JUAN SUR</t>
  </si>
  <si>
    <t>C.T.P. MARIO QUIROS SASSO</t>
  </si>
  <si>
    <t>C.T.P. LA SUIZA</t>
  </si>
  <si>
    <t>C.T.P. DE PACAYAS</t>
  </si>
  <si>
    <t>C.T.P. DE HEREDIA</t>
  </si>
  <si>
    <t>C.T.P. DE ULLOA</t>
  </si>
  <si>
    <t>C.T.P. PUERTO VIEJO</t>
  </si>
  <si>
    <t>C.T.P. LIBERIA</t>
  </si>
  <si>
    <t>C.T.P. DE NICOYA</t>
  </si>
  <si>
    <t>C.T.P. LA MANSION</t>
  </si>
  <si>
    <t>C.T.P. DE CORRALILLO</t>
  </si>
  <si>
    <t>C.T.P. DE SANTA CRUZ</t>
  </si>
  <si>
    <t>C.T.P. 27 DE ABRIL</t>
  </si>
  <si>
    <t>C.T.P. DE CARTAGENA</t>
  </si>
  <si>
    <t>C.T.P. SANTA BARBARA</t>
  </si>
  <si>
    <t>C.T.P. FORTUNA DE BAGACES</t>
  </si>
  <si>
    <t>C.T.P. CARRILLO</t>
  </si>
  <si>
    <t>C.T.P. SARDINAL</t>
  </si>
  <si>
    <t>C.T.P. NANDAYURE</t>
  </si>
  <si>
    <t>C.T.P. HOJANCHA</t>
  </si>
  <si>
    <t>C.T.P. DE PUNTARENAS</t>
  </si>
  <si>
    <t>C.T.P. DE JICARAL</t>
  </si>
  <si>
    <t>C.T.P. DE PAQUERA</t>
  </si>
  <si>
    <t>C.T.P. DE SANTA ELENA</t>
  </si>
  <si>
    <t>C.T.P. DE OSA</t>
  </si>
  <si>
    <t>C.T.P. DE QUEPOS</t>
  </si>
  <si>
    <t>C.T.P. DE MATAPALO</t>
  </si>
  <si>
    <t>C.T.P. CARLOS MANUEL VICENTE CASTRO</t>
  </si>
  <si>
    <t>C.T.P. GUAYCARA</t>
  </si>
  <si>
    <t>C.T.P. UMBERTO MELLONI CAMPANINI</t>
  </si>
  <si>
    <t>C.T.P. DE SABALITO</t>
  </si>
  <si>
    <t>C.T.P. DE PARRITA</t>
  </si>
  <si>
    <t>C.T.P. DE CORREDORES</t>
  </si>
  <si>
    <t>C.T.P. DE LIMON</t>
  </si>
  <si>
    <t>C.T.P. DE TALAMANCA</t>
  </si>
  <si>
    <t>C.T.P. DE BATAAN</t>
  </si>
  <si>
    <t>C.T.P. DE JACO</t>
  </si>
  <si>
    <t>C.T.P. DOS CERCAS</t>
  </si>
  <si>
    <t>C.T.P. DE FLORES</t>
  </si>
  <si>
    <t>C.T.P. DE ABANGARES</t>
  </si>
  <si>
    <t>C.T.P. FERNANDO VOLIO JIMENEZ</t>
  </si>
  <si>
    <t>C.T.P. TRONADORA</t>
  </si>
  <si>
    <t>C.T.P. INVU LAS CAÑAS</t>
  </si>
  <si>
    <t>C.T.P. ULADISLAO GAMEZ SOLANO</t>
  </si>
  <si>
    <t>C.T.P. CARRIZAL</t>
  </si>
  <si>
    <t>C.T.P. GRANADILLA</t>
  </si>
  <si>
    <t>C.T.P. JOSE ALBERTAZZI</t>
  </si>
  <si>
    <t>C.T.P. VASQUEZ DE CORONADO</t>
  </si>
  <si>
    <t>C.T.P. SAN PEDRO DE BARVA</t>
  </si>
  <si>
    <t>C.T.P. DE PALMICHAL</t>
  </si>
  <si>
    <t>C.T.P. SANTO CRISTO DE ESQUIPULAS</t>
  </si>
  <si>
    <t>C.T.P. SABANILLA</t>
  </si>
  <si>
    <t>C.T.P. SAN RAFAEL DE POAS</t>
  </si>
  <si>
    <t>C.T.P. BOLIVAR</t>
  </si>
  <si>
    <t>C.T.P. DE DULCE NOMBRE</t>
  </si>
  <si>
    <t>C.T.P. SANTA EULALIA</t>
  </si>
  <si>
    <t>C.T.P. AMBIENTALISTA ISAIAS RETANA</t>
  </si>
  <si>
    <t>C.T.P. SANTA LUCIA</t>
  </si>
  <si>
    <t>C.T.P. ABELARDO BONILLA BALDARES</t>
  </si>
  <si>
    <t>C.T.P. PURRAL</t>
  </si>
  <si>
    <t>C.T.P. OREAMUNO</t>
  </si>
  <si>
    <t>C.T.P. ROSARIO DE NARANJO</t>
  </si>
  <si>
    <t>C.T.P. SANTO DOMINGO</t>
  </si>
  <si>
    <t>C.T.P. MERCEDES NORTE</t>
  </si>
  <si>
    <t>C.T.P. PAVAS</t>
  </si>
  <si>
    <t>C.T.P. CALLE ZAMORA</t>
  </si>
  <si>
    <t>C.T.P. DE CAÑAS</t>
  </si>
  <si>
    <t>C.T.P. DE ASERRI</t>
  </si>
  <si>
    <t>C.T.P. DE MORA</t>
  </si>
  <si>
    <t>C.T.P. ESPARZA</t>
  </si>
  <si>
    <t>C.T.P. ZARCERO</t>
  </si>
  <si>
    <t>C.T.P. DE ATENAS</t>
  </si>
  <si>
    <t>C.T.P. BARRIO IRVIN</t>
  </si>
  <si>
    <t>C.T.P. DE LIVERPOOL</t>
  </si>
  <si>
    <t>C.T.P. OROSI</t>
  </si>
  <si>
    <t>C.T.P. ROBERTO GAMBOA VALVERDE</t>
  </si>
  <si>
    <t>C.T.P. BRAULIO ODIO HERRERA</t>
  </si>
  <si>
    <t>C.T.P. JOSE MARIA ZELEDON BRENES</t>
  </si>
  <si>
    <t>C.T.P. AGROPORTICA</t>
  </si>
  <si>
    <t>C.T.P. LAS PALMITAS</t>
  </si>
  <si>
    <t>C.T.P. DE PLATANAR</t>
  </si>
  <si>
    <t>C.T.P. DE ALAJUELITA</t>
  </si>
  <si>
    <t>C.T.P. DE BELEN</t>
  </si>
  <si>
    <t>C.T.P. DE SAN RAFAEL DE ALAJUELA</t>
  </si>
  <si>
    <t>C.T.P. LA TIGRA</t>
  </si>
  <si>
    <t>C.T.P. DE COPAL</t>
  </si>
  <si>
    <t>C.T.P. DEL ESTE</t>
  </si>
  <si>
    <t>C.T.P. C.I.T.</t>
  </si>
  <si>
    <t>C.T.P. LA CARPIO</t>
  </si>
  <si>
    <t>C.T.P. HATILLO</t>
  </si>
  <si>
    <t>CONCEPCION ARRIBA</t>
  </si>
  <si>
    <t>BARRIO CORAZON DE MARIA</t>
  </si>
  <si>
    <t>MONTELIMAR</t>
  </si>
  <si>
    <t>GENERAL VIEJO</t>
  </si>
  <si>
    <t>VILLA LIGIA</t>
  </si>
  <si>
    <t>PEJIBAYE CENTRO</t>
  </si>
  <si>
    <t>LA FORTUNA</t>
  </si>
  <si>
    <t>CALLE COLEGIO</t>
  </si>
  <si>
    <t>LA POLVORA</t>
  </si>
  <si>
    <t>SAN JUAN SUR</t>
  </si>
  <si>
    <t>EL INVU</t>
  </si>
  <si>
    <t>LA MANSION</t>
  </si>
  <si>
    <t>BARRIO EL GUAYABAL</t>
  </si>
  <si>
    <t>LOS JOBOS</t>
  </si>
  <si>
    <t>LOS JOCOTES</t>
  </si>
  <si>
    <t>LA LIBERTAD</t>
  </si>
  <si>
    <t>BARRANCA PROGRESO</t>
  </si>
  <si>
    <t>JICARAL</t>
  </si>
  <si>
    <t>LAS LOMAS</t>
  </si>
  <si>
    <t>PALMAR NORTE</t>
  </si>
  <si>
    <t>JUNTA NARANJO</t>
  </si>
  <si>
    <t>MATAPALO</t>
  </si>
  <si>
    <t>LA JULIETA</t>
  </si>
  <si>
    <t>CORALES 2</t>
  </si>
  <si>
    <t>B° LA CABAÑA</t>
  </si>
  <si>
    <t>CENTRO</t>
  </si>
  <si>
    <t>BARRIO LA SOLEDAD</t>
  </si>
  <si>
    <t>LAS JUNTAS</t>
  </si>
  <si>
    <t>LINDORA</t>
  </si>
  <si>
    <t>EL ERIZO INVU CAÑAS</t>
  </si>
  <si>
    <t>QUIZARRASES</t>
  </si>
  <si>
    <t>SECTOR 6</t>
  </si>
  <si>
    <t>ROMILIOS</t>
  </si>
  <si>
    <t>LA ERMITA</t>
  </si>
  <si>
    <t>PEDREGOSO</t>
  </si>
  <si>
    <t>SECTOR VARGAS</t>
  </si>
  <si>
    <t>PAVAS CENTRO</t>
  </si>
  <si>
    <t>CALLE ZAMORA</t>
  </si>
  <si>
    <t>VARON</t>
  </si>
  <si>
    <t>BARRIO IRVIN</t>
  </si>
  <si>
    <t>LIVERPOOL</t>
  </si>
  <si>
    <t>LA ANITA</t>
  </si>
  <si>
    <t>ASENTAMIENTO AGROPORTICA</t>
  </si>
  <si>
    <t>LAS PALMITAS</t>
  </si>
  <si>
    <t>PLATANAR</t>
  </si>
  <si>
    <t>BARRIO SAN PABLO</t>
  </si>
  <si>
    <t>LA TIGRA</t>
  </si>
  <si>
    <t>COPAL</t>
  </si>
  <si>
    <t>LA CARPIO</t>
  </si>
  <si>
    <t>direccion@cedesdonbosco.ed.cr</t>
  </si>
  <si>
    <t>1KM SUR PUENTE CAÑAS</t>
  </si>
  <si>
    <t>ctp.cotepecos@mep.go.cr</t>
  </si>
  <si>
    <t>100 OESTE IGLESIA EL PERPETUO SOCORRO</t>
  </si>
  <si>
    <t>600 OESTE DE LA IGLESIA CATOLICA</t>
  </si>
  <si>
    <t>300 METROS SUR DEL CENTRO MEDICO FAMILIAR</t>
  </si>
  <si>
    <t>RAFAEL ANGEL CORDERO CASTILLO</t>
  </si>
  <si>
    <t>ctp.josefigueresferrer@mep.go.cr</t>
  </si>
  <si>
    <t>300 OESTE DE LA CASA DE ANDE</t>
  </si>
  <si>
    <t>ctp.lagloriadepuriscal@mep.go.cr</t>
  </si>
  <si>
    <t>00540</t>
  </si>
  <si>
    <t>HUMBERTO QUIROS QUIROS</t>
  </si>
  <si>
    <t>ctp.deacosta@mep.go.cr</t>
  </si>
  <si>
    <t>02621</t>
  </si>
  <si>
    <t>100 ESTE DEL TEMPLO CATOLICO</t>
  </si>
  <si>
    <t>ctp.sanisidro@mep.go.cr</t>
  </si>
  <si>
    <t>450 SUROESTE DE LAS OFICINAS DE TRANSITO</t>
  </si>
  <si>
    <t>CENTRO SAN RAFAEL DE PLATANARES</t>
  </si>
  <si>
    <t>02559</t>
  </si>
  <si>
    <t>ctp.jesusocanarojas@mep.go.cr</t>
  </si>
  <si>
    <t>1 KM NO, ESTADIO ALEJANDRO MORERA SOTO</t>
  </si>
  <si>
    <t>ctp.piedades.sur@mep.go.cr</t>
  </si>
  <si>
    <t>02396</t>
  </si>
  <si>
    <t>200 MTS OESTE DEL PARQUE, CARRETERA A ESPARZA</t>
  </si>
  <si>
    <t>ctp.ricardocastrobeer@mep.go.cr</t>
  </si>
  <si>
    <t>500 SUR DEL COLEGIO SANTA FE</t>
  </si>
  <si>
    <t>150 ESTE 200 NORTE DEL GIMNASIO SIGLO XXI</t>
  </si>
  <si>
    <t>ctp.natanielariasmurillo@mep.go.cr</t>
  </si>
  <si>
    <t>ANA DAISY ESQUIVEL VARGAS</t>
  </si>
  <si>
    <t>ctp.venecia@mep.go.cr</t>
  </si>
  <si>
    <t>1 KM ESTE DEL SERVICENTRO VENECIA</t>
  </si>
  <si>
    <t>01251</t>
  </si>
  <si>
    <t>ctp.delafortuna@mep.go.cr</t>
  </si>
  <si>
    <t>FRENTE AL BANCO DE COSTA RICA</t>
  </si>
  <si>
    <t>01871</t>
  </si>
  <si>
    <t>ABRAHAM BARBOZA GOMEZ</t>
  </si>
  <si>
    <t>800 METROS AL OESTE DEL PARQUE DE SANTA ROSA</t>
  </si>
  <si>
    <t>02225</t>
  </si>
  <si>
    <t>ctp.franciscojorlich@mep.go.cr</t>
  </si>
  <si>
    <t>01719</t>
  </si>
  <si>
    <t>75 M SUR DEL HOSTPITAL DE UPALA</t>
  </si>
  <si>
    <t>00822</t>
  </si>
  <si>
    <t>ASDRUBAL CALVO PANIAGUA</t>
  </si>
  <si>
    <t>400 NORTE 100 OESTE DE LA CASA DE LA CULTURA</t>
  </si>
  <si>
    <t>02340</t>
  </si>
  <si>
    <t>MARIA ELID ARREDONDO DELGADO</t>
  </si>
  <si>
    <t>100M SUR DEL BANCO NACIONAL</t>
  </si>
  <si>
    <t>01252</t>
  </si>
  <si>
    <t>250 SURESTE DEL PUENTE BEILY</t>
  </si>
  <si>
    <t>01178</t>
  </si>
  <si>
    <t>ctp.heredia@mep.go.cr</t>
  </si>
  <si>
    <t>COSTADO NORTE DE LA COMANDANCIA</t>
  </si>
  <si>
    <t>ctp.ulloa@mep.go.cr</t>
  </si>
  <si>
    <t>VERA VILLALOBOS VINDAS</t>
  </si>
  <si>
    <t>ctp.puertoviejo@mep.go.cr</t>
  </si>
  <si>
    <t>800 NORTE DEL BANCO NACIONAL</t>
  </si>
  <si>
    <t>01181</t>
  </si>
  <si>
    <t>ctp.deliberia@mep.go.cr</t>
  </si>
  <si>
    <t>WILBERTH UGARTE MEDINA</t>
  </si>
  <si>
    <t>ctp.denicoya@mep.go.cr</t>
  </si>
  <si>
    <t>300 SUR DE LA MUNICIPALIDAD</t>
  </si>
  <si>
    <t>ctp.demansion@mep.go.cr</t>
  </si>
  <si>
    <t>01171</t>
  </si>
  <si>
    <t>REBECA ARNESTO TOLEDO</t>
  </si>
  <si>
    <t>ctp.decorralillo@mep.go.cr</t>
  </si>
  <si>
    <t>300 NORTE DE LA IGLESIA CATOLICA</t>
  </si>
  <si>
    <t>02659</t>
  </si>
  <si>
    <t>DIDIER BRICEÑO GOMEZ</t>
  </si>
  <si>
    <t>2 KM OESTE DE LA SUBESTACION DEL ICE</t>
  </si>
  <si>
    <t>150 MTS ESTE DEL CRUCE A PLAYA JUNQUILLAL</t>
  </si>
  <si>
    <t>VICTORIA EUGENIA ZUÑIGA ZUÑIGA</t>
  </si>
  <si>
    <t>ctp.decartagena@mep.go.cr</t>
  </si>
  <si>
    <t>1 KM NORTE DE LA IGLESIA CATOLICA CARTAGENA</t>
  </si>
  <si>
    <t>01247</t>
  </si>
  <si>
    <t>ctp.desantabarbara@mep.go.cr</t>
  </si>
  <si>
    <t>02136</t>
  </si>
  <si>
    <t>100 SUR DEL EBAIS</t>
  </si>
  <si>
    <t>00575</t>
  </si>
  <si>
    <t>ctp.decarrillo@mep.go.cr</t>
  </si>
  <si>
    <t>1 KM NORTE GASOLINERA SABANA FILADELFIA</t>
  </si>
  <si>
    <t>00827</t>
  </si>
  <si>
    <t>150 MTS SUR Y 300 ESTE DE LA CCSS</t>
  </si>
  <si>
    <t>02070</t>
  </si>
  <si>
    <t>ctp.denandayure@mep.go.cr</t>
  </si>
  <si>
    <t>400 ESTE DEL CEMENTERIO DE CARMONA</t>
  </si>
  <si>
    <t>02473</t>
  </si>
  <si>
    <t>BRAULIO MIRANDA MENDEZ</t>
  </si>
  <si>
    <t>ctp.dehojancha@mep.go.cr</t>
  </si>
  <si>
    <t>02511</t>
  </si>
  <si>
    <t>MARIA MARGARITA ORTEGA GARCIA</t>
  </si>
  <si>
    <t>FRENTE A URBANIZACION EL PROGRESO</t>
  </si>
  <si>
    <t>ctp.depaquera@mep.go.cr</t>
  </si>
  <si>
    <t>CONTIGUO A OFICINAS DEL MAG, PAQUERA CENTRO</t>
  </si>
  <si>
    <t>02043</t>
  </si>
  <si>
    <t>ctp.desantalena@mep.go.cr</t>
  </si>
  <si>
    <t>150 NORTE DEL CONSEJO MUNICIPAL MONTEVERDE</t>
  </si>
  <si>
    <t>02392</t>
  </si>
  <si>
    <t>ctp.decobano@mep.go.cr</t>
  </si>
  <si>
    <t>02430</t>
  </si>
  <si>
    <t>800 NORTE DE LA IGLESIA CATOLICA</t>
  </si>
  <si>
    <t>AGNES MAKRE MORA</t>
  </si>
  <si>
    <t>ctp.deosa@mep.go.cr</t>
  </si>
  <si>
    <t>PALMAR NORTE, FRENTE A CABINAS BRUNKA</t>
  </si>
  <si>
    <t>00280</t>
  </si>
  <si>
    <t>FRENTE A MAXI PALI</t>
  </si>
  <si>
    <t>01124</t>
  </si>
  <si>
    <t>FERNANDO ENRIQUEZ ESPINOZA</t>
  </si>
  <si>
    <t>FRENTE A LA PLAZA DE FUTBOL COSTADO NORTE</t>
  </si>
  <si>
    <t>00821</t>
  </si>
  <si>
    <t>ctp.deguaycara@mep.go.cr</t>
  </si>
  <si>
    <t>00832</t>
  </si>
  <si>
    <t>ctp.umbertomellonicampanini@mep.go.cr</t>
  </si>
  <si>
    <t>400 MTS. AL NOROESTE DE CORREOS DE COSTA RICA</t>
  </si>
  <si>
    <t>ctp.desabalito@mep.go.cr</t>
  </si>
  <si>
    <t>01248</t>
  </si>
  <si>
    <t>200 M NOROESTE DEL MERCADO DE PARRITA</t>
  </si>
  <si>
    <t>ctp.decorredores@mep.go.cr</t>
  </si>
  <si>
    <t>CARLOS HERNANDEZ ARCE</t>
  </si>
  <si>
    <t>FRENTE A LA ESCUELA LIDER LOS CORALES</t>
  </si>
  <si>
    <t>ctp.depococi@mep.go.cr</t>
  </si>
  <si>
    <t>01183</t>
  </si>
  <si>
    <t>WILBERTH VARGAS COTO</t>
  </si>
  <si>
    <t>ctp.deguacimo@mep.go.cr</t>
  </si>
  <si>
    <t>FERNANDO PUSEY HALL</t>
  </si>
  <si>
    <t>ctp.dejaco@mep.go.cr</t>
  </si>
  <si>
    <t>200 MTS SUR DE MAXI PALI</t>
  </si>
  <si>
    <t>DAMARIS CORRALES PICADO</t>
  </si>
  <si>
    <t>MAURICIO OBANDO OBANDO</t>
  </si>
  <si>
    <t>00788</t>
  </si>
  <si>
    <t>FRENTE AL CEMENTERIO MUNICIPAL DE LAS JUNTAS</t>
  </si>
  <si>
    <t>01718</t>
  </si>
  <si>
    <t>300 OESTE DE BANCO NACIONAL</t>
  </si>
  <si>
    <t>ctp.escazu@mep.go.cr</t>
  </si>
  <si>
    <t>ctp.fernandovoliojimenez@mep.go.cr</t>
  </si>
  <si>
    <t>ctp.tronadora@mep.go.cr</t>
  </si>
  <si>
    <t>200 METROS NORTE DEL REDONDEL DE TOROS</t>
  </si>
  <si>
    <t>ctp.invulascanas@mep.go.cr</t>
  </si>
  <si>
    <t>DETRAS DE LA IGLESIA CATOLICA, EL ERIZO</t>
  </si>
  <si>
    <t>CONTIGUO AL CENCINAI DE TIRRASES</t>
  </si>
  <si>
    <t>02185</t>
  </si>
  <si>
    <t>INGRID SUSANA JIMENEZ LOPEZ</t>
  </si>
  <si>
    <t>200 MTS NOROESTE CALLE QUIZARRASES</t>
  </si>
  <si>
    <t>200 NORTE DEL RESIDENCIAL MONTERAN</t>
  </si>
  <si>
    <t>ANA LUCIA BENAVIDES FERNANDEZ</t>
  </si>
  <si>
    <t>ctp.josealbertazzi@mep.go.cr</t>
  </si>
  <si>
    <t>350 OESTE ALCOHOLICOS ANONIMOS</t>
  </si>
  <si>
    <t>JESUS MARIA RAMOS LEZA</t>
  </si>
  <si>
    <t>KATIA AMADOR PEREZ</t>
  </si>
  <si>
    <t>ctp.vazquezdecoronado@mep.go.cr</t>
  </si>
  <si>
    <t>MARGARITA RAMIREZ BONILLA</t>
  </si>
  <si>
    <t>200 MTS.NORTE DEL CAMPO SANTO SILENCIO Y PAZ</t>
  </si>
  <si>
    <t>BRAULIO MONTERO GONZALEZ</t>
  </si>
  <si>
    <t>400 MTS ESTE DE LA PLAZA DE DEPORTES</t>
  </si>
  <si>
    <t>LUIS GMO. SALAS BOGANTES</t>
  </si>
  <si>
    <t>ctp.santocristodeesquipulas@mep.go.cr</t>
  </si>
  <si>
    <t>ctp.sabanilla@mep.go.cr</t>
  </si>
  <si>
    <t>01726</t>
  </si>
  <si>
    <t>HERNAN BONILLA CESPEDES</t>
  </si>
  <si>
    <t>COSTADO NORTE DEL TEMPLO CATOLICO DE SAN RAFA</t>
  </si>
  <si>
    <t>KATTIA MADRIGAL BALLESTERO</t>
  </si>
  <si>
    <t>ctp.debolivar@mep.go.cr</t>
  </si>
  <si>
    <t>250 MTS OESTE DEL EBAIS DE LOS ANGELES</t>
  </si>
  <si>
    <t>EDGAR EVANS MEZA</t>
  </si>
  <si>
    <t>ctp.dulcenombre@mep.go.cr</t>
  </si>
  <si>
    <t>400 NOROESTE DE LAS BOMBAS DE AGUA DEL AYA</t>
  </si>
  <si>
    <t>1.5 KM AL N,DEL CRUCE PEDREGOSO CARRET SNRAMO</t>
  </si>
  <si>
    <t>02441</t>
  </si>
  <si>
    <t>ANABEL VARGAS CALDERON</t>
  </si>
  <si>
    <t>ctp.santalucia@mep.go.cr</t>
  </si>
  <si>
    <t>ctp.abelardobonillabaldares@mep.go.cr</t>
  </si>
  <si>
    <t>125 ESTE DE LA ESCUELA APOLINAR LOBO UMANA</t>
  </si>
  <si>
    <t>00745</t>
  </si>
  <si>
    <t>ctp.depurral@mep.go.cr</t>
  </si>
  <si>
    <t>00419</t>
  </si>
  <si>
    <t>ctp.deoreamuno@mep.go.cr</t>
  </si>
  <si>
    <t>D.DE LA IGLESIA STA.CECILIA,SN.JOSECITO</t>
  </si>
  <si>
    <t>ctp.santodomingo@mep.go.cr</t>
  </si>
  <si>
    <t>LAURA RAMON ELIZONDO</t>
  </si>
  <si>
    <t>ctp.mercedes.norte@mep.go.cr</t>
  </si>
  <si>
    <t>ctp.depavas@mep.go.cr</t>
  </si>
  <si>
    <t>ALBERTO HERNANDEZ ENRIQUEZ</t>
  </si>
  <si>
    <t>COSTADO SUR DE LA PLAZA DE FUTBOL</t>
  </si>
  <si>
    <t>ELIETH FERNANDEZ CABEZAS</t>
  </si>
  <si>
    <t>ctp.decanas@mep.go.cr</t>
  </si>
  <si>
    <t>DEL ABASTECEDOR PRESTACIONES 400 E Y 50 S</t>
  </si>
  <si>
    <t>DORA ALICIA AGUILAR MATAMOROS</t>
  </si>
  <si>
    <t>ctp.demora@mep.go.cr</t>
  </si>
  <si>
    <t>EZEQUIEL VARGAS SALAS</t>
  </si>
  <si>
    <t>COSTADO SUR DE LA PLAZA</t>
  </si>
  <si>
    <t>SEYLYN ARAYA MORALES</t>
  </si>
  <si>
    <t>ctp.zarcero@mep.go.cr</t>
  </si>
  <si>
    <t>ctp.atenas@mep.go.cr</t>
  </si>
  <si>
    <t>500 SUR Y 150 NORESTE DE LOS TRIBUNALES DE JU</t>
  </si>
  <si>
    <t>ctp.barrioirvin@mep.go.cr</t>
  </si>
  <si>
    <t>150 ESTE DE LA ESCUELA IRVIN</t>
  </si>
  <si>
    <t>01637</t>
  </si>
  <si>
    <t>ctp.deorosi@mep.go.cr</t>
  </si>
  <si>
    <t>800 SURESTE DEL BENEFICIO ORLICHS</t>
  </si>
  <si>
    <t>ctp.josemariazeledon@mep.go.cr</t>
  </si>
  <si>
    <t>VICTOR CRUZ CASTRO</t>
  </si>
  <si>
    <t>ctp.deagroportica@mep.go.cr</t>
  </si>
  <si>
    <t>DEL ANTIGUO ATERRIZAJE DE FINCA SAN PEDRO 1 K</t>
  </si>
  <si>
    <t>OSCAR ALFARO BARRANTES</t>
  </si>
  <si>
    <t>ctp.laspalmitas@mep.go.cr</t>
  </si>
  <si>
    <t>MIGUEL ANGEL CARVAJAL JIMENEZ</t>
  </si>
  <si>
    <t>ctp.deplatanar@mep.go.cr</t>
  </si>
  <si>
    <t>150 ESTE DEL CEMENTERIO DE PLATANAR</t>
  </si>
  <si>
    <t>GIOVANNI SOLIS ARCE</t>
  </si>
  <si>
    <t>100 E, 400 N DEL MAXI PALI</t>
  </si>
  <si>
    <t>WALTER BORBON PICADO</t>
  </si>
  <si>
    <t>ctp.debelen@mep.go.cr</t>
  </si>
  <si>
    <t>DE LA CRUZ R.150 S.Y 25 O.DE LA C.B.LA GRACIA</t>
  </si>
  <si>
    <t>ctp.sanrafaeldealajuela@mep.go.cr</t>
  </si>
  <si>
    <t>100 SUR 800 ESTE DE LA ESCUELA LA TIGRA</t>
  </si>
  <si>
    <t>50 OESTE DE ESCUELA BLAS MONTES LEAL</t>
  </si>
  <si>
    <t>02108</t>
  </si>
  <si>
    <t>CINTHYA LOBO CORDERO</t>
  </si>
  <si>
    <t>ctp.deleste@mep.go.cr</t>
  </si>
  <si>
    <t>100 MTS NORTE Y 50 OESTE DE AUTOS VILLALOBOS</t>
  </si>
  <si>
    <t>direccion@ctpcit.co.cr</t>
  </si>
  <si>
    <t>ctp.lacarpio@mep.go.cr</t>
  </si>
  <si>
    <t>INSTALACIONES DE LA IGLESIA MARIA REINA HAT 1</t>
  </si>
  <si>
    <t>Técnica Nocturna</t>
  </si>
  <si>
    <t>Sicología y Ética Profesional</t>
  </si>
  <si>
    <t>Modalidad
y Especialidad</t>
  </si>
  <si>
    <t>Comercial y de Servicios</t>
  </si>
  <si>
    <t>Acoounting</t>
  </si>
  <si>
    <t>Administración y Operación Aduanera</t>
  </si>
  <si>
    <t>Banca y Finanzas</t>
  </si>
  <si>
    <t>Contabilidad</t>
  </si>
  <si>
    <t>Contabilidad y Costos</t>
  </si>
  <si>
    <t>Contabilidad y Finanzas</t>
  </si>
  <si>
    <t>Diseño y Desarrollo Digital</t>
  </si>
  <si>
    <t>Executive Service Center</t>
  </si>
  <si>
    <t>Informática Empresarial</t>
  </si>
  <si>
    <t>Information Technology Support</t>
  </si>
  <si>
    <t>Computer Networking</t>
  </si>
  <si>
    <t>Computer Science in Software Development</t>
  </si>
  <si>
    <t>Salud Ocupacional</t>
  </si>
  <si>
    <t>Secretariado Ejecutivo</t>
  </si>
  <si>
    <t>Bilingual Secretary</t>
  </si>
  <si>
    <t>Turismo Costero</t>
  </si>
  <si>
    <t>Turismo Rural</t>
  </si>
  <si>
    <t>Industrial</t>
  </si>
  <si>
    <t>Administración, Logística y Distribución</t>
  </si>
  <si>
    <t>Autorremodelado</t>
  </si>
  <si>
    <t>Construcción Civil</t>
  </si>
  <si>
    <t>Dibujo Técnico</t>
  </si>
  <si>
    <t>Diseño Gráfico</t>
  </si>
  <si>
    <t>Diseño Publicitario</t>
  </si>
  <si>
    <t>Diseño y Confección de la Moda</t>
  </si>
  <si>
    <t>Diseño y Construcción de Muebles y Estructuras</t>
  </si>
  <si>
    <t>Electromecánica</t>
  </si>
  <si>
    <t>Electrónica en Telecomunicaciones</t>
  </si>
  <si>
    <t>Electrónica Industrial</t>
  </si>
  <si>
    <t>Mecánica General</t>
  </si>
  <si>
    <t>Mecánica de Precisión</t>
  </si>
  <si>
    <t>Mecánica Naval</t>
  </si>
  <si>
    <t>Refrigeración y Aire Acondicionado</t>
  </si>
  <si>
    <t>Agropecuaria</t>
  </si>
  <si>
    <t>Agro Jardinería</t>
  </si>
  <si>
    <t>Agroecología</t>
  </si>
  <si>
    <t>Agroindustria Alimentaria con Tecnología Agrícola</t>
  </si>
  <si>
    <t>Agroindustria Alimentaria con Tecnología Pecuaria</t>
  </si>
  <si>
    <t>Riego y Drenaje</t>
  </si>
  <si>
    <t>0007</t>
  </si>
  <si>
    <t>0008</t>
  </si>
  <si>
    <t>Docentes-Técnica Diurna</t>
  </si>
  <si>
    <t>CUADRO 14</t>
  </si>
  <si>
    <t>Técnica Diurna (incluye Asignaturas Especiales)</t>
  </si>
  <si>
    <t>Se comparte el edificio con otra institución?</t>
  </si>
  <si>
    <t>¿Tiene estructura curricular de Innovación Educativa?</t>
  </si>
  <si>
    <t>Sala de Robótica</t>
  </si>
  <si>
    <t>2-16-01</t>
  </si>
  <si>
    <t>6-01-10</t>
  </si>
  <si>
    <t>C.T.P. DE COBANO</t>
  </si>
  <si>
    <t>C.T.P. DE PUERTO JIMENEZ</t>
  </si>
  <si>
    <t>C.T.P. DE ESCAZU</t>
  </si>
  <si>
    <t>C.T.P. HENRI FRANÇOIS PITTIER</t>
  </si>
  <si>
    <t>C.T.P. EDUCACION COMERCIAL Y DE SERVICIOS</t>
  </si>
  <si>
    <t>JUAN FELIPE CHACON CASTILLO</t>
  </si>
  <si>
    <t>ctp.calleblancos@mep.go.cr</t>
  </si>
  <si>
    <t>ctp.deturrubares@mep.go.cr</t>
  </si>
  <si>
    <t>ctp.danielfloreszavaleta@mep.go.cr</t>
  </si>
  <si>
    <t>ANA JULIA SANCHEZ VEGA</t>
  </si>
  <si>
    <t>ctp.sanpablodeleoncortes@mep.go.cr</t>
  </si>
  <si>
    <t>ctp.desanmateo@mep.go.cr</t>
  </si>
  <si>
    <t>ctp.regionaldesancarlos@mep.go.cr</t>
  </si>
  <si>
    <t>FRENTE A LA PLAZA DE DEPORTES</t>
  </si>
  <si>
    <t>ctp.depital@mep.go.cr</t>
  </si>
  <si>
    <t>ctp.deguatuso@mep.go.cr</t>
  </si>
  <si>
    <t>FERNANDO TORRES QUIROS</t>
  </si>
  <si>
    <t>ctp.marioquirosssaso@mep.go.cr</t>
  </si>
  <si>
    <t>JORGE MARIO GONZALEZ MATAMOROS</t>
  </si>
  <si>
    <t>RAFAEL CASTRO VINDAS</t>
  </si>
  <si>
    <t>MIGUEL CHAVARRIA RODRIGUEZ</t>
  </si>
  <si>
    <t>100 OESTE DE LA CLINICA DE JICARAL</t>
  </si>
  <si>
    <t>ctp.dequepos@mep.go.cr</t>
  </si>
  <si>
    <t>ctp.dematapalo@mep.go.cr</t>
  </si>
  <si>
    <t>INVU LA ROTONDA</t>
  </si>
  <si>
    <t>HERMILEY ALVARADO LOPEZ</t>
  </si>
  <si>
    <t>PUERTO JIMENEZ, 300 MTS. SUR DE BOMBA OSA</t>
  </si>
  <si>
    <t>RIO CLARO</t>
  </si>
  <si>
    <t>ctp.delimon@mep.go.cr</t>
  </si>
  <si>
    <t>ctp.padrerobertoevans@mep.go.cr</t>
  </si>
  <si>
    <t>QUINCE DE AGOSTO</t>
  </si>
  <si>
    <t>ctp.uladislaogamezsolano@mep.go.cr</t>
  </si>
  <si>
    <t>ctp.degranadilla@mep.go.cr</t>
  </si>
  <si>
    <t>ctp.deplamichal@mep.go.cr</t>
  </si>
  <si>
    <t>ctp.sanrafaeldepoas@mep.go.cr</t>
  </si>
  <si>
    <t>ALEJANDRO BRENES GAMBOA</t>
  </si>
  <si>
    <t>1 KM AL SUR 800 AL E DIAGONAL SUPER TENORIO</t>
  </si>
  <si>
    <t>RAUL MIRANDA MESEN</t>
  </si>
  <si>
    <t>ctp.elrosarionaranjo@mep.go.cr</t>
  </si>
  <si>
    <t>ctp.callezamora@mep.go.cr</t>
  </si>
  <si>
    <t>ctp.esparza@mep.go.cr</t>
  </si>
  <si>
    <t>MARVIN MANCIA ELIZONDO</t>
  </si>
  <si>
    <t>ctp.liverpool@mep.go.cr</t>
  </si>
  <si>
    <t>DEL SUPER SOL NACIENTE, 150 METROS NOROESTE</t>
  </si>
  <si>
    <t>HENRY RODRIGUEZ MOJICA</t>
  </si>
  <si>
    <t>LIGIA MARITZA ABARCA CERVANTES</t>
  </si>
  <si>
    <t>ctp.braulioodioherrera@mep.go.cr</t>
  </si>
  <si>
    <t>DE LA PLAZA DE DEPORTES 300 S,CALLE LA LEGUA</t>
  </si>
  <si>
    <t>ctp.dehatillo@mep.go.cr</t>
  </si>
  <si>
    <t>02785</t>
  </si>
  <si>
    <t>02784</t>
  </si>
  <si>
    <t>RESIDENCIA DE LOS ESTUDIANTES MATRICULADOS DURANTE</t>
  </si>
  <si>
    <t>Refugiados</t>
  </si>
  <si>
    <t>Solicitante de Asilo</t>
  </si>
  <si>
    <t>CUADRO 15</t>
  </si>
  <si>
    <t>5-11-05</t>
  </si>
  <si>
    <t>Afectividad y Sexualidad Integral</t>
  </si>
  <si>
    <t>Repitentes</t>
  </si>
  <si>
    <t>¿Tiene Sección Técnica Nocturna?</t>
  </si>
  <si>
    <t>MATRÍCULA INICIAL, REPITENTES Y NÚMERO DE SECCIONES
EN EL CENTRO EDUCATIVO</t>
  </si>
  <si>
    <t>Servicio y
Año que cursa</t>
  </si>
  <si>
    <t>Año que cursa</t>
  </si>
  <si>
    <t>SAN JOSE CENTRAL</t>
  </si>
  <si>
    <t>SAN JOSE OESTE</t>
  </si>
  <si>
    <t>SAN JOSE NORTE</t>
  </si>
  <si>
    <t>C.T.P. DE PEJIBAYE</t>
  </si>
  <si>
    <t>GRANDE DE TERRABA</t>
  </si>
  <si>
    <t>SULA</t>
  </si>
  <si>
    <t>ARNOLDO CUBIAS RIVAS</t>
  </si>
  <si>
    <t>ctp.depuriscal@mep.go.cr</t>
  </si>
  <si>
    <t>300 N Y 300 OE DE LOS TRIBUNALES DE JUSTICIA</t>
  </si>
  <si>
    <t>200 OESTE DEL PLANTEL DEL MOPT</t>
  </si>
  <si>
    <t>ADRIAN JIMENEZ CHAVEZ</t>
  </si>
  <si>
    <t>ctp.desardinal@mep.go.cr</t>
  </si>
  <si>
    <t>ctp.debenosaires@mep.go.cr</t>
  </si>
  <si>
    <t>CONTIGUO A LA SUCURSAL DE LA CCSS</t>
  </si>
  <si>
    <t>ARMANDO QUESADA SABA</t>
  </si>
  <si>
    <t>ctp.ambientalistaisiasretana@mep.go.cr</t>
  </si>
  <si>
    <t>DE ASEMBIS PURRAL 600 MTS AL SURESTE</t>
  </si>
  <si>
    <t>MARYORIE HERNANDEZ ROJAS</t>
  </si>
  <si>
    <t>ctp.sanisidrodeheredia@mep.go.cr</t>
  </si>
  <si>
    <t>75E Y 150S ENTRADA PRINCIPAL DE PEDREGAL</t>
  </si>
  <si>
    <t>P_ABIERTA</t>
  </si>
  <si>
    <t>XX</t>
  </si>
  <si>
    <t>0010</t>
  </si>
  <si>
    <t>Aulas o lugar donde se imparten lecciones:</t>
  </si>
  <si>
    <t>Indique si la Institución cuenta con los siguientes servicios:</t>
  </si>
  <si>
    <t>Pupitres (Unipersonales, mesas de pupitre)</t>
  </si>
  <si>
    <t>Camión Cisterna</t>
  </si>
  <si>
    <t>Hidrante</t>
  </si>
  <si>
    <t>Servicios Sanitarios</t>
  </si>
  <si>
    <t>Para hombres</t>
  </si>
  <si>
    <t>Para mujeres</t>
  </si>
  <si>
    <t>Para ambos sexos</t>
  </si>
  <si>
    <t>Pileta lavamanos (Bebedero)</t>
  </si>
  <si>
    <t xml:space="preserve">MATRÍCULA INICIAL EN ALGUNAS ASIGNATURAS, TÉCNICA DIURNA </t>
  </si>
  <si>
    <t>REPITENTES EN ALGUNAS ASIGNATURAS, TÉCNICA DIURNA</t>
  </si>
  <si>
    <t>Matriculados
en:</t>
  </si>
  <si>
    <t>(3)
De los estudiantes anotados en la columna (1), indique los que 
 SON ALFABETIZADOS</t>
  </si>
  <si>
    <t>Educación
Diversificada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</si>
  <si>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</si>
  <si>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</si>
  <si>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</si>
  <si>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</si>
  <si>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</si>
  <si>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</si>
  <si>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ESTUDIANTES DE TÉCNICA DIURNA REPORTADOS COMO</t>
  </si>
  <si>
    <t>ESTUDIANTES QUE APROBARON ALGUNA ASIGNATURA EN CONVOCATORIAS, TÉCNICA DIURNA</t>
  </si>
  <si>
    <t>Retraso Mental (Discapacidad Intelectual)</t>
  </si>
  <si>
    <t>Terapia Física (Rehabilitación Física)</t>
  </si>
  <si>
    <t>Terapia Ocupacional (Rehabilitación Ocupacional)</t>
  </si>
  <si>
    <t>PERSONAL TOTAL QUE LABORA EN TÉCNICA DIURNA, SEGÚN TIPO DE CARGO</t>
  </si>
  <si>
    <t>PERSONAL DOCENTE DE TÉCNICA DIURNA, POR GRUPO PROFESIONAL</t>
  </si>
  <si>
    <t>SEC_NOCT</t>
  </si>
  <si>
    <t>00891</t>
  </si>
  <si>
    <t>01003</t>
  </si>
  <si>
    <t>00904</t>
  </si>
  <si>
    <t>00911</t>
  </si>
  <si>
    <t>01000</t>
  </si>
  <si>
    <t>00876</t>
  </si>
  <si>
    <t>00908</t>
  </si>
  <si>
    <t>00952</t>
  </si>
  <si>
    <t>00953</t>
  </si>
  <si>
    <t>00998</t>
  </si>
  <si>
    <t>00960</t>
  </si>
  <si>
    <t>00956</t>
  </si>
  <si>
    <t>00916</t>
  </si>
  <si>
    <t>00995</t>
  </si>
  <si>
    <t>00957</t>
  </si>
  <si>
    <t>00994</t>
  </si>
  <si>
    <t>00987</t>
  </si>
  <si>
    <t>00993</t>
  </si>
  <si>
    <t>00965</t>
  </si>
  <si>
    <t>01002</t>
  </si>
  <si>
    <t>00763</t>
  </si>
  <si>
    <t>00988</t>
  </si>
  <si>
    <t>01004</t>
  </si>
  <si>
    <t>01040</t>
  </si>
  <si>
    <t>00943</t>
  </si>
  <si>
    <t>00838</t>
  </si>
  <si>
    <t>00942</t>
  </si>
  <si>
    <t>00961</t>
  </si>
  <si>
    <t>00941</t>
  </si>
  <si>
    <t>00989</t>
  </si>
  <si>
    <t>00990</t>
  </si>
  <si>
    <t>00933</t>
  </si>
  <si>
    <t>00938</t>
  </si>
  <si>
    <t>00966</t>
  </si>
  <si>
    <t>00962</t>
  </si>
  <si>
    <t>00906</t>
  </si>
  <si>
    <t>00800</t>
  </si>
  <si>
    <t>00915</t>
  </si>
  <si>
    <t>00894</t>
  </si>
  <si>
    <t>00996</t>
  </si>
  <si>
    <t>00880</t>
  </si>
  <si>
    <t>00951</t>
  </si>
  <si>
    <t>01008</t>
  </si>
  <si>
    <t>00913</t>
  </si>
  <si>
    <t>01050</t>
  </si>
  <si>
    <t>00914</t>
  </si>
  <si>
    <t>00912</t>
  </si>
  <si>
    <t>00964</t>
  </si>
  <si>
    <t>00954</t>
  </si>
  <si>
    <t>00833</t>
  </si>
  <si>
    <t>00999</t>
  </si>
  <si>
    <t>00959</t>
  </si>
  <si>
    <t>00958</t>
  </si>
  <si>
    <t>00905</t>
  </si>
  <si>
    <t>01007</t>
  </si>
  <si>
    <t>01044</t>
  </si>
  <si>
    <t>01006</t>
  </si>
  <si>
    <t>00917</t>
  </si>
  <si>
    <t>00907</t>
  </si>
  <si>
    <t>01099</t>
  </si>
  <si>
    <t>00860</t>
  </si>
  <si>
    <t>00944</t>
  </si>
  <si>
    <t>00945</t>
  </si>
  <si>
    <t>01041</t>
  </si>
  <si>
    <t>01075</t>
  </si>
  <si>
    <t>00955</t>
  </si>
  <si>
    <t>00963</t>
  </si>
  <si>
    <t>01005</t>
  </si>
  <si>
    <t>00992</t>
  </si>
  <si>
    <t>00991</t>
  </si>
  <si>
    <t>01039</t>
  </si>
  <si>
    <t>01073</t>
  </si>
  <si>
    <t>01047</t>
  </si>
  <si>
    <t>01046</t>
  </si>
  <si>
    <t>00997</t>
  </si>
  <si>
    <t>01037</t>
  </si>
  <si>
    <t>01001</t>
  </si>
  <si>
    <t>01042</t>
  </si>
  <si>
    <t>01051</t>
  </si>
  <si>
    <t>01045</t>
  </si>
  <si>
    <t>01049</t>
  </si>
  <si>
    <t>01043</t>
  </si>
  <si>
    <t>01098</t>
  </si>
  <si>
    <t>01074</t>
  </si>
  <si>
    <t>Duchas</t>
  </si>
  <si>
    <t>Trastorno del Lenguaje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</si>
  <si>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que se cursan.</t>
  </si>
  <si>
    <t>Pérdida Auditiva</t>
  </si>
  <si>
    <t>Mingitorios (Urinarios)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</si>
  <si>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</si>
  <si>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7-03-07</t>
  </si>
  <si>
    <t>ELIZABETH LOPEZ HIDALGO</t>
  </si>
  <si>
    <t>1KM O DEL INA FRENTE AUTOPISTA GENERAL CAÑAS</t>
  </si>
  <si>
    <t>ctp.desantacruz@mep.go.cr</t>
  </si>
  <si>
    <t>ctp.fortunadebagaces@mep.go.cr</t>
  </si>
  <si>
    <t>XIOMARA ROJAS RUIZ</t>
  </si>
  <si>
    <t>JAVIER FRANCISCO JUAREZ ZUNIGA</t>
  </si>
  <si>
    <t>ctp.depuntarenas@mep.go.cr</t>
  </si>
  <si>
    <t>ctp.dejicaral@mep.go.cr</t>
  </si>
  <si>
    <t>ctp.carlosmanuelvicente@mep.go.cr</t>
  </si>
  <si>
    <t>ctp.valledelaestrella@mep.go.cr</t>
  </si>
  <si>
    <t>SUSANA ZUÑIGA RODRIGUEZ</t>
  </si>
  <si>
    <t>ctp.bataan@mep.go.cr</t>
  </si>
  <si>
    <t>ctp.deabangares@mep.go.cr</t>
  </si>
  <si>
    <t>ctp.desantaana@mep.go.cr</t>
  </si>
  <si>
    <t>ctp.carrizal@mep.go.crm</t>
  </si>
  <si>
    <t>ctp.sanpedrodebarva@mep.go.cr</t>
  </si>
  <si>
    <t>ctp.santaeulalia@mep.go.cr</t>
  </si>
  <si>
    <t>SANDY ALONSO JIMENEZ CASCANTE</t>
  </si>
  <si>
    <t>DIAGONAL A LA ESCUELA SAN BOSCO DE MORA</t>
  </si>
  <si>
    <t>ctp.henrifrancoispittier@mep.go.cr</t>
  </si>
  <si>
    <t>ctp.robertogamboavalverde@mep.go.cr</t>
  </si>
  <si>
    <t>CONTIGUO AL TANQUE DE LA ASADA</t>
  </si>
  <si>
    <t>2-16-02</t>
  </si>
  <si>
    <t>2-16-03</t>
  </si>
  <si>
    <t>Ciberseguridad</t>
  </si>
  <si>
    <t>Configuración y Soporte de Redes de Comunicación y Sistemas Operativos</t>
  </si>
  <si>
    <t>Informática en Soporte</t>
  </si>
  <si>
    <t>Impresión Offset</t>
  </si>
  <si>
    <t>Productivity and Quality</t>
  </si>
  <si>
    <t>MATRÍCULA INICIAL EN TÉCNICA DIURNA SEGÚN MODALIDAD Y ESPECIALIDAD</t>
  </si>
  <si>
    <t>Trastorno del Espectro Autista (TEA)</t>
  </si>
  <si>
    <t>2/  Antes Problemas Emocionales y de Conducta.</t>
  </si>
  <si>
    <t>3/ Antes Problemas de Aprendizaje.</t>
  </si>
  <si>
    <t>4/  Especificar en OBSERVACIONES/COMENTARIOS. Ver ejemplos en la Guía.</t>
  </si>
  <si>
    <t>El Centro Educativo se abastece de agua por:</t>
  </si>
  <si>
    <t>El Agua que consumen proviene de:</t>
  </si>
  <si>
    <t>En el Centro Educativo hay luz eléctrica del:</t>
  </si>
  <si>
    <t>C.T.P.SAN ISIDRO DE HEREDIA</t>
  </si>
  <si>
    <t>JENNY BURGOS VALVERDE</t>
  </si>
  <si>
    <t>SERGIO CORELLA BONILLA</t>
  </si>
  <si>
    <t>200 SUR AGENCIA DEL BANCO NACIONAL</t>
  </si>
  <si>
    <t>ctp.lasuiza@mep.go.cr</t>
  </si>
  <si>
    <t>MARIA CRISTINA VARGAS GRANDA</t>
  </si>
  <si>
    <t>BRENDA GONZALEZ GONZALEZ</t>
  </si>
  <si>
    <t>LEIDY ARACELY GUERRA PATIÑO</t>
  </si>
  <si>
    <t>ctp.deparrita@mep.go.cr</t>
  </si>
  <si>
    <t>ctp.doscercas@mep.go.cr</t>
  </si>
  <si>
    <t>400 SURESTE DE COOPETRANSASI</t>
  </si>
  <si>
    <t>ctp.maximoquesada@mep.go.cr</t>
  </si>
  <si>
    <t>BANNY NG HIDALGO</t>
  </si>
  <si>
    <t>ctp.deaserri@mep.go.cr</t>
  </si>
  <si>
    <t>IVAN MENA HIDALGO</t>
  </si>
  <si>
    <t>INGRID MARIA MORA SILES</t>
  </si>
  <si>
    <t>TOTAL-Técnica Diurna</t>
  </si>
  <si>
    <t>ESTUDIANTES EXTRANJEROS, REFUGIADOS Y SOLICITANTES DE ASILO</t>
  </si>
  <si>
    <t>SEGÚN PAÍS/CONTINENTE, TÉCNICA DIURNA</t>
  </si>
  <si>
    <t>País / Continente</t>
  </si>
  <si>
    <t>Extranjeros
(Nacionalidad)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</si>
  <si>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</si>
  <si>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</si>
  <si>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</si>
  <si>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</si>
  <si>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</si>
  <si>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</si>
  <si>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</si>
  <si>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</si>
  <si>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</si>
  <si>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</si>
  <si>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</si>
  <si>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</si>
  <si>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</si>
  <si>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</si>
  <si>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</si>
  <si>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</si>
  <si>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</si>
  <si>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</si>
  <si>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</si>
  <si>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</si>
  <si>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</si>
  <si>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</si>
  <si>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</si>
  <si>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</si>
  <si>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</si>
  <si>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</si>
  <si>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</si>
  <si>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</si>
  <si>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</si>
  <si>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</si>
  <si>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</si>
  <si>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</si>
  <si>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</si>
  <si>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</si>
  <si>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</si>
  <si>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</si>
  <si>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</si>
  <si>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</si>
  <si>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</si>
  <si>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</si>
  <si>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</si>
  <si>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</si>
  <si>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</si>
  <si>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</si>
  <si>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</si>
  <si>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</si>
  <si>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</si>
  <si>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</si>
  <si>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</si>
  <si>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</si>
  <si>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</si>
  <si>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</si>
  <si>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</si>
  <si>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</si>
  <si>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</si>
  <si>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</si>
  <si>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</si>
  <si>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</si>
  <si>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</si>
  <si>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</si>
  <si>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</si>
  <si>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</si>
  <si>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</si>
  <si>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</si>
  <si>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</si>
  <si>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</si>
  <si>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</si>
  <si>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</si>
  <si>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</si>
  <si>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</si>
  <si>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</si>
  <si>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</si>
  <si>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</si>
  <si>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</si>
  <si>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</si>
  <si>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</si>
  <si>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</si>
  <si>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</si>
  <si>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</si>
  <si>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</si>
  <si>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</si>
  <si>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</si>
  <si>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</si>
  <si>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</si>
  <si>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</si>
  <si>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</si>
  <si>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</si>
  <si>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</si>
  <si>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</si>
  <si>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</si>
  <si>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</si>
  <si>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</si>
  <si>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</si>
  <si>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</si>
  <si>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</si>
  <si>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</si>
  <si>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</si>
  <si>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</si>
  <si>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</si>
  <si>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</si>
  <si>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</si>
  <si>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</si>
  <si>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</si>
  <si>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</si>
  <si>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</si>
  <si>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</si>
  <si>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</si>
  <si>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</si>
  <si>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</si>
  <si>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</si>
  <si>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</si>
  <si>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</si>
  <si>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</si>
  <si>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</si>
  <si>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</si>
  <si>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</si>
  <si>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</si>
  <si>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</si>
  <si>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</si>
  <si>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</si>
  <si>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</si>
  <si>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</si>
  <si>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</si>
  <si>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</si>
  <si>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</si>
  <si>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</si>
  <si>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</si>
  <si>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</si>
  <si>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</si>
  <si>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</si>
  <si>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</si>
  <si>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</si>
  <si>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</si>
  <si>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</si>
  <si>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</si>
  <si>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</si>
  <si>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</si>
  <si>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</si>
  <si>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</si>
  <si>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</si>
  <si>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</si>
  <si>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</si>
  <si>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</si>
  <si>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</si>
  <si>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</si>
  <si>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</si>
  <si>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</si>
  <si>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</si>
  <si>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</si>
  <si>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</si>
  <si>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</si>
  <si>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</si>
  <si>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</si>
  <si>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</si>
  <si>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</si>
  <si>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</si>
  <si>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</si>
  <si>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</si>
  <si>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</si>
  <si>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</si>
  <si>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</si>
  <si>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</si>
  <si>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</si>
  <si>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</si>
  <si>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</si>
  <si>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</si>
  <si>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</si>
  <si>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</si>
  <si>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</si>
  <si>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</si>
  <si>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</si>
  <si>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</si>
  <si>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</si>
  <si>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</si>
  <si>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</si>
  <si>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</si>
  <si>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</si>
  <si>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</si>
  <si>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</si>
  <si>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</si>
  <si>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</si>
  <si>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</si>
  <si>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</si>
  <si>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</si>
  <si>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</si>
  <si>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</si>
  <si>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</si>
  <si>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</si>
  <si>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</si>
  <si>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</si>
  <si>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</si>
  <si>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</si>
  <si>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</si>
  <si>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</si>
  <si>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</si>
  <si>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</si>
  <si>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</si>
  <si>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</si>
  <si>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</si>
  <si>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</si>
  <si>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</si>
  <si>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</si>
  <si>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</si>
  <si>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</si>
  <si>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</si>
  <si>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</si>
  <si>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</si>
  <si>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</si>
  <si>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</si>
  <si>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</si>
  <si>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</si>
  <si>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</si>
  <si>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</si>
  <si>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</si>
  <si>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</si>
  <si>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</si>
  <si>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</si>
  <si>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</si>
  <si>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</si>
  <si>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</si>
  <si>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</si>
  <si>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</si>
  <si>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</si>
  <si>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</si>
  <si>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</si>
  <si>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</si>
  <si>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</si>
  <si>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</si>
  <si>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</si>
  <si>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</si>
  <si>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</si>
  <si>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</si>
  <si>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</si>
  <si>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</si>
  <si>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</si>
  <si>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</si>
  <si>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</si>
  <si>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</si>
  <si>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</si>
  <si>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</si>
  <si>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</si>
  <si>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</si>
  <si>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</si>
  <si>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</si>
  <si>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</si>
  <si>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</si>
  <si>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</si>
  <si>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</si>
  <si>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</si>
  <si>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</si>
  <si>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</si>
  <si>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</si>
  <si>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</si>
  <si>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</si>
  <si>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</si>
  <si>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</si>
  <si>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</si>
  <si>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</si>
  <si>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</si>
  <si>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</si>
  <si>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</si>
  <si>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</si>
  <si>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</si>
  <si>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</si>
  <si>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</si>
  <si>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</si>
  <si>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</si>
  <si>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</si>
  <si>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</si>
  <si>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</si>
  <si>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</si>
  <si>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</si>
  <si>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</si>
  <si>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</si>
  <si>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</si>
  <si>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</si>
  <si>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</si>
  <si>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</si>
  <si>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</si>
  <si>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</si>
  <si>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</si>
  <si>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</si>
  <si>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</si>
  <si>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</si>
  <si>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</si>
  <si>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</si>
  <si>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</si>
  <si>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</si>
  <si>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</si>
  <si>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</si>
  <si>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</si>
  <si>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</si>
  <si>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</si>
  <si>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</si>
  <si>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</si>
  <si>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</si>
  <si>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</si>
  <si>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</si>
  <si>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</si>
  <si>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</si>
  <si>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</si>
  <si>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</si>
  <si>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</si>
  <si>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</si>
  <si>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</si>
  <si>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</si>
  <si>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</si>
  <si>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</si>
  <si>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</si>
  <si>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</si>
  <si>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</si>
  <si>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</si>
  <si>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</si>
  <si>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</si>
  <si>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</si>
  <si>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</si>
  <si>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</si>
  <si>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</si>
  <si>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</si>
  <si>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</si>
  <si>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</si>
  <si>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</si>
  <si>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</si>
  <si>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</si>
  <si>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</si>
  <si>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</si>
  <si>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</si>
  <si>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</si>
  <si>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</si>
  <si>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</si>
  <si>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</si>
  <si>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</si>
  <si>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</si>
  <si>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</si>
  <si>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</si>
  <si>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</si>
  <si>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</si>
  <si>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</si>
  <si>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</si>
  <si>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</si>
  <si>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</si>
  <si>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</si>
  <si>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</si>
  <si>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</si>
  <si>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</si>
  <si>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</si>
  <si>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</si>
  <si>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</si>
  <si>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</si>
  <si>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</si>
  <si>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</si>
  <si>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</si>
  <si>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</si>
  <si>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</si>
  <si>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</si>
  <si>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</si>
  <si>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</si>
  <si>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</si>
  <si>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</si>
  <si>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</si>
  <si>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</si>
  <si>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</si>
  <si>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</si>
  <si>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</si>
  <si>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</si>
  <si>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</si>
  <si>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</si>
  <si>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</si>
  <si>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</si>
  <si>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</si>
  <si>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</si>
  <si>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</si>
  <si>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</si>
  <si>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</si>
  <si>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</si>
  <si>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</si>
  <si>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</si>
  <si>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</si>
  <si>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</si>
  <si>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</si>
  <si>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</si>
  <si>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</si>
  <si>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</si>
  <si>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</si>
  <si>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</si>
  <si>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</si>
  <si>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</si>
  <si>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</si>
  <si>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</si>
  <si>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</si>
  <si>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</si>
  <si>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</si>
  <si>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</si>
  <si>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</si>
  <si>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</si>
  <si>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</si>
  <si>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</si>
  <si>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</si>
  <si>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</si>
  <si>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</si>
  <si>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</si>
  <si>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</si>
  <si>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</si>
  <si>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</si>
  <si>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</si>
  <si>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</si>
  <si>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</si>
  <si>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</si>
  <si>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</si>
  <si>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</si>
  <si>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</si>
  <si>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</si>
  <si>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</si>
  <si>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</si>
  <si>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</si>
  <si>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</si>
  <si>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</si>
  <si>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</si>
  <si>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</si>
  <si>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</si>
  <si>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</si>
  <si>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</si>
  <si>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</si>
  <si>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</si>
  <si>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</si>
  <si>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</si>
  <si>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</si>
  <si>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</si>
  <si>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</si>
  <si>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</si>
  <si>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</si>
  <si>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</si>
  <si>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</si>
  <si>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JORGE ANDRES CORDERO AMADOR</t>
  </si>
  <si>
    <t>500M SUROESTE DE ESCUELA RAFAEL SOLORZANO</t>
  </si>
  <si>
    <t>MARIA PIEDRA VALVERDE</t>
  </si>
  <si>
    <t>MAURICIO ROJAS SALAZAR</t>
  </si>
  <si>
    <t>ctp.pejibaye@mep.go.cr</t>
  </si>
  <si>
    <t>CRISTIAN G. MIRANDA ALPIZAR</t>
  </si>
  <si>
    <t>JOSE ANTONIO MARTINEZ FAJARDO</t>
  </si>
  <si>
    <t>GRICELDA ELIZONDO AGUILAR</t>
  </si>
  <si>
    <t>ctp.depacayas@mep.go.cr</t>
  </si>
  <si>
    <t>MARIA BENITA GOMEZ MORENO</t>
  </si>
  <si>
    <t>C.T.P. BUENOS AIRES</t>
  </si>
  <si>
    <t>C.T.P. VALLE DE LA ESTRELLA</t>
  </si>
  <si>
    <t>HAEZEL LINARES KELLY</t>
  </si>
  <si>
    <t>C.T.P. DE POCOCI</t>
  </si>
  <si>
    <t>C.T.P. PADRE ROBERTO EVANS SAUNDERS</t>
  </si>
  <si>
    <t>C.T.P. GUACIMO</t>
  </si>
  <si>
    <t>200 METROS NORTE DE LA CIUDAD JUDICIAL</t>
  </si>
  <si>
    <t>C.T.P. DE SANTA ANA</t>
  </si>
  <si>
    <t>BERNAL SOLANO CERVANTES</t>
  </si>
  <si>
    <t>75 O. 50 S. Y 75 O. DEL CEMENTERIO</t>
  </si>
  <si>
    <t>ARNULFO ALVARADO LOPEZ</t>
  </si>
  <si>
    <t>C.T.P. MAXIMO QUESADA PICADO</t>
  </si>
  <si>
    <t>CARLOS WILLIAM ELIZONDO ARAYA</t>
  </si>
  <si>
    <t>300E Y 25 S DE LA IGLESIA CATOLICA STA ROSA</t>
  </si>
  <si>
    <t>600MTS N DEL TEMPLO CATOLICO, MERCEDES NORTE</t>
  </si>
  <si>
    <t>MARITZA PORRAS CAMPOS</t>
  </si>
  <si>
    <t>ctp.decopal@mep.go.cr</t>
  </si>
  <si>
    <t>Teléfono 1:</t>
  </si>
  <si>
    <t>Teléfono 2:</t>
  </si>
  <si>
    <t>BARRIO CORAZON DE MA</t>
  </si>
  <si>
    <t>ASENTAMIENTO AGROPOR</t>
  </si>
  <si>
    <t>Producción Agrícola y Pecuaria</t>
  </si>
  <si>
    <t>Dibujo y Modelado de Edificaciones</t>
  </si>
  <si>
    <t>Mercadeo</t>
  </si>
  <si>
    <t>Ecoturismo</t>
  </si>
  <si>
    <t>Ejecutivo Comercial y Servicio al Cliente</t>
  </si>
  <si>
    <t>Contabilidad y Control Interno</t>
  </si>
  <si>
    <t>Operaciones de Empresas de Alojamiento</t>
  </si>
  <si>
    <t>0</t>
  </si>
  <si>
    <t>FATIMA</t>
  </si>
  <si>
    <t>B° EL CAPULIN</t>
  </si>
  <si>
    <t>SANTA BARBARA</t>
  </si>
  <si>
    <t>BRIBRI</t>
  </si>
  <si>
    <t>LA ASUNCION</t>
  </si>
  <si>
    <t>C.T.P. SAN AGUSTIN CIUDAD DE LOS NIÑOS</t>
  </si>
  <si>
    <t>Ubicacion1</t>
  </si>
  <si>
    <t>LIMON</t>
  </si>
  <si>
    <t>ZONA NORTE-NORTE</t>
  </si>
  <si>
    <t>JUAN CARLOS CORRALES ARCE</t>
  </si>
  <si>
    <t>colegioagropecuariosancarlos@casc.ed.cr</t>
  </si>
  <si>
    <t>ctp.deupala@mep.go.cr</t>
  </si>
  <si>
    <t>JAVIER ARCE VARGAS</t>
  </si>
  <si>
    <t>ctp.sansebastian@mep.go.cr</t>
  </si>
  <si>
    <t>VERNA CESPEDES ROJAS</t>
  </si>
  <si>
    <t>LORNA MOLINA CORELLA</t>
  </si>
  <si>
    <t>DE LA BOMBA ANATOT 125 ESTE</t>
  </si>
  <si>
    <t>ADRIAN SALAZAR CASTILLO</t>
  </si>
  <si>
    <t>EDWARD SALAZAR CHACON</t>
  </si>
  <si>
    <t>FRENTE AL CEMENTERIO DE AGUAS ZARCAS</t>
  </si>
  <si>
    <t>SEDIEL SOLERA CARRANZA</t>
  </si>
  <si>
    <t>ALLAN BARBOZA JIMENEZ</t>
  </si>
  <si>
    <t>900 MTS AL OESTE DE LA ESCUELA VICTORIANO MEN</t>
  </si>
  <si>
    <t>GABRIELA ROJAS CAMBRONERO</t>
  </si>
  <si>
    <t>DEIRY LIZANO MORA</t>
  </si>
  <si>
    <t>ctp.eneralviejo@mep.go.cr</t>
  </si>
  <si>
    <t>GUILBERT ESPINOZA RAMIREZ</t>
  </si>
  <si>
    <t>KAREN CALDERON SOLANO</t>
  </si>
  <si>
    <t>HUGO LEON RAMIREZ</t>
  </si>
  <si>
    <t>YESSICA GUERRERO MOSQUERA</t>
  </si>
  <si>
    <t>YORLENI BORBON CAMPOS</t>
  </si>
  <si>
    <t>ELKE MATA RIVERA</t>
  </si>
  <si>
    <t>GISELLE AMADOR CASANOVA</t>
  </si>
  <si>
    <t>XINIA BERMUDEZ ESTRADA</t>
  </si>
  <si>
    <t>JACQUELINE AVILA ROJAS</t>
  </si>
  <si>
    <t>B° SAN LUIS, CONTIGUO INDER-CAÑAS</t>
  </si>
  <si>
    <t>ALBERTO QUIROS ABARCA</t>
  </si>
  <si>
    <t>COSTADO OESTE DEPOSITO LIBRE COMER. GOLFITO</t>
  </si>
  <si>
    <t>ABRAHAM JOSE BERROCAL ROGERS</t>
  </si>
  <si>
    <t>01107</t>
  </si>
  <si>
    <t>01106</t>
  </si>
  <si>
    <t>Desarrollo Web</t>
  </si>
  <si>
    <t>Inteligencia Artificial</t>
  </si>
  <si>
    <t>Gestión de la Producción</t>
  </si>
  <si>
    <t>Instalación y Mantenimiento de Sistemas Eléctricos Industriales</t>
  </si>
  <si>
    <t>Informática en Redes de Computadoras***</t>
  </si>
  <si>
    <t>Agropecuario en Producción Agrícola***</t>
  </si>
  <si>
    <t>Agropecuario en Producción Pecuaria***</t>
  </si>
  <si>
    <t>Adaptaciones</t>
  </si>
  <si>
    <t>No aplica</t>
  </si>
  <si>
    <t>Servicios</t>
  </si>
  <si>
    <t>Servicio de Biblioteca</t>
  </si>
  <si>
    <t>Planes de Gestión de Riesgos</t>
  </si>
  <si>
    <t>Comité para la Gestión del Riesgo</t>
  </si>
  <si>
    <t>Servicio de Internet</t>
  </si>
  <si>
    <t>Página WEB</t>
  </si>
  <si>
    <t>Sala de Lactancia</t>
  </si>
  <si>
    <t>Cuenta la institución con Sala(s) para lactancia?</t>
  </si>
  <si>
    <t>Tiene Sala de Lactancia</t>
  </si>
  <si>
    <t>3.1</t>
  </si>
  <si>
    <t>¿La sala de lactancia cuenta con las condiciones establecidas en el artículo 4*?</t>
  </si>
  <si>
    <t>No tiene Sala de Lactancia</t>
  </si>
  <si>
    <t>3.2</t>
  </si>
  <si>
    <t>Falta de presupuesto</t>
  </si>
  <si>
    <t>Falta de infraestructura</t>
  </si>
  <si>
    <t>No es necesario por la cantidad de mujeres que asisten a la institución</t>
  </si>
  <si>
    <t>Desconocimiento de la normativa jurídica **</t>
  </si>
  <si>
    <t>Se abastece de agua por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</si>
  <si>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</si>
  <si>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</si>
  <si>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</si>
  <si>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</si>
  <si>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El Agua proviene de</t>
  </si>
  <si>
    <t>Acueducto Rural o Comunal (ASADAS o CAAR)</t>
  </si>
  <si>
    <t>Acueducto Municipal</t>
  </si>
  <si>
    <t>Acueducto A y A</t>
  </si>
  <si>
    <t>Acueducto de una Empresa o Cooperativa</t>
  </si>
  <si>
    <t>Pozo con tanque elevado</t>
  </si>
  <si>
    <t>Pozo sin sistema de extracción de agua</t>
  </si>
  <si>
    <t>Río, quebrada o naciente</t>
  </si>
  <si>
    <t>Lluvia u otro</t>
  </si>
  <si>
    <t>Servicios Sanitarios están conectados a</t>
  </si>
  <si>
    <t>Alcantarilla o Cloaca</t>
  </si>
  <si>
    <t>Tanque Séptico</t>
  </si>
  <si>
    <t>Tanque Séptico con tratamiento (fosa biológica)</t>
  </si>
  <si>
    <t>Tiene salida directa a acequia, zanja, río o estero</t>
  </si>
  <si>
    <t>Es de hueco, pozo negro o letrina</t>
  </si>
  <si>
    <t>Luz eléctrica</t>
  </si>
  <si>
    <t>ICE o CNFL</t>
  </si>
  <si>
    <t>ESPH o JASEC</t>
  </si>
  <si>
    <t>Cooperativa</t>
  </si>
  <si>
    <t>Panel Solar</t>
  </si>
  <si>
    <t>Planta privada</t>
  </si>
  <si>
    <t>No hay luz eléctrica</t>
  </si>
  <si>
    <t>Comparte el edificio</t>
  </si>
  <si>
    <t>Observaciones</t>
  </si>
  <si>
    <t>En buen
estado</t>
  </si>
  <si>
    <t>Sala para Lactancia</t>
  </si>
  <si>
    <t>Computadora Portátil</t>
  </si>
  <si>
    <t>Conectadas a Internet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</si>
  <si>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</si>
  <si>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</si>
  <si>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</si>
  <si>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</si>
  <si>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</si>
  <si>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</si>
  <si>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</si>
  <si>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</si>
  <si>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</si>
  <si>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</si>
  <si>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</si>
  <si>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</si>
  <si>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</si>
  <si>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</si>
  <si>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</si>
  <si>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</si>
  <si>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</si>
  <si>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</si>
  <si>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</si>
  <si>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</si>
  <si>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</si>
  <si>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</si>
  <si>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</si>
  <si>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</si>
  <si>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</si>
  <si>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</si>
  <si>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</si>
  <si>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</si>
  <si>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</si>
  <si>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</si>
  <si>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</si>
  <si>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</si>
  <si>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</si>
  <si>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</si>
  <si>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</si>
  <si>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</si>
  <si>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</si>
  <si>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</si>
  <si>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</si>
  <si>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</si>
  <si>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</si>
  <si>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</si>
  <si>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</si>
  <si>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</si>
  <si>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</si>
  <si>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</si>
  <si>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</si>
  <si>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</si>
  <si>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</si>
  <si>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</si>
  <si>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</si>
  <si>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</si>
  <si>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</si>
  <si>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</si>
  <si>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</si>
  <si>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</si>
  <si>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</si>
  <si>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</si>
  <si>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</si>
  <si>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</si>
  <si>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</si>
  <si>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</si>
  <si>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</si>
  <si>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</si>
  <si>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00000</t>
  </si>
  <si>
    <t>PUBLICA</t>
  </si>
  <si>
    <t>ANA LINA BARRANTES RODRIGUEZ</t>
  </si>
  <si>
    <t>ctp.monsenorsanabria@mep.go.cr</t>
  </si>
  <si>
    <t>00708</t>
  </si>
  <si>
    <t>CONTIGUO AL TEMPLO CATOLICO</t>
  </si>
  <si>
    <t>HERNAN ARMANDO CASTRO MASIS</t>
  </si>
  <si>
    <t>400 MTS. SUROESTE DEL BANCO NACIONAL</t>
  </si>
  <si>
    <t>700 NORTE DEL PARQUE SANTA MARIA</t>
  </si>
  <si>
    <t>ctp.platanares@gmail.com</t>
  </si>
  <si>
    <t>200 METROS ESTE DE LA AGENCIA DEL M A.G</t>
  </si>
  <si>
    <t>KATTIA VALVERDE PORRAS</t>
  </si>
  <si>
    <t>COSTADO NORTE DEL EDIFICIO MUNICIPAL</t>
  </si>
  <si>
    <t>FRANCISCO PIEDRA UREÑA</t>
  </si>
  <si>
    <t>COSTADO SURESTE DE LA PLAZA DE DEPORTES P.S</t>
  </si>
  <si>
    <t>KATTIA CARBALLO GARCIA</t>
  </si>
  <si>
    <t>ROBERTO GERARDO CESPEDES MORA</t>
  </si>
  <si>
    <t>150 M ESTE DE LA AGENCIA DEL BANCO DE C.R</t>
  </si>
  <si>
    <t>JULIO MADRIGAL CSTELLANOS</t>
  </si>
  <si>
    <t>ctp.desantarosa@mep.go.cr</t>
  </si>
  <si>
    <t>300 M SUROESTE DE LA PANADERIA MUSMANI</t>
  </si>
  <si>
    <t>KATTIA ZOLANDY MADRIGAL GOMEZ</t>
  </si>
  <si>
    <t>ctp.loschiles@MEP.go.cr</t>
  </si>
  <si>
    <t>JOSE ORTEGA VASQUEZ</t>
  </si>
  <si>
    <t>ctp.covao@mep.go.cr</t>
  </si>
  <si>
    <t>ctp.sanjuansur@gmail.com</t>
  </si>
  <si>
    <t>800 OESTE DE INCIENSA COSTADO NORTE TERRAMALL</t>
  </si>
  <si>
    <t>RICHARD ZUÑIGA MESEN</t>
  </si>
  <si>
    <t>300 O. DELEGACION DISTRITAL FUERZA PUBLICA</t>
  </si>
  <si>
    <t>125 ESTE DEL BANCO NACIONAL</t>
  </si>
  <si>
    <t>MARICELA GONZALEZ ALFARO</t>
  </si>
  <si>
    <t>BARRIO EL CAPULIN</t>
  </si>
  <si>
    <t>HECTOR LUIS BRICEÑO HERNANDEZ</t>
  </si>
  <si>
    <t>FRENTE A OFICINAS DEL M A.G</t>
  </si>
  <si>
    <t>HANNIA AVILA QUIROS</t>
  </si>
  <si>
    <t>ctp.27deabril@mep.go.cr</t>
  </si>
  <si>
    <t>OLGER CASCANTE ACEVEDO</t>
  </si>
  <si>
    <t>300 MTS SUR DEL MINISUPER MONTELIMAR</t>
  </si>
  <si>
    <t>300 M SURESTE DEL BANCO NACIONAL, COBANO</t>
  </si>
  <si>
    <t>JHOVANNY LOAIZA PORRAS</t>
  </si>
  <si>
    <t>ctp.puertojimenez@gmail.com</t>
  </si>
  <si>
    <t>300 MTS. SUR DEL SERVICENTRO RIO CLARO</t>
  </si>
  <si>
    <t>JONATHAN FONSECA SALAZAR</t>
  </si>
  <si>
    <t>MARIO ALEXANDER LEON MARIN</t>
  </si>
  <si>
    <t>700 MTS. SURESTE DE LA TOSTADORA RIO BRUS</t>
  </si>
  <si>
    <t>MARCO GOMEZ LEON</t>
  </si>
  <si>
    <t>3 KM ESTE DE ADUANA TICA, CAMINO A LA CUESTA</t>
  </si>
  <si>
    <t>BARRIO LA CABAÑA</t>
  </si>
  <si>
    <t>ANDREA PERAZA ROGADE</t>
  </si>
  <si>
    <t>FRENTE A HOTEL SUERRE</t>
  </si>
  <si>
    <t>CARLOS ALBERTO RETANA LOPEZ</t>
  </si>
  <si>
    <t>250 M SUR OFICINAS CORREOS DE COSTA RICA</t>
  </si>
  <si>
    <t>ctp.talamanca@gmail.com</t>
  </si>
  <si>
    <t>500 M OESTE DE LOS TRIBUNALES DE JUSTICIA</t>
  </si>
  <si>
    <t>1 KM AL N.DE LA ANTIGUA ESTAC.DEL FERROCARRIL</t>
  </si>
  <si>
    <t>DEL PALI SAN LORENZO,100 MTS.OESTE</t>
  </si>
  <si>
    <t>ctp.deflores@mep.go.cr</t>
  </si>
  <si>
    <t>WENDY SOLANO AGUILAR</t>
  </si>
  <si>
    <t>DEL SUPER AGUIMAR 50 OESTE</t>
  </si>
  <si>
    <t>600 AL OESTE DEL PARQUE DE QUEBRADILLA</t>
  </si>
  <si>
    <t>JOSE FABIAN BADILLA LEIVA</t>
  </si>
  <si>
    <t>C.T.P. AGUSTINIANO CIUDAD DE LOS NIÑOS</t>
  </si>
  <si>
    <t>colegiotecnicoagustiniano@ciudaddelosninoscr.org</t>
  </si>
  <si>
    <t>3.5 KM SUR DE LOS TRIBUNALES DE JUSTICIA</t>
  </si>
  <si>
    <t>800 NORTE DEL SALON EL PARA</t>
  </si>
  <si>
    <t>100 M ESTE DE LA ESCUELA JULIA FERNANDEZ R</t>
  </si>
  <si>
    <t>ROGER RUIZ ESQUIVEL</t>
  </si>
  <si>
    <t>800 SUR DE LA GUARDIA RURAL</t>
  </si>
  <si>
    <t>600 NORTE DE LA PLAZA DE DEPORTES</t>
  </si>
  <si>
    <t>150 M OESTE Y 100 SUR DE LA ESCUELA ROSARIO D</t>
  </si>
  <si>
    <t>C.T.P. SAN ISIDRO DE HEREDIA</t>
  </si>
  <si>
    <t>ADRIAN GRANADOS MASIS</t>
  </si>
  <si>
    <t>100 SUR DE LA CLINICA DE PAVAS</t>
  </si>
  <si>
    <t>360 METROS AL OESTE DEL CEMENTERIO DE ZARCERO</t>
  </si>
  <si>
    <t>GRACE ZAMORA SANCHEZ</t>
  </si>
  <si>
    <t>JOHANA MARIA AMPIE GUZMAN</t>
  </si>
  <si>
    <t>AARON CASTILLO NAVARRO</t>
  </si>
  <si>
    <t>2 KM NOROESTE DE PLAZA DE DEPORTES FILA NAR</t>
  </si>
  <si>
    <t>MARCO AVILA DURAN</t>
  </si>
  <si>
    <t>25 SUR, 75 OESTE DEL TEMPLO CATOLICO</t>
  </si>
  <si>
    <t>200 S DE LA IGLESIA CATOLICA LAS PALMITAS</t>
  </si>
  <si>
    <t>ctp.alajuelita@mep.go.cr</t>
  </si>
  <si>
    <t>ctp.latigra@mep.go.cr</t>
  </si>
  <si>
    <t>JOSE EDUARDO QUIROS GOMEZ</t>
  </si>
  <si>
    <t>WALTER ANDRES ROLDAN QUIROS</t>
  </si>
  <si>
    <t>DE REPRETEL 500 OESTE,CTRO COM PLAZA URUKA</t>
  </si>
  <si>
    <t>PRIVADA CON ESTIMULO ESTATAL</t>
  </si>
  <si>
    <t>SANITARIOS Y LAVAMANOS, TÉCNICA DIURNA Y PLAN NACIONAL</t>
  </si>
  <si>
    <t>COMPUTADORAS EN BUEN ESTADO, TÉCNICA DIURNA Y PLAN NACIONAL</t>
  </si>
  <si>
    <t>ESPACIO FISICO, TÉCNICA DIURNA Y PLAN NACIONAL</t>
  </si>
  <si>
    <r>
      <t xml:space="preserve">RESPONDA LAS </t>
    </r>
    <r>
      <rPr>
        <b/>
        <u/>
        <sz val="14"/>
        <rFont val="Sagona Book"/>
        <family val="1"/>
      </rPr>
      <t>OCHO</t>
    </r>
    <r>
      <rPr>
        <b/>
        <sz val="14"/>
        <rFont val="Sagona Book"/>
        <family val="1"/>
      </rPr>
      <t xml:space="preserve"> PREGUNTAS SIGUIENTES, CONSIDERE LO RELACIONADO CON TÉCNICA DIURNA Y PLAN NACIONAL</t>
    </r>
  </si>
  <si>
    <t>CUADRO 16</t>
  </si>
  <si>
    <t>CUADRO 17</t>
  </si>
  <si>
    <r>
      <t xml:space="preserve">MT
</t>
    </r>
    <r>
      <rPr>
        <b/>
        <sz val="9"/>
        <rFont val="Sagona Book"/>
        <family val="1"/>
      </rPr>
      <t>(1-6)</t>
    </r>
  </si>
  <si>
    <r>
      <t xml:space="preserve">MAU
</t>
    </r>
    <r>
      <rPr>
        <b/>
        <sz val="9"/>
        <rFont val="Sagona Book"/>
        <family val="1"/>
      </rPr>
      <t>(1-2)</t>
    </r>
  </si>
  <si>
    <r>
      <t xml:space="preserve">VT
</t>
    </r>
    <r>
      <rPr>
        <b/>
        <sz val="9"/>
        <rFont val="Sagona Book"/>
        <family val="1"/>
      </rPr>
      <t>(1-6)</t>
    </r>
  </si>
  <si>
    <r>
      <t xml:space="preserve">VAU
</t>
    </r>
    <r>
      <rPr>
        <b/>
        <sz val="9"/>
        <rFont val="Sagona Book"/>
        <family val="1"/>
      </rPr>
      <t>(1-2)</t>
    </r>
  </si>
  <si>
    <r>
      <t xml:space="preserve">ET
</t>
    </r>
    <r>
      <rPr>
        <b/>
        <sz val="9"/>
        <rFont val="Sagona Book"/>
        <family val="1"/>
      </rPr>
      <t>(1-4)</t>
    </r>
  </si>
  <si>
    <r>
      <t xml:space="preserve">EAU
</t>
    </r>
    <r>
      <rPr>
        <b/>
        <sz val="9"/>
        <rFont val="Sagona Book"/>
        <family val="1"/>
      </rPr>
      <t>(1-2)</t>
    </r>
  </si>
  <si>
    <r>
      <t xml:space="preserve">Administrativos
</t>
    </r>
    <r>
      <rPr>
        <i/>
        <sz val="10"/>
        <rFont val="Sagona Book"/>
        <family val="1"/>
      </rPr>
      <t>(Director, Subdirector,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</si>
  <si>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</si>
  <si>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de Educación Especial
</t>
    </r>
    <r>
      <rPr>
        <i/>
        <sz val="10"/>
        <rFont val="Sagona Book"/>
        <family val="1"/>
      </rPr>
      <t>(Generalista en Educación Especial, Terapia del Lenguaje, otros)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</si>
  <si>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</si>
  <si>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rPr>
        <b/>
        <u val="double"/>
        <sz val="14"/>
        <color theme="1"/>
        <rFont val="Sagona Book"/>
        <family val="1"/>
      </rPr>
      <t>TODAS</t>
    </r>
    <r>
      <rPr>
        <b/>
        <sz val="14"/>
        <color theme="1"/>
        <rFont val="Sagona Book"/>
        <family val="1"/>
      </rPr>
      <t xml:space="preserve"> LAS ASIGNATURAS EN CONVOCATORIAS</t>
    </r>
  </si>
  <si>
    <r>
      <t xml:space="preserve">(1)
</t>
    </r>
    <r>
      <rPr>
        <b/>
        <sz val="10"/>
        <rFont val="Sagona Book"/>
        <family val="1"/>
      </rPr>
      <t>Estudiantes que tienen alguna 
Discapacidad o Condición</t>
    </r>
    <r>
      <rPr>
        <b/>
        <i/>
        <sz val="10"/>
        <rFont val="Sagona Book"/>
        <family val="1"/>
      </rPr>
      <t xml:space="preserve">
</t>
    </r>
    <r>
      <rPr>
        <i/>
        <sz val="10"/>
        <rFont val="Sagona Book"/>
        <family val="1"/>
      </rPr>
      <t>(Reciban o no Servicios de Apoyo Educativo)</t>
    </r>
  </si>
  <si>
    <r>
      <t xml:space="preserve">(2)
</t>
    </r>
    <r>
      <rPr>
        <b/>
        <sz val="10"/>
        <rFont val="Sagona Book"/>
        <family val="1"/>
      </rPr>
      <t xml:space="preserve">De los estudiantes anotados en la columna (1), indique los que </t>
    </r>
    <r>
      <rPr>
        <b/>
        <u/>
        <sz val="10"/>
        <rFont val="Sagona Book"/>
        <family val="1"/>
      </rPr>
      <t>RECIBEN</t>
    </r>
    <r>
      <rPr>
        <b/>
        <sz val="10"/>
        <rFont val="Sagona Book"/>
        <family val="1"/>
      </rPr>
      <t xml:space="preserve"> algún Servicio de Apoyo Educativo
</t>
    </r>
    <r>
      <rPr>
        <i/>
        <sz val="10"/>
        <rFont val="Sagona Book"/>
        <family val="1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</si>
  <si>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</si>
  <si>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Situación Conductual Problemática </t>
    </r>
    <r>
      <rPr>
        <b/>
        <vertAlign val="superscript"/>
        <sz val="11"/>
        <rFont val="Sagona Book"/>
        <family val="1"/>
      </rPr>
      <t>2/</t>
    </r>
  </si>
  <si>
    <r>
      <t xml:space="preserve">Trastorno Específico de Aprendizaje </t>
    </r>
    <r>
      <rPr>
        <b/>
        <vertAlign val="superscript"/>
        <sz val="11"/>
        <rFont val="Sagona Book"/>
        <family val="1"/>
      </rPr>
      <t>3/</t>
    </r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</si>
  <si>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</si>
  <si>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Contabilidad y Auditoría ***</t>
  </si>
  <si>
    <t>Desarrollo de aplicaciones móviles</t>
  </si>
  <si>
    <t>Diseño Web ***</t>
  </si>
  <si>
    <t>Ejecutivo para Centros de Servicios ***</t>
  </si>
  <si>
    <t>Gerencia y Producción en cocina</t>
  </si>
  <si>
    <t>Informática en Desarrollo de Software ***</t>
  </si>
  <si>
    <t>Organización de operaciones y servicios de alimentos y bebidas</t>
  </si>
  <si>
    <t>Turismo Ecológico ***</t>
  </si>
  <si>
    <t>Turismo en Alimentos y Bebidas ***</t>
  </si>
  <si>
    <t>Turismo en Hotelería y Eventos Especiales ***</t>
  </si>
  <si>
    <t>Automotriz ***</t>
  </si>
  <si>
    <t>Dibujo Arquitectónico ***</t>
  </si>
  <si>
    <t>Electrónica en Mantenimiento de Equipo de Cómputo ***</t>
  </si>
  <si>
    <t>Electrotecnia ***</t>
  </si>
  <si>
    <t>Gestión de la Calidad</t>
  </si>
  <si>
    <t>Logistic Administration and Distribution ***</t>
  </si>
  <si>
    <t>Mantenimiento Industrial ***</t>
  </si>
  <si>
    <t>Productividad y Calidad ***</t>
  </si>
  <si>
    <t>Reparación de los Sistemas de Vehículos Livianos ***</t>
  </si>
  <si>
    <t>PCD</t>
  </si>
  <si>
    <r>
      <t xml:space="preserve">Otro tipo </t>
    </r>
    <r>
      <rPr>
        <b/>
        <vertAlign val="superscript"/>
        <sz val="11"/>
        <rFont val="Sagona Book"/>
        <family val="1"/>
      </rPr>
      <t>4/</t>
    </r>
  </si>
  <si>
    <t>APLAZADOS EN EL CURSO LECTIVO 2023, Y QUE APROBARON</t>
  </si>
  <si>
    <t>Aplaz.
2023</t>
  </si>
  <si>
    <t>( + )</t>
  </si>
  <si>
    <t>( + )  Considere al personal que atiende el Plan Nacional.</t>
  </si>
  <si>
    <t>Oficinista  ( + )</t>
  </si>
  <si>
    <t>Trabajador Calificado  ( + )</t>
  </si>
  <si>
    <t>Oficial de Seguridad   ( + )</t>
  </si>
  <si>
    <t>Auxiliar de Vigilancia   ( + )</t>
  </si>
  <si>
    <t>Conserje   ( + )</t>
  </si>
  <si>
    <t>Cocinera   ( + )</t>
  </si>
  <si>
    <t>Administ. y de Servicios Reubicados / Readecuados   ( + )</t>
  </si>
  <si>
    <t>Otros   ( + )</t>
  </si>
  <si>
    <r>
      <t xml:space="preserve">Administrativos </t>
    </r>
    <r>
      <rPr>
        <b/>
        <sz val="11"/>
        <color theme="1"/>
        <rFont val="Sagona Book"/>
        <family val="1"/>
      </rPr>
      <t>( + )</t>
    </r>
  </si>
  <si>
    <r>
      <t xml:space="preserve">Técnicos-Docentes  </t>
    </r>
    <r>
      <rPr>
        <b/>
        <sz val="11"/>
        <color theme="1"/>
        <rFont val="Sagona Book"/>
        <family val="1"/>
      </rPr>
      <t>( + )</t>
    </r>
  </si>
  <si>
    <t>CENSO ESCOLAR 2024 -- INFORME INICIAL</t>
  </si>
  <si>
    <t>Nombre con el que debe renombrar este archivo Excel:</t>
  </si>
  <si>
    <t>Ubicación (Provincia/Cantón/Distrito):</t>
  </si>
  <si>
    <t>Firma Director</t>
  </si>
  <si>
    <t>Firma Supervisor</t>
  </si>
  <si>
    <t>¿Los estudiantes con Discapacidad o Condición, reciben algún Servicio de Apoyo Educativo?</t>
  </si>
  <si>
    <t>Nombre Director (a):</t>
  </si>
  <si>
    <t>Teléfono:</t>
  </si>
  <si>
    <t>Nombre Supervisor (a):</t>
  </si>
  <si>
    <t>Teléfono Supervisión:</t>
  </si>
  <si>
    <t>Sellos</t>
  </si>
  <si>
    <t>ESTUDIANTES QUE ADELANTAN UNA O MÁS ASIGNATURAS, TÉCNICA DIURNA</t>
  </si>
  <si>
    <r>
      <t xml:space="preserve">Motivos por los que </t>
    </r>
    <r>
      <rPr>
        <b/>
        <u val="double"/>
        <sz val="11"/>
        <color theme="0"/>
        <rFont val="Sagona Book"/>
        <family val="1"/>
      </rPr>
      <t>NO cuenta con sala para lactancia:</t>
    </r>
  </si>
  <si>
    <t>EL CURSO LECTIVO 2024, TÉCNICA DIURNA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</si>
</sst>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1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9" tint="-0.499984740745262"/>
      <name val="Calibri"/>
      <family val="2"/>
      <scheme val="minor"/>
    </font>
    <font>
      <sz val="11"/>
      <color theme="1"/>
      <name val="Goudy"/>
      <family val="1"/>
    </font>
    <font>
      <b/>
      <sz val="11"/>
      <color rgb="FFFF0000"/>
      <name val="Goudy"/>
      <family val="1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66FF"/>
      <name val="Sagona Book"/>
      <family val="1"/>
    </font>
    <font>
      <sz val="11"/>
      <color rgb="FFFF0000"/>
      <name val="Sagona Book"/>
      <family val="1"/>
    </font>
    <font>
      <b/>
      <sz val="14"/>
      <color theme="1"/>
      <name val="Sagona Book"/>
      <family val="1"/>
    </font>
    <font>
      <sz val="11"/>
      <color theme="1"/>
      <name val="Sagona Book"/>
      <family val="1"/>
    </font>
    <font>
      <b/>
      <sz val="14"/>
      <name val="Sagona Book"/>
      <family val="1"/>
    </font>
    <font>
      <b/>
      <u/>
      <sz val="14"/>
      <name val="Sagona Book"/>
      <family val="1"/>
    </font>
    <font>
      <b/>
      <sz val="11"/>
      <name val="Sagona Book"/>
      <family val="1"/>
    </font>
    <font>
      <sz val="11"/>
      <name val="Sagona Book"/>
      <family val="1"/>
    </font>
    <font>
      <b/>
      <sz val="12"/>
      <name val="Sagona Book"/>
      <family val="1"/>
    </font>
    <font>
      <b/>
      <sz val="12"/>
      <color rgb="FFFF0000"/>
      <name val="Sagona Book"/>
      <family val="1"/>
    </font>
    <font>
      <sz val="12"/>
      <name val="Sagona Book"/>
      <family val="1"/>
    </font>
    <font>
      <b/>
      <i/>
      <sz val="11"/>
      <color rgb="FF3366FF"/>
      <name val="Sagona Book"/>
      <family val="1"/>
    </font>
    <font>
      <i/>
      <sz val="11"/>
      <color rgb="FF002060"/>
      <name val="Sagona Book"/>
      <family val="1"/>
    </font>
    <font>
      <b/>
      <sz val="11"/>
      <color theme="1"/>
      <name val="Sagona Book"/>
      <family val="1"/>
    </font>
    <font>
      <sz val="10"/>
      <name val="Sagona Book"/>
      <family val="1"/>
    </font>
    <font>
      <sz val="10"/>
      <color theme="1"/>
      <name val="Sagona Book"/>
      <family val="1"/>
    </font>
    <font>
      <b/>
      <i/>
      <sz val="10"/>
      <color rgb="FFFF0000"/>
      <name val="Sagona Book"/>
      <family val="1"/>
    </font>
    <font>
      <b/>
      <sz val="12"/>
      <color theme="1"/>
      <name val="Sagona Book"/>
      <family val="1"/>
    </font>
    <font>
      <b/>
      <i/>
      <sz val="10"/>
      <name val="Sagona Book"/>
      <family val="1"/>
    </font>
    <font>
      <b/>
      <i/>
      <sz val="11"/>
      <color rgb="FFFF0000"/>
      <name val="Sagona Book"/>
      <family val="1"/>
    </font>
    <font>
      <i/>
      <sz val="11"/>
      <name val="Sagona Book"/>
      <family val="1"/>
    </font>
    <font>
      <b/>
      <sz val="11"/>
      <color rgb="FFFF0000"/>
      <name val="Sagona Book"/>
      <family val="1"/>
    </font>
    <font>
      <b/>
      <sz val="10"/>
      <color theme="1"/>
      <name val="Sagona Book"/>
      <family val="1"/>
    </font>
    <font>
      <b/>
      <i/>
      <sz val="11"/>
      <color theme="1"/>
      <name val="Sagona Book"/>
      <family val="1"/>
    </font>
    <font>
      <sz val="10"/>
      <color rgb="FFFF0000"/>
      <name val="Sagona Book"/>
      <family val="1"/>
    </font>
    <font>
      <b/>
      <sz val="9"/>
      <color theme="1"/>
      <name val="Sagona Book"/>
      <family val="1"/>
    </font>
    <font>
      <sz val="9"/>
      <color theme="1"/>
      <name val="Sagona Book"/>
      <family val="1"/>
    </font>
    <font>
      <sz val="9"/>
      <color theme="8" tint="-0.499984740745262"/>
      <name val="Sagona Book"/>
      <family val="1"/>
    </font>
    <font>
      <sz val="10"/>
      <name val="Calibri"/>
      <family val="2"/>
      <scheme val="minor"/>
    </font>
    <font>
      <b/>
      <sz val="10"/>
      <name val="Sagona Book"/>
      <family val="1"/>
    </font>
    <font>
      <b/>
      <sz val="9"/>
      <name val="Sagona Book"/>
      <family val="1"/>
    </font>
    <font>
      <b/>
      <i/>
      <sz val="12"/>
      <color theme="1"/>
      <name val="Sagona Book"/>
      <family val="1"/>
    </font>
    <font>
      <b/>
      <i/>
      <sz val="11"/>
      <name val="Sagona Book"/>
      <family val="1"/>
    </font>
    <font>
      <b/>
      <sz val="14"/>
      <color rgb="FFFF0000"/>
      <name val="Sagona Book"/>
      <family val="1"/>
    </font>
    <font>
      <b/>
      <i/>
      <sz val="12"/>
      <color rgb="FFFF0000"/>
      <name val="Sagona Book"/>
      <family val="1"/>
    </font>
    <font>
      <sz val="12"/>
      <color theme="1"/>
      <name val="Sagona Book"/>
      <family val="1"/>
    </font>
    <font>
      <b/>
      <i/>
      <sz val="12"/>
      <name val="Sagona Book"/>
      <family val="1"/>
    </font>
    <font>
      <i/>
      <sz val="10"/>
      <name val="Sagona Book"/>
      <family val="1"/>
    </font>
    <font>
      <b/>
      <i/>
      <sz val="14"/>
      <color rgb="FFFF0000"/>
      <name val="Sagona Book"/>
      <family val="1"/>
    </font>
    <font>
      <b/>
      <sz val="12"/>
      <color rgb="FF7030A0"/>
      <name val="Sagona Book"/>
      <family val="1"/>
    </font>
    <font>
      <b/>
      <u val="double"/>
      <sz val="14"/>
      <color theme="1"/>
      <name val="Sagona Book"/>
      <family val="1"/>
    </font>
    <font>
      <b/>
      <i/>
      <sz val="10"/>
      <color rgb="FF002060"/>
      <name val="Sagona Book"/>
      <family val="1"/>
    </font>
    <font>
      <i/>
      <sz val="10"/>
      <color rgb="FF002060"/>
      <name val="Sagona Book"/>
      <family val="1"/>
    </font>
    <font>
      <sz val="12"/>
      <color theme="0"/>
      <name val="Sagona Book"/>
      <family val="1"/>
    </font>
    <font>
      <b/>
      <sz val="11"/>
      <color theme="0"/>
      <name val="Sagona Book"/>
      <family val="1"/>
    </font>
    <font>
      <sz val="11"/>
      <color theme="0"/>
      <name val="Sagona Book"/>
      <family val="1"/>
    </font>
    <font>
      <b/>
      <u/>
      <sz val="10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7030A0"/>
      <name val="Sagona Book"/>
      <family val="1"/>
    </font>
    <font>
      <b/>
      <sz val="11"/>
      <color rgb="FF008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color rgb="FF7030A0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b/>
      <sz val="14"/>
      <color theme="9" tint="-0.499984740745262"/>
      <name val="Sagona Book"/>
      <family val="1"/>
    </font>
    <font>
      <b/>
      <i/>
      <sz val="12"/>
      <color rgb="FF3366FF"/>
      <name val="Sagona Book"/>
      <family val="1"/>
    </font>
    <font>
      <b/>
      <i/>
      <sz val="14"/>
      <name val="Sagona Book"/>
      <family val="1"/>
    </font>
    <font>
      <b/>
      <sz val="8"/>
      <color theme="0"/>
      <name val="Sagona Book"/>
      <family val="1"/>
    </font>
    <font>
      <b/>
      <i/>
      <sz val="8"/>
      <color theme="0"/>
      <name val="Sagona Book"/>
      <family val="1"/>
    </font>
    <font>
      <sz val="8"/>
      <color theme="0"/>
      <name val="Sagona Book"/>
      <family val="1"/>
    </font>
    <font>
      <b/>
      <sz val="10"/>
      <color theme="3"/>
      <name val="Sagona Book"/>
      <family val="1"/>
    </font>
    <font>
      <b/>
      <i/>
      <sz val="16"/>
      <color rgb="FFFF0000"/>
      <name val="Sagona Book"/>
      <family val="1"/>
    </font>
    <font>
      <b/>
      <sz val="11"/>
      <color theme="3"/>
      <name val="Sagona Book"/>
      <family val="1"/>
    </font>
    <font>
      <i/>
      <sz val="10"/>
      <color theme="1"/>
      <name val="Sagona Book"/>
      <family val="1"/>
    </font>
    <font>
      <b/>
      <sz val="20"/>
      <name val="Sagona Book"/>
      <family val="1"/>
    </font>
    <font>
      <sz val="12"/>
      <color rgb="FFFF0000"/>
      <name val="Sagona Book"/>
      <family val="1"/>
    </font>
    <font>
      <b/>
      <sz val="8"/>
      <color rgb="FFFF0000"/>
      <name val="Sagona Book"/>
      <family val="1"/>
    </font>
    <font>
      <b/>
      <i/>
      <sz val="11"/>
      <color rgb="FF7030A0"/>
      <name val="Sagona Book"/>
      <family val="1"/>
    </font>
    <font>
      <i/>
      <sz val="24"/>
      <name val="Sagona Book"/>
      <family val="1"/>
    </font>
    <font>
      <b/>
      <i/>
      <sz val="24"/>
      <color theme="1"/>
      <name val="Sagona Book"/>
      <family val="1"/>
    </font>
    <font>
      <b/>
      <sz val="11"/>
      <color rgb="FF0060A8"/>
      <name val="Sagona Book"/>
      <family val="1"/>
    </font>
    <font>
      <sz val="11"/>
      <color rgb="FF0060A8"/>
      <name val="Sagona Book"/>
      <family val="1"/>
    </font>
    <font>
      <b/>
      <sz val="24"/>
      <color theme="1"/>
      <name val="Sagona Book"/>
      <family val="1"/>
    </font>
    <font>
      <sz val="14"/>
      <color rgb="FF0060A8"/>
      <name val="Sagona Book"/>
      <family val="1"/>
    </font>
    <font>
      <b/>
      <sz val="20"/>
      <color theme="1"/>
      <name val="Sagona Book"/>
      <family val="1"/>
    </font>
    <font>
      <b/>
      <sz val="10"/>
      <color rgb="FF0060A8"/>
      <name val="Sagona Book"/>
      <family val="1"/>
    </font>
    <font>
      <b/>
      <sz val="10"/>
      <color rgb="FF3366FF"/>
      <name val="Sagona Book"/>
      <family val="1"/>
    </font>
    <font>
      <b/>
      <sz val="12"/>
      <color theme="0"/>
      <name val="Sagona Book"/>
      <family val="1"/>
    </font>
    <font>
      <b/>
      <u val="double"/>
      <sz val="11"/>
      <color theme="0"/>
      <name val="Sagona Book"/>
      <family val="1"/>
    </font>
    <font>
      <i/>
      <sz val="11"/>
      <color theme="0"/>
      <name val="Sagona Book"/>
      <family val="1"/>
    </font>
    <font>
      <i/>
      <sz val="11"/>
      <color rgb="FFC00000"/>
      <name val="Sagona Book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tted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auto="1"/>
      </left>
      <right/>
      <top/>
      <bottom style="thick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thick">
        <color indexed="64"/>
      </right>
      <top style="hair">
        <color indexed="64"/>
      </top>
      <bottom style="dashed">
        <color indexed="64"/>
      </bottom>
      <diagonal/>
    </border>
    <border>
      <left style="thick">
        <color auto="1"/>
      </left>
      <right style="dotted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slantDashDot">
        <color auto="1"/>
      </right>
      <top style="thin">
        <color indexed="64"/>
      </top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dashDot">
        <color auto="1"/>
      </bottom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auto="1"/>
      </left>
      <right/>
      <top style="dashDotDot">
        <color auto="1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thick">
        <color auto="1"/>
      </left>
      <right style="dotted">
        <color indexed="64"/>
      </right>
      <top style="slantDashDot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slantDashDot">
        <color auto="1"/>
      </top>
      <bottom style="thick">
        <color auto="1"/>
      </bottom>
      <diagonal/>
    </border>
    <border>
      <left style="thick">
        <color auto="1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3" applyNumberFormat="0" applyFill="0" applyAlignment="0" applyProtection="0"/>
    <xf numFmtId="0" fontId="12" fillId="0" borderId="114" applyNumberFormat="0" applyFill="0" applyAlignment="0" applyProtection="0"/>
    <xf numFmtId="0" fontId="13" fillId="0" borderId="11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16" applyNumberFormat="0" applyAlignment="0" applyProtection="0"/>
    <xf numFmtId="0" fontId="18" fillId="8" borderId="117" applyNumberFormat="0" applyAlignment="0" applyProtection="0"/>
    <xf numFmtId="0" fontId="19" fillId="8" borderId="116" applyNumberFormat="0" applyAlignment="0" applyProtection="0"/>
    <xf numFmtId="0" fontId="20" fillId="0" borderId="118" applyNumberFormat="0" applyFill="0" applyAlignment="0" applyProtection="0"/>
    <xf numFmtId="0" fontId="21" fillId="9" borderId="119" applyNumberFormat="0" applyAlignment="0" applyProtection="0"/>
    <xf numFmtId="0" fontId="9" fillId="10" borderId="120" applyNumberFormat="0" applyFont="0" applyAlignment="0" applyProtection="0"/>
    <xf numFmtId="0" fontId="22" fillId="0" borderId="121" applyNumberFormat="0" applyFill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/>
  </cellStyleXfs>
  <cellXfs count="886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5" fillId="3" borderId="0" xfId="0" applyNumberFormat="1" applyFont="1" applyFill="1"/>
    <xf numFmtId="0" fontId="5" fillId="0" borderId="0" xfId="0" applyFont="1"/>
    <xf numFmtId="1" fontId="3" fillId="0" borderId="0" xfId="0" applyNumberFormat="1" applyFont="1"/>
    <xf numFmtId="0" fontId="7" fillId="0" borderId="0" xfId="0" applyFont="1"/>
    <xf numFmtId="1" fontId="8" fillId="0" borderId="0" xfId="0" applyNumberFormat="1" applyFont="1"/>
    <xf numFmtId="1" fontId="0" fillId="0" borderId="0" xfId="0" applyNumberFormat="1"/>
    <xf numFmtId="1" fontId="25" fillId="37" borderId="0" xfId="0" applyNumberFormat="1" applyFont="1" applyFill="1" applyAlignment="1">
      <alignment horizontal="left"/>
    </xf>
    <xf numFmtId="0" fontId="26" fillId="0" borderId="0" xfId="0" applyFont="1"/>
    <xf numFmtId="1" fontId="28" fillId="38" borderId="0" xfId="0" applyNumberFormat="1" applyFont="1" applyFill="1" applyAlignment="1">
      <alignment wrapText="1"/>
    </xf>
    <xf numFmtId="0" fontId="27" fillId="0" borderId="0" xfId="0" applyFont="1" applyAlignment="1">
      <alignment horizontal="center"/>
    </xf>
    <xf numFmtId="0" fontId="27" fillId="36" borderId="0" xfId="0" applyFont="1" applyFill="1" applyAlignment="1">
      <alignment horizontal="center"/>
    </xf>
    <xf numFmtId="1" fontId="27" fillId="0" borderId="0" xfId="0" applyNumberFormat="1" applyFont="1"/>
    <xf numFmtId="1" fontId="27" fillId="35" borderId="0" xfId="0" applyNumberFormat="1" applyFont="1" applyFill="1"/>
    <xf numFmtId="1" fontId="27" fillId="36" borderId="0" xfId="0" applyNumberFormat="1" applyFont="1" applyFill="1"/>
    <xf numFmtId="0" fontId="27" fillId="0" borderId="0" xfId="0" applyFont="1"/>
    <xf numFmtId="1" fontId="26" fillId="0" borderId="0" xfId="0" applyNumberFormat="1" applyFont="1"/>
    <xf numFmtId="1" fontId="29" fillId="0" borderId="0" xfId="0" applyNumberFormat="1" applyFont="1"/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4" fillId="2" borderId="6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hidden="1"/>
    </xf>
    <xf numFmtId="0" fontId="32" fillId="0" borderId="0" xfId="0" applyFont="1"/>
    <xf numFmtId="0" fontId="32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left" vertical="top" wrapText="1"/>
      <protection hidden="1"/>
    </xf>
    <xf numFmtId="0" fontId="38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 indent="3"/>
      <protection hidden="1"/>
    </xf>
    <xf numFmtId="0" fontId="38" fillId="0" borderId="0" xfId="0" applyFont="1" applyAlignment="1" applyProtection="1">
      <alignment horizontal="left" vertical="center" indent="3"/>
      <protection hidden="1"/>
    </xf>
    <xf numFmtId="0" fontId="34" fillId="0" borderId="0" xfId="0" applyFont="1" applyAlignment="1">
      <alignment horizontal="left"/>
    </xf>
    <xf numFmtId="0" fontId="34" fillId="0" borderId="0" xfId="0" applyFont="1"/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left" wrapText="1"/>
    </xf>
    <xf numFmtId="0" fontId="47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4" fillId="2" borderId="60" xfId="0" applyFont="1" applyFill="1" applyBorder="1" applyAlignment="1" applyProtection="1">
      <alignment horizontal="left" vertical="top" shrinkToFit="1"/>
      <protection locked="0"/>
    </xf>
    <xf numFmtId="0" fontId="34" fillId="0" borderId="0" xfId="0" applyFont="1" applyAlignment="1" applyProtection="1">
      <alignment horizontal="left" vertical="top" shrinkToFi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 indent="8"/>
      <protection hidden="1"/>
    </xf>
    <xf numFmtId="0" fontId="35" fillId="0" borderId="0" xfId="0" applyFont="1" applyAlignment="1" applyProtection="1">
      <alignment horizontal="left" vertical="center" indent="8"/>
      <protection hidden="1"/>
    </xf>
    <xf numFmtId="0" fontId="39" fillId="0" borderId="4" xfId="0" applyFont="1" applyBorder="1" applyAlignment="1" applyProtection="1">
      <alignment vertical="center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7" fillId="0" borderId="92" xfId="0" applyFont="1" applyBorder="1" applyAlignment="1" applyProtection="1">
      <alignment horizontal="center" vertical="center" wrapText="1"/>
      <protection hidden="1"/>
    </xf>
    <xf numFmtId="0" fontId="44" fillId="0" borderId="126" xfId="0" applyFont="1" applyBorder="1" applyAlignment="1" applyProtection="1">
      <alignment horizontal="center" vertical="center" wrapText="1"/>
      <protection hidden="1"/>
    </xf>
    <xf numFmtId="0" fontId="37" fillId="0" borderId="98" xfId="0" applyFont="1" applyBorder="1" applyAlignment="1" applyProtection="1">
      <alignment vertical="center"/>
      <protection hidden="1"/>
    </xf>
    <xf numFmtId="3" fontId="45" fillId="0" borderId="211" xfId="0" applyNumberFormat="1" applyFont="1" applyBorder="1" applyAlignment="1" applyProtection="1">
      <alignment horizontal="center" vertical="center"/>
      <protection hidden="1"/>
    </xf>
    <xf numFmtId="3" fontId="45" fillId="0" borderId="98" xfId="0" applyNumberFormat="1" applyFont="1" applyBorder="1" applyAlignment="1" applyProtection="1">
      <alignment horizontal="center" vertical="center"/>
      <protection hidden="1"/>
    </xf>
    <xf numFmtId="0" fontId="38" fillId="0" borderId="47" xfId="0" applyFont="1" applyBorder="1" applyAlignment="1" applyProtection="1">
      <alignment horizontal="left" vertical="center" indent="3"/>
      <protection hidden="1"/>
    </xf>
    <xf numFmtId="0" fontId="38" fillId="0" borderId="51" xfId="0" applyFont="1" applyBorder="1" applyAlignment="1" applyProtection="1">
      <alignment horizontal="left" vertical="center" indent="3"/>
      <protection hidden="1"/>
    </xf>
    <xf numFmtId="3" fontId="45" fillId="2" borderId="50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left" vertical="center"/>
      <protection hidden="1"/>
    </xf>
    <xf numFmtId="3" fontId="45" fillId="0" borderId="45" xfId="0" applyNumberFormat="1" applyFont="1" applyBorder="1" applyAlignment="1" applyProtection="1">
      <alignment horizontal="center" vertical="center" shrinkToFit="1"/>
      <protection hidden="1"/>
    </xf>
    <xf numFmtId="3" fontId="45" fillId="0" borderId="40" xfId="0" applyNumberFormat="1" applyFont="1" applyBorder="1" applyAlignment="1" applyProtection="1">
      <alignment horizontal="center" vertical="center" shrinkToFit="1"/>
      <protection hidden="1"/>
    </xf>
    <xf numFmtId="0" fontId="51" fillId="2" borderId="61" xfId="0" applyFont="1" applyFill="1" applyBorder="1" applyAlignment="1" applyProtection="1">
      <alignment horizontal="left" vertical="center" wrapText="1" indent="3"/>
      <protection locked="0"/>
    </xf>
    <xf numFmtId="3" fontId="45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Border="1" applyAlignment="1" applyProtection="1">
      <alignment horizontal="left" vertical="center"/>
      <protection hidden="1"/>
    </xf>
    <xf numFmtId="0" fontId="45" fillId="2" borderId="60" xfId="0" applyFont="1" applyFill="1" applyBorder="1" applyAlignment="1" applyProtection="1">
      <alignment horizontal="center" vertical="center" shrinkToFit="1"/>
      <protection locked="0"/>
    </xf>
    <xf numFmtId="0" fontId="44" fillId="0" borderId="61" xfId="0" applyFont="1" applyBorder="1" applyAlignment="1" applyProtection="1">
      <alignment horizontal="left" vertical="center"/>
      <protection hidden="1"/>
    </xf>
    <xf numFmtId="0" fontId="52" fillId="0" borderId="127" xfId="0" applyFont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left" vertical="center"/>
      <protection hidden="1"/>
    </xf>
    <xf numFmtId="0" fontId="52" fillId="0" borderId="3" xfId="0" applyFont="1" applyBorder="1" applyAlignment="1" applyProtection="1">
      <alignment horizontal="center" vertical="center"/>
      <protection hidden="1"/>
    </xf>
    <xf numFmtId="3" fontId="45" fillId="2" borderId="250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251" xfId="0" applyFont="1" applyFill="1" applyBorder="1" applyAlignment="1" applyProtection="1">
      <alignment horizontal="center" vertical="center" shrinkToFit="1"/>
      <protection locked="0"/>
    </xf>
    <xf numFmtId="0" fontId="37" fillId="0" borderId="147" xfId="0" applyFont="1" applyBorder="1" applyAlignment="1" applyProtection="1">
      <alignment horizontal="left" vertical="center"/>
      <protection hidden="1"/>
    </xf>
    <xf numFmtId="3" fontId="45" fillId="2" borderId="148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153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3" fontId="45" fillId="0" borderId="0" xfId="0" applyNumberFormat="1" applyFont="1" applyAlignment="1" applyProtection="1">
      <alignment horizontal="center" vertical="center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vertical="center"/>
      <protection hidden="1"/>
    </xf>
    <xf numFmtId="0" fontId="39" fillId="0" borderId="6" xfId="0" applyFont="1" applyBorder="1" applyAlignment="1" applyProtection="1">
      <alignment horizontal="center" vertical="center" wrapText="1"/>
      <protection hidden="1"/>
    </xf>
    <xf numFmtId="0" fontId="53" fillId="0" borderId="202" xfId="0" applyFont="1" applyBorder="1" applyAlignment="1" applyProtection="1">
      <alignment horizontal="center" vertical="center" wrapText="1"/>
      <protection hidden="1"/>
    </xf>
    <xf numFmtId="0" fontId="53" fillId="0" borderId="108" xfId="0" applyFont="1" applyBorder="1" applyAlignment="1" applyProtection="1">
      <alignment horizontal="center" vertical="center" wrapText="1"/>
      <protection hidden="1"/>
    </xf>
    <xf numFmtId="0" fontId="53" fillId="0" borderId="203" xfId="0" applyFont="1" applyBorder="1" applyAlignment="1" applyProtection="1">
      <alignment horizontal="center" vertical="center" wrapText="1"/>
      <protection hidden="1"/>
    </xf>
    <xf numFmtId="0" fontId="53" fillId="0" borderId="109" xfId="0" applyFont="1" applyBorder="1" applyAlignment="1" applyProtection="1">
      <alignment horizontal="center" vertical="center" wrapText="1"/>
      <protection hidden="1"/>
    </xf>
    <xf numFmtId="0" fontId="54" fillId="0" borderId="6" xfId="0" applyFont="1" applyBorder="1" applyAlignment="1" applyProtection="1">
      <alignment vertical="center"/>
      <protection hidden="1"/>
    </xf>
    <xf numFmtId="0" fontId="46" fillId="0" borderId="9" xfId="0" applyFont="1" applyBorder="1" applyAlignment="1" applyProtection="1">
      <alignment horizontal="center" vertical="center" shrinkToFit="1"/>
      <protection hidden="1"/>
    </xf>
    <xf numFmtId="0" fontId="46" fillId="0" borderId="111" xfId="0" applyFont="1" applyBorder="1" applyAlignment="1" applyProtection="1">
      <alignment horizontal="center" vertical="center" shrinkToFit="1"/>
      <protection hidden="1"/>
    </xf>
    <xf numFmtId="0" fontId="46" fillId="0" borderId="35" xfId="0" applyFont="1" applyBorder="1" applyAlignment="1" applyProtection="1">
      <alignment horizontal="center" vertical="center" shrinkToFit="1"/>
      <protection hidden="1"/>
    </xf>
    <xf numFmtId="0" fontId="46" fillId="0" borderId="105" xfId="0" applyFont="1" applyBorder="1" applyAlignment="1" applyProtection="1">
      <alignment horizontal="center" vertical="center" shrinkToFit="1"/>
      <protection hidden="1"/>
    </xf>
    <xf numFmtId="0" fontId="34" fillId="0" borderId="61" xfId="0" applyFont="1" applyBorder="1" applyAlignment="1" applyProtection="1">
      <alignment horizontal="left" vertical="center" indent="3"/>
      <protection hidden="1"/>
    </xf>
    <xf numFmtId="0" fontId="46" fillId="2" borderId="73" xfId="0" applyFont="1" applyFill="1" applyBorder="1" applyAlignment="1" applyProtection="1">
      <alignment horizontal="center" vertical="center" shrinkToFit="1"/>
      <protection locked="0"/>
    </xf>
    <xf numFmtId="0" fontId="46" fillId="2" borderId="112" xfId="0" applyFont="1" applyFill="1" applyBorder="1" applyAlignment="1" applyProtection="1">
      <alignment horizontal="center" vertical="center" shrinkToFit="1"/>
      <protection locked="0"/>
    </xf>
    <xf numFmtId="0" fontId="46" fillId="2" borderId="65" xfId="0" applyFont="1" applyFill="1" applyBorder="1" applyAlignment="1" applyProtection="1">
      <alignment horizontal="center" vertical="center" shrinkToFit="1"/>
      <protection locked="0"/>
    </xf>
    <xf numFmtId="0" fontId="46" fillId="2" borderId="60" xfId="0" applyFont="1" applyFill="1" applyBorder="1" applyAlignment="1" applyProtection="1">
      <alignment horizontal="center" vertical="center" shrinkToFit="1"/>
      <protection locked="0"/>
    </xf>
    <xf numFmtId="0" fontId="34" fillId="0" borderId="74" xfId="0" applyFont="1" applyBorder="1" applyAlignment="1" applyProtection="1">
      <alignment horizontal="left" vertical="center" indent="3"/>
      <protection hidden="1"/>
    </xf>
    <xf numFmtId="0" fontId="46" fillId="2" borderId="12" xfId="0" applyFont="1" applyFill="1" applyBorder="1" applyAlignment="1" applyProtection="1">
      <alignment horizontal="center" vertical="center" shrinkToFit="1"/>
      <protection locked="0"/>
    </xf>
    <xf numFmtId="0" fontId="46" fillId="2" borderId="110" xfId="0" applyFont="1" applyFill="1" applyBorder="1" applyAlignment="1" applyProtection="1">
      <alignment horizontal="center" vertical="center" shrinkToFit="1"/>
      <protection locked="0"/>
    </xf>
    <xf numFmtId="0" fontId="46" fillId="2" borderId="34" xfId="0" applyFont="1" applyFill="1" applyBorder="1" applyAlignment="1" applyProtection="1">
      <alignment horizontal="center" vertical="center" shrinkToFit="1"/>
      <protection locked="0"/>
    </xf>
    <xf numFmtId="0" fontId="46" fillId="2" borderId="106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vertical="center"/>
      <protection hidden="1"/>
    </xf>
    <xf numFmtId="0" fontId="53" fillId="0" borderId="188" xfId="0" applyFont="1" applyBorder="1" applyAlignment="1" applyProtection="1">
      <alignment horizontal="center" vertical="center"/>
      <protection hidden="1"/>
    </xf>
    <xf numFmtId="0" fontId="53" fillId="0" borderId="110" xfId="0" applyFont="1" applyBorder="1" applyAlignment="1" applyProtection="1">
      <alignment horizontal="center" vertical="center" wrapText="1"/>
      <protection hidden="1"/>
    </xf>
    <xf numFmtId="0" fontId="53" fillId="0" borderId="257" xfId="0" applyFont="1" applyBorder="1" applyAlignment="1" applyProtection="1">
      <alignment horizontal="center" vertical="center" wrapText="1"/>
      <protection hidden="1"/>
    </xf>
    <xf numFmtId="0" fontId="53" fillId="0" borderId="204" xfId="0" applyFont="1" applyBorder="1" applyAlignment="1" applyProtection="1">
      <alignment horizontal="center" vertical="center" wrapText="1"/>
      <protection hidden="1"/>
    </xf>
    <xf numFmtId="0" fontId="53" fillId="0" borderId="106" xfId="0" applyFont="1" applyBorder="1" applyAlignment="1" applyProtection="1">
      <alignment horizontal="center" vertical="center" wrapText="1"/>
      <protection hidden="1"/>
    </xf>
    <xf numFmtId="0" fontId="44" fillId="0" borderId="43" xfId="0" applyFont="1" applyBorder="1" applyAlignment="1" applyProtection="1">
      <alignment horizontal="left" vertical="center" indent="1"/>
      <protection hidden="1"/>
    </xf>
    <xf numFmtId="0" fontId="46" fillId="0" borderId="258" xfId="0" applyFont="1" applyBorder="1" applyAlignment="1" applyProtection="1">
      <alignment horizontal="center" vertical="center"/>
      <protection hidden="1"/>
    </xf>
    <xf numFmtId="0" fontId="46" fillId="0" borderId="259" xfId="0" applyFont="1" applyBorder="1" applyAlignment="1" applyProtection="1">
      <alignment horizontal="center" vertical="center"/>
      <protection hidden="1"/>
    </xf>
    <xf numFmtId="0" fontId="46" fillId="2" borderId="44" xfId="0" applyFont="1" applyFill="1" applyBorder="1" applyAlignment="1" applyProtection="1">
      <alignment horizontal="center" vertical="center"/>
      <protection locked="0"/>
    </xf>
    <xf numFmtId="0" fontId="46" fillId="2" borderId="42" xfId="0" applyFont="1" applyFill="1" applyBorder="1" applyAlignment="1" applyProtection="1">
      <alignment horizontal="center" vertical="center"/>
      <protection locked="0"/>
    </xf>
    <xf numFmtId="0" fontId="46" fillId="2" borderId="260" xfId="0" applyFont="1" applyFill="1" applyBorder="1" applyAlignment="1" applyProtection="1">
      <alignment horizontal="center" vertical="center"/>
      <protection locked="0"/>
    </xf>
    <xf numFmtId="0" fontId="46" fillId="2" borderId="259" xfId="0" applyFont="1" applyFill="1" applyBorder="1" applyAlignment="1" applyProtection="1">
      <alignment horizontal="center" vertical="center"/>
      <protection locked="0"/>
    </xf>
    <xf numFmtId="0" fontId="44" fillId="0" borderId="61" xfId="0" applyFont="1" applyBorder="1" applyAlignment="1" applyProtection="1">
      <alignment horizontal="left" vertical="center" indent="1"/>
      <protection hidden="1"/>
    </xf>
    <xf numFmtId="0" fontId="46" fillId="0" borderId="261" xfId="0" applyFont="1" applyBorder="1" applyAlignment="1" applyProtection="1">
      <alignment horizontal="center" vertical="center"/>
      <protection hidden="1"/>
    </xf>
    <xf numFmtId="0" fontId="46" fillId="0" borderId="112" xfId="0" applyFont="1" applyBorder="1" applyAlignment="1" applyProtection="1">
      <alignment horizontal="center" vertical="center"/>
      <protection hidden="1"/>
    </xf>
    <xf numFmtId="0" fontId="46" fillId="2" borderId="62" xfId="0" applyFont="1" applyFill="1" applyBorder="1" applyAlignment="1" applyProtection="1">
      <alignment horizontal="center" vertical="center"/>
      <protection locked="0"/>
    </xf>
    <xf numFmtId="0" fontId="46" fillId="2" borderId="60" xfId="0" applyFont="1" applyFill="1" applyBorder="1" applyAlignment="1" applyProtection="1">
      <alignment horizontal="center" vertical="center"/>
      <protection locked="0"/>
    </xf>
    <xf numFmtId="0" fontId="46" fillId="2" borderId="262" xfId="0" applyFont="1" applyFill="1" applyBorder="1" applyAlignment="1" applyProtection="1">
      <alignment horizontal="center" vertical="center"/>
      <protection locked="0"/>
    </xf>
    <xf numFmtId="0" fontId="46" fillId="2" borderId="112" xfId="0" applyFont="1" applyFill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left" vertical="center" indent="1"/>
      <protection hidden="1"/>
    </xf>
    <xf numFmtId="0" fontId="46" fillId="2" borderId="123" xfId="0" applyFont="1" applyFill="1" applyBorder="1" applyAlignment="1" applyProtection="1">
      <alignment horizontal="center" vertical="center"/>
      <protection locked="0"/>
    </xf>
    <xf numFmtId="0" fontId="56" fillId="0" borderId="0" xfId="0" applyFont="1"/>
    <xf numFmtId="0" fontId="57" fillId="0" borderId="0" xfId="0" applyFont="1"/>
    <xf numFmtId="0" fontId="57" fillId="36" borderId="0" xfId="0" applyFont="1" applyFill="1"/>
    <xf numFmtId="0" fontId="58" fillId="39" borderId="0" xfId="0" applyFont="1" applyFill="1"/>
    <xf numFmtId="1" fontId="29" fillId="0" borderId="264" xfId="0" applyNumberFormat="1" applyFont="1" applyBorder="1"/>
    <xf numFmtId="0" fontId="29" fillId="0" borderId="264" xfId="44" applyFont="1" applyBorder="1"/>
    <xf numFmtId="0" fontId="29" fillId="0" borderId="264" xfId="0" applyFont="1" applyBorder="1"/>
    <xf numFmtId="0" fontId="8" fillId="0" borderId="264" xfId="0" quotePrefix="1" applyFont="1" applyBorder="1"/>
    <xf numFmtId="1" fontId="59" fillId="0" borderId="264" xfId="0" applyNumberFormat="1" applyFont="1" applyBorder="1"/>
    <xf numFmtId="1" fontId="8" fillId="0" borderId="264" xfId="0" quotePrefix="1" applyNumberFormat="1" applyFont="1" applyBorder="1"/>
    <xf numFmtId="1" fontId="59" fillId="0" borderId="264" xfId="0" quotePrefix="1" applyNumberFormat="1" applyFont="1" applyBorder="1"/>
    <xf numFmtId="1" fontId="8" fillId="36" borderId="264" xfId="0" quotePrefix="1" applyNumberFormat="1" applyFont="1" applyFill="1" applyBorder="1"/>
    <xf numFmtId="3" fontId="45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9" fillId="0" borderId="29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 vertical="center" indent="5"/>
      <protection hidden="1"/>
    </xf>
    <xf numFmtId="0" fontId="33" fillId="0" borderId="29" xfId="0" applyFont="1" applyBorder="1" applyAlignment="1" applyProtection="1">
      <alignment horizontal="left" vertical="center"/>
      <protection hidden="1"/>
    </xf>
    <xf numFmtId="0" fontId="33" fillId="0" borderId="29" xfId="0" applyFont="1" applyBorder="1" applyAlignment="1" applyProtection="1">
      <alignment horizontal="right" vertical="center"/>
      <protection hidden="1"/>
    </xf>
    <xf numFmtId="0" fontId="33" fillId="0" borderId="29" xfId="0" applyFont="1" applyBorder="1" applyAlignment="1" applyProtection="1">
      <alignment horizontal="left" vertical="center" indent="5"/>
      <protection hidden="1"/>
    </xf>
    <xf numFmtId="0" fontId="62" fillId="0" borderId="21" xfId="0" applyFont="1" applyBorder="1" applyAlignment="1" applyProtection="1">
      <alignment horizontal="left" vertical="center" wrapText="1"/>
      <protection hidden="1"/>
    </xf>
    <xf numFmtId="0" fontId="62" fillId="0" borderId="21" xfId="0" applyFont="1" applyBorder="1" applyAlignment="1" applyProtection="1">
      <alignment horizontal="right" vertical="center"/>
      <protection hidden="1"/>
    </xf>
    <xf numFmtId="3" fontId="45" fillId="0" borderId="53" xfId="0" applyNumberFormat="1" applyFont="1" applyBorder="1" applyAlignment="1" applyProtection="1">
      <alignment horizontal="center" vertical="center" shrinkToFit="1"/>
      <protection hidden="1"/>
    </xf>
    <xf numFmtId="3" fontId="45" fillId="0" borderId="69" xfId="0" applyNumberFormat="1" applyFont="1" applyBorder="1" applyAlignment="1" applyProtection="1">
      <alignment horizontal="center" vertical="center" shrinkToFit="1"/>
      <protection hidden="1"/>
    </xf>
    <xf numFmtId="0" fontId="54" fillId="0" borderId="46" xfId="0" applyFont="1" applyBorder="1" applyAlignment="1" applyProtection="1">
      <alignment vertical="center" wrapText="1"/>
      <protection hidden="1"/>
    </xf>
    <xf numFmtId="0" fontId="54" fillId="0" borderId="46" xfId="0" applyFont="1" applyBorder="1" applyAlignment="1" applyProtection="1">
      <alignment horizontal="right" vertical="center"/>
      <protection hidden="1"/>
    </xf>
    <xf numFmtId="3" fontId="45" fillId="0" borderId="54" xfId="0" applyNumberFormat="1" applyFont="1" applyBorder="1" applyAlignment="1" applyProtection="1">
      <alignment horizontal="center" vertical="center" shrinkToFit="1"/>
      <protection hidden="1"/>
    </xf>
    <xf numFmtId="3" fontId="45" fillId="0" borderId="101" xfId="0" applyNumberFormat="1" applyFont="1" applyBorder="1" applyAlignment="1" applyProtection="1">
      <alignment horizontal="center" vertical="center" shrinkToFit="1"/>
      <protection hidden="1"/>
    </xf>
    <xf numFmtId="3" fontId="46" fillId="0" borderId="101" xfId="0" applyNumberFormat="1" applyFont="1" applyBorder="1" applyAlignment="1" applyProtection="1">
      <alignment horizontal="center" vertical="center"/>
      <protection hidden="1"/>
    </xf>
    <xf numFmtId="3" fontId="45" fillId="0" borderId="160" xfId="0" applyNumberFormat="1" applyFont="1" applyBorder="1" applyAlignment="1" applyProtection="1">
      <alignment horizontal="center" vertical="center" shrinkToFit="1"/>
      <protection hidden="1"/>
    </xf>
    <xf numFmtId="3" fontId="46" fillId="0" borderId="56" xfId="0" applyNumberFormat="1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left" vertical="center" wrapText="1" indent="2"/>
      <protection hidden="1"/>
    </xf>
    <xf numFmtId="0" fontId="32" fillId="0" borderId="47" xfId="0" applyFont="1" applyBorder="1" applyAlignment="1" applyProtection="1">
      <alignment horizontal="right" vertical="center"/>
      <protection hidden="1"/>
    </xf>
    <xf numFmtId="3" fontId="45" fillId="0" borderId="50" xfId="0" applyNumberFormat="1" applyFont="1" applyBorder="1" applyAlignment="1" applyProtection="1">
      <alignment horizontal="center" vertical="center" shrinkToFit="1"/>
      <protection hidden="1"/>
    </xf>
    <xf numFmtId="3" fontId="45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46" fillId="2" borderId="90" xfId="0" applyNumberFormat="1" applyFont="1" applyFill="1" applyBorder="1" applyAlignment="1" applyProtection="1">
      <alignment horizontal="center" vertical="center"/>
      <protection locked="0"/>
    </xf>
    <xf numFmtId="3" fontId="46" fillId="2" borderId="47" xfId="0" applyNumberFormat="1" applyFont="1" applyFill="1" applyBorder="1" applyAlignment="1" applyProtection="1">
      <alignment horizontal="center" vertical="center"/>
      <protection locked="0"/>
    </xf>
    <xf numFmtId="0" fontId="38" fillId="0" borderId="47" xfId="0" applyFont="1" applyBorder="1" applyAlignment="1" applyProtection="1">
      <alignment horizontal="left" vertical="center" wrapText="1" indent="2"/>
      <protection hidden="1"/>
    </xf>
    <xf numFmtId="3" fontId="46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46" fillId="2" borderId="90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90" xfId="0" applyNumberFormat="1" applyFont="1" applyFill="1" applyBorder="1" applyAlignment="1" applyProtection="1">
      <alignment horizontal="center" wrapText="1"/>
      <protection locked="0"/>
    </xf>
    <xf numFmtId="3" fontId="45" fillId="2" borderId="47" xfId="0" applyNumberFormat="1" applyFont="1" applyFill="1" applyBorder="1" applyAlignment="1" applyProtection="1">
      <alignment horizontal="center" wrapText="1"/>
      <protection locked="0"/>
    </xf>
    <xf numFmtId="0" fontId="38" fillId="0" borderId="49" xfId="0" applyFont="1" applyBorder="1" applyAlignment="1" applyProtection="1">
      <alignment horizontal="left" vertical="center" wrapText="1" indent="2"/>
      <protection hidden="1"/>
    </xf>
    <xf numFmtId="0" fontId="32" fillId="0" borderId="187" xfId="0" applyFont="1" applyBorder="1" applyAlignment="1" applyProtection="1">
      <alignment horizontal="right" vertical="center"/>
      <protection hidden="1"/>
    </xf>
    <xf numFmtId="3" fontId="45" fillId="0" borderId="55" xfId="0" applyNumberFormat="1" applyFont="1" applyBorder="1" applyAlignment="1" applyProtection="1">
      <alignment horizontal="center" vertical="center" shrinkToFit="1"/>
      <protection hidden="1"/>
    </xf>
    <xf numFmtId="3" fontId="45" fillId="2" borderId="154" xfId="0" applyNumberFormat="1" applyFont="1" applyFill="1" applyBorder="1" applyAlignment="1" applyProtection="1">
      <alignment horizontal="center" vertical="center" shrinkToFit="1"/>
      <protection locked="0"/>
    </xf>
    <xf numFmtId="3" fontId="46" fillId="2" borderId="154" xfId="0" applyNumberFormat="1" applyFont="1" applyFill="1" applyBorder="1" applyAlignment="1" applyProtection="1">
      <alignment horizontal="center" vertical="center"/>
      <protection locked="0"/>
    </xf>
    <xf numFmtId="3" fontId="46" fillId="2" borderId="49" xfId="0" applyNumberFormat="1" applyFont="1" applyFill="1" applyBorder="1" applyAlignment="1" applyProtection="1">
      <alignment horizontal="center" vertical="center"/>
      <protection locked="0"/>
    </xf>
    <xf numFmtId="0" fontId="63" fillId="0" borderId="56" xfId="0" applyFont="1" applyBorder="1" applyAlignment="1" applyProtection="1">
      <alignment vertical="center" wrapText="1"/>
      <protection hidden="1"/>
    </xf>
    <xf numFmtId="0" fontId="54" fillId="0" borderId="56" xfId="0" applyFont="1" applyBorder="1" applyAlignment="1" applyProtection="1">
      <alignment horizontal="right" vertical="center"/>
      <protection hidden="1"/>
    </xf>
    <xf numFmtId="3" fontId="45" fillId="0" borderId="57" xfId="0" applyNumberFormat="1" applyFont="1" applyBorder="1" applyAlignment="1" applyProtection="1">
      <alignment horizontal="center" vertical="center" shrinkToFit="1"/>
      <protection hidden="1"/>
    </xf>
    <xf numFmtId="0" fontId="34" fillId="0" borderId="58" xfId="0" applyFont="1" applyBorder="1" applyAlignment="1" applyProtection="1">
      <alignment horizontal="left" vertical="center" wrapText="1" indent="2"/>
      <protection hidden="1"/>
    </xf>
    <xf numFmtId="0" fontId="34" fillId="0" borderId="58" xfId="0" applyFont="1" applyBorder="1" applyAlignment="1" applyProtection="1">
      <alignment horizontal="right" vertical="center"/>
      <protection hidden="1"/>
    </xf>
    <xf numFmtId="3" fontId="45" fillId="0" borderId="59" xfId="0" applyNumberFormat="1" applyFont="1" applyBorder="1" applyAlignment="1" applyProtection="1">
      <alignment horizontal="center" vertical="center" shrinkToFit="1"/>
      <protection hidden="1"/>
    </xf>
    <xf numFmtId="3" fontId="45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46" fillId="2" borderId="103" xfId="0" applyNumberFormat="1" applyFont="1" applyFill="1" applyBorder="1" applyAlignment="1" applyProtection="1">
      <alignment horizontal="center" vertical="center"/>
      <protection locked="0"/>
    </xf>
    <xf numFmtId="3" fontId="46" fillId="2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hidden="1"/>
    </xf>
    <xf numFmtId="0" fontId="64" fillId="0" borderId="6" xfId="0" applyFont="1" applyBorder="1" applyAlignment="1" applyProtection="1">
      <alignment vertical="center" wrapText="1"/>
      <protection hidden="1"/>
    </xf>
    <xf numFmtId="0" fontId="38" fillId="0" borderId="0" xfId="0" applyFont="1" applyAlignment="1" applyProtection="1">
      <alignment horizontal="left" vertical="center" indent="2"/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9" fillId="0" borderId="0" xfId="0" applyFont="1" applyProtection="1">
      <protection hidden="1"/>
    </xf>
    <xf numFmtId="0" fontId="39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 vertical="center" indent="6"/>
      <protection hidden="1"/>
    </xf>
    <xf numFmtId="0" fontId="33" fillId="0" borderId="8" xfId="0" applyFont="1" applyBorder="1" applyAlignment="1" applyProtection="1">
      <alignment horizontal="left" vertical="center"/>
      <protection hidden="1"/>
    </xf>
    <xf numFmtId="0" fontId="33" fillId="0" borderId="8" xfId="0" applyFont="1" applyBorder="1" applyAlignment="1" applyProtection="1">
      <alignment horizontal="left" vertical="center" indent="6"/>
      <protection hidden="1"/>
    </xf>
    <xf numFmtId="0" fontId="44" fillId="0" borderId="4" xfId="0" applyFont="1" applyBorder="1" applyAlignment="1" applyProtection="1">
      <alignment horizontal="center" vertical="center" wrapText="1"/>
      <protection hidden="1"/>
    </xf>
    <xf numFmtId="0" fontId="44" fillId="0" borderId="92" xfId="0" applyFont="1" applyBorder="1" applyAlignment="1" applyProtection="1">
      <alignment horizontal="center" vertical="center" wrapText="1"/>
      <protection hidden="1"/>
    </xf>
    <xf numFmtId="0" fontId="44" fillId="0" borderId="85" xfId="0" applyFont="1" applyBorder="1" applyAlignment="1" applyProtection="1">
      <alignment horizontal="center" vertical="center" wrapText="1"/>
      <protection hidden="1"/>
    </xf>
    <xf numFmtId="0" fontId="62" fillId="0" borderId="7" xfId="0" applyFont="1" applyBorder="1" applyAlignment="1" applyProtection="1">
      <alignment horizontal="left" vertical="center" wrapText="1"/>
      <protection hidden="1"/>
    </xf>
    <xf numFmtId="3" fontId="45" fillId="0" borderId="96" xfId="0" applyNumberFormat="1" applyFont="1" applyBorder="1" applyAlignment="1" applyProtection="1">
      <alignment horizontal="center" vertical="center" shrinkToFit="1"/>
      <protection hidden="1"/>
    </xf>
    <xf numFmtId="3" fontId="45" fillId="0" borderId="21" xfId="0" applyNumberFormat="1" applyFont="1" applyBorder="1" applyAlignment="1" applyProtection="1">
      <alignment horizontal="center" vertical="center" shrinkToFit="1"/>
      <protection hidden="1"/>
    </xf>
    <xf numFmtId="0" fontId="54" fillId="0" borderId="18" xfId="0" applyFont="1" applyBorder="1" applyAlignment="1" applyProtection="1">
      <alignment vertical="center" wrapText="1"/>
      <protection hidden="1"/>
    </xf>
    <xf numFmtId="3" fontId="45" fillId="0" borderId="93" xfId="0" applyNumberFormat="1" applyFont="1" applyBorder="1" applyAlignment="1" applyProtection="1">
      <alignment horizontal="center" vertical="center" shrinkToFit="1"/>
      <protection hidden="1"/>
    </xf>
    <xf numFmtId="3" fontId="45" fillId="0" borderId="72" xfId="0" applyNumberFormat="1" applyFont="1" applyBorder="1" applyAlignment="1" applyProtection="1">
      <alignment horizontal="center" vertical="center" shrinkToFit="1"/>
      <protection hidden="1"/>
    </xf>
    <xf numFmtId="3" fontId="45" fillId="0" borderId="18" xfId="0" applyNumberFormat="1" applyFont="1" applyBorder="1" applyAlignment="1" applyProtection="1">
      <alignment horizontal="center" vertical="center" shrinkToFit="1"/>
      <protection hidden="1"/>
    </xf>
    <xf numFmtId="0" fontId="54" fillId="0" borderId="56" xfId="0" applyFont="1" applyBorder="1" applyAlignment="1" applyProtection="1">
      <alignment vertical="center" wrapText="1"/>
      <protection hidden="1"/>
    </xf>
    <xf numFmtId="3" fontId="45" fillId="0" borderId="56" xfId="0" applyNumberFormat="1" applyFont="1" applyBorder="1" applyAlignment="1" applyProtection="1">
      <alignment horizontal="center" vertical="center" shrinkToFit="1"/>
      <protection hidden="1"/>
    </xf>
    <xf numFmtId="3" fontId="45" fillId="2" borderId="47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94" xfId="0" applyNumberFormat="1" applyFont="1" applyBorder="1" applyAlignment="1" applyProtection="1">
      <alignment horizontal="center" vertical="center" shrinkToFit="1"/>
      <protection hidden="1"/>
    </xf>
    <xf numFmtId="3" fontId="45" fillId="2" borderId="97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95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02" xfId="0" applyFont="1" applyBorder="1" applyAlignment="1" applyProtection="1">
      <alignment horizontal="left" vertical="center" wrapText="1" indent="2"/>
      <protection hidden="1"/>
    </xf>
    <xf numFmtId="3" fontId="45" fillId="0" borderId="99" xfId="0" applyNumberFormat="1" applyFont="1" applyBorder="1" applyAlignment="1" applyProtection="1">
      <alignment horizontal="center" vertical="center" shrinkToFit="1"/>
      <protection hidden="1"/>
    </xf>
    <xf numFmtId="3" fontId="45" fillId="2" borderId="100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86" xfId="0" applyNumberFormat="1" applyFont="1" applyBorder="1" applyAlignment="1" applyProtection="1">
      <alignment horizontal="center" vertical="center" shrinkToFit="1"/>
      <protection hidden="1"/>
    </xf>
    <xf numFmtId="3" fontId="45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7" xfId="0" applyFont="1" applyBorder="1" applyAlignment="1" applyProtection="1">
      <alignment horizontal="left" vertical="center" indent="2"/>
      <protection hidden="1"/>
    </xf>
    <xf numFmtId="3" fontId="45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7" fillId="0" borderId="85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67" fillId="0" borderId="25" xfId="0" applyFont="1" applyBorder="1" applyAlignment="1" applyProtection="1">
      <alignment horizontal="left" vertical="center" wrapText="1"/>
      <protection hidden="1"/>
    </xf>
    <xf numFmtId="3" fontId="45" fillId="0" borderId="26" xfId="0" applyNumberFormat="1" applyFont="1" applyBorder="1" applyAlignment="1" applyProtection="1">
      <alignment horizontal="center" vertical="center" shrinkToFit="1"/>
      <protection hidden="1"/>
    </xf>
    <xf numFmtId="3" fontId="45" fillId="0" borderId="25" xfId="0" applyNumberFormat="1" applyFont="1" applyBorder="1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left" vertical="center" wrapText="1" indent="2"/>
      <protection hidden="1"/>
    </xf>
    <xf numFmtId="3" fontId="45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0" xfId="0" applyNumberFormat="1" applyFont="1" applyFill="1" applyAlignment="1" applyProtection="1">
      <alignment horizontal="center" vertical="center" shrinkToFit="1"/>
      <protection locked="0"/>
    </xf>
    <xf numFmtId="0" fontId="37" fillId="0" borderId="61" xfId="0" applyFont="1" applyBorder="1" applyAlignment="1" applyProtection="1">
      <alignment horizontal="left" vertical="center" wrapText="1" indent="2"/>
      <protection hidden="1"/>
    </xf>
    <xf numFmtId="3" fontId="45" fillId="0" borderId="73" xfId="0" applyNumberFormat="1" applyFont="1" applyBorder="1" applyAlignment="1" applyProtection="1">
      <alignment horizontal="center" vertical="center" shrinkToFit="1"/>
      <protection hidden="1"/>
    </xf>
    <xf numFmtId="3" fontId="45" fillId="2" borderId="63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9" xfId="0" applyFont="1" applyBorder="1" applyAlignment="1" applyProtection="1">
      <alignment horizontal="left" vertical="center" wrapText="1" indent="2"/>
      <protection hidden="1"/>
    </xf>
    <xf numFmtId="3" fontId="45" fillId="0" borderId="12" xfId="0" applyNumberFormat="1" applyFont="1" applyBorder="1" applyAlignment="1" applyProtection="1">
      <alignment horizontal="center" vertical="center" shrinkToFit="1"/>
      <protection hidden="1"/>
    </xf>
    <xf numFmtId="3" fontId="45" fillId="2" borderId="89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vertical="top" wrapText="1"/>
      <protection hidden="1"/>
    </xf>
    <xf numFmtId="0" fontId="37" fillId="0" borderId="0" xfId="0" applyFont="1" applyAlignment="1" applyProtection="1">
      <alignment horizontal="justify" vertical="center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indent="19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left" indent="12"/>
    </xf>
    <xf numFmtId="0" fontId="53" fillId="0" borderId="12" xfId="0" applyFont="1" applyBorder="1" applyAlignment="1">
      <alignment horizontal="center" wrapText="1"/>
    </xf>
    <xf numFmtId="0" fontId="53" fillId="0" borderId="67" xfId="0" applyFont="1" applyBorder="1" applyAlignment="1">
      <alignment horizontal="center" wrapText="1"/>
    </xf>
    <xf numFmtId="0" fontId="53" fillId="0" borderId="6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39" xfId="0" applyFont="1" applyBorder="1" applyAlignment="1">
      <alignment horizontal="center" wrapText="1"/>
    </xf>
    <xf numFmtId="0" fontId="53" fillId="0" borderId="140" xfId="0" applyFont="1" applyBorder="1" applyAlignment="1">
      <alignment horizontal="center" wrapText="1"/>
    </xf>
    <xf numFmtId="0" fontId="53" fillId="0" borderId="124" xfId="0" applyFont="1" applyBorder="1" applyAlignment="1">
      <alignment horizontal="center" wrapText="1"/>
    </xf>
    <xf numFmtId="0" fontId="44" fillId="0" borderId="18" xfId="0" applyFont="1" applyBorder="1" applyAlignment="1">
      <alignment horizontal="left" vertical="center" wrapText="1" indent="2"/>
    </xf>
    <xf numFmtId="3" fontId="45" fillId="0" borderId="93" xfId="0" applyNumberFormat="1" applyFont="1" applyBorder="1" applyAlignment="1" applyProtection="1">
      <alignment horizontal="center" vertical="center" wrapText="1"/>
      <protection hidden="1"/>
    </xf>
    <xf numFmtId="3" fontId="45" fillId="0" borderId="72" xfId="0" applyNumberFormat="1" applyFont="1" applyBorder="1" applyAlignment="1" applyProtection="1">
      <alignment horizontal="center" vertical="center" wrapText="1"/>
      <protection hidden="1"/>
    </xf>
    <xf numFmtId="3" fontId="45" fillId="0" borderId="19" xfId="0" applyNumberFormat="1" applyFont="1" applyBorder="1" applyAlignment="1" applyProtection="1">
      <alignment horizontal="center" vertical="center" wrapText="1"/>
      <protection hidden="1"/>
    </xf>
    <xf numFmtId="3" fontId="45" fillId="0" borderId="35" xfId="0" applyNumberFormat="1" applyFont="1" applyBorder="1" applyAlignment="1" applyProtection="1">
      <alignment horizontal="center" vertical="center" wrapText="1"/>
      <protection hidden="1"/>
    </xf>
    <xf numFmtId="3" fontId="45" fillId="2" borderId="125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0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1" xfId="0" applyFont="1" applyBorder="1" applyAlignment="1">
      <alignment horizontal="left" vertical="center" wrapText="1" indent="2"/>
    </xf>
    <xf numFmtId="3" fontId="45" fillId="0" borderId="73" xfId="0" applyNumberFormat="1" applyFont="1" applyBorder="1" applyAlignment="1" applyProtection="1">
      <alignment horizontal="center" vertical="center" wrapText="1"/>
      <protection hidden="1"/>
    </xf>
    <xf numFmtId="3" fontId="45" fillId="0" borderId="63" xfId="0" applyNumberFormat="1" applyFont="1" applyBorder="1" applyAlignment="1" applyProtection="1">
      <alignment horizontal="center" vertical="center" wrapText="1"/>
      <protection hidden="1"/>
    </xf>
    <xf numFmtId="3" fontId="45" fillId="0" borderId="64" xfId="0" applyNumberFormat="1" applyFont="1" applyBorder="1" applyAlignment="1" applyProtection="1">
      <alignment horizontal="center" vertical="center" wrapText="1"/>
      <protection hidden="1"/>
    </xf>
    <xf numFmtId="3" fontId="45" fillId="0" borderId="65" xfId="0" applyNumberFormat="1" applyFont="1" applyBorder="1" applyAlignment="1" applyProtection="1">
      <alignment horizontal="center" vertical="center" wrapText="1"/>
      <protection hidden="1"/>
    </xf>
    <xf numFmtId="3" fontId="45" fillId="2" borderId="63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12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60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63" xfId="0" applyNumberFormat="1" applyFont="1" applyBorder="1" applyAlignment="1" applyProtection="1">
      <alignment horizontal="center" vertical="center" shrinkToFit="1"/>
      <protection hidden="1"/>
    </xf>
    <xf numFmtId="0" fontId="37" fillId="0" borderId="61" xfId="0" applyFont="1" applyBorder="1" applyAlignment="1">
      <alignment horizontal="left" vertical="center" wrapText="1" indent="2"/>
    </xf>
    <xf numFmtId="0" fontId="37" fillId="0" borderId="184" xfId="0" applyFont="1" applyBorder="1" applyAlignment="1" applyProtection="1">
      <alignment horizontal="left" vertical="center" wrapText="1" indent="2"/>
      <protection hidden="1"/>
    </xf>
    <xf numFmtId="3" fontId="45" fillId="0" borderId="81" xfId="0" applyNumberFormat="1" applyFont="1" applyBorder="1" applyAlignment="1" applyProtection="1">
      <alignment horizontal="center" vertical="center" wrapText="1"/>
      <protection hidden="1"/>
    </xf>
    <xf numFmtId="3" fontId="45" fillId="0" borderId="82" xfId="0" applyNumberFormat="1" applyFont="1" applyBorder="1" applyAlignment="1" applyProtection="1">
      <alignment horizontal="center" vertical="center" wrapText="1"/>
      <protection hidden="1"/>
    </xf>
    <xf numFmtId="3" fontId="45" fillId="0" borderId="143" xfId="0" applyNumberFormat="1" applyFont="1" applyBorder="1" applyAlignment="1" applyProtection="1">
      <alignment horizontal="center" vertical="center" wrapText="1"/>
      <protection hidden="1"/>
    </xf>
    <xf numFmtId="3" fontId="45" fillId="0" borderId="83" xfId="0" applyNumberFormat="1" applyFont="1" applyBorder="1" applyAlignment="1" applyProtection="1">
      <alignment horizontal="center" vertical="center" wrapText="1"/>
      <protection hidden="1"/>
    </xf>
    <xf numFmtId="3" fontId="45" fillId="2" borderId="82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45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7" xfId="0" applyFont="1" applyBorder="1" applyAlignment="1">
      <alignment horizontal="left" vertical="center" wrapText="1" indent="2"/>
    </xf>
    <xf numFmtId="3" fontId="45" fillId="0" borderId="148" xfId="0" applyNumberFormat="1" applyFont="1" applyBorder="1" applyAlignment="1" applyProtection="1">
      <alignment horizontal="center" vertical="center" wrapText="1"/>
      <protection hidden="1"/>
    </xf>
    <xf numFmtId="3" fontId="45" fillId="0" borderId="149" xfId="0" applyNumberFormat="1" applyFont="1" applyBorder="1" applyAlignment="1" applyProtection="1">
      <alignment horizontal="center" vertical="center" wrapText="1"/>
      <protection hidden="1"/>
    </xf>
    <xf numFmtId="3" fontId="45" fillId="0" borderId="150" xfId="0" applyNumberFormat="1" applyFont="1" applyBorder="1" applyAlignment="1" applyProtection="1">
      <alignment horizontal="center" vertical="center" wrapText="1"/>
      <protection hidden="1"/>
    </xf>
    <xf numFmtId="3" fontId="45" fillId="0" borderId="151" xfId="0" applyNumberFormat="1" applyFont="1" applyBorder="1" applyAlignment="1" applyProtection="1">
      <alignment horizontal="center" vertical="center" wrapText="1"/>
      <protection hidden="1"/>
    </xf>
    <xf numFmtId="3" fontId="45" fillId="2" borderId="149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52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5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justify"/>
      <protection hidden="1"/>
    </xf>
    <xf numFmtId="0" fontId="34" fillId="0" borderId="0" xfId="0" applyFont="1" applyProtection="1">
      <protection hidden="1"/>
    </xf>
    <xf numFmtId="0" fontId="52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 vertical="center" wrapText="1"/>
      <protection hidden="1"/>
    </xf>
    <xf numFmtId="0" fontId="48" fillId="0" borderId="0" xfId="0" applyFont="1"/>
    <xf numFmtId="0" fontId="33" fillId="0" borderId="0" xfId="0" applyFont="1" applyProtection="1">
      <protection hidden="1"/>
    </xf>
    <xf numFmtId="0" fontId="33" fillId="0" borderId="0" xfId="0" applyFont="1" applyAlignment="1" applyProtection="1">
      <alignment horizontal="left" vertical="top"/>
      <protection hidden="1"/>
    </xf>
    <xf numFmtId="0" fontId="48" fillId="0" borderId="92" xfId="0" applyFont="1" applyBorder="1" applyAlignment="1" applyProtection="1">
      <alignment horizontal="center" vertical="center" wrapText="1"/>
      <protection hidden="1"/>
    </xf>
    <xf numFmtId="0" fontId="62" fillId="0" borderId="25" xfId="0" applyFont="1" applyBorder="1" applyAlignment="1" applyProtection="1">
      <alignment horizontal="center" vertical="center" wrapText="1"/>
      <protection hidden="1"/>
    </xf>
    <xf numFmtId="3" fontId="53" fillId="0" borderId="26" xfId="0" applyNumberFormat="1" applyFont="1" applyBorder="1" applyAlignment="1" applyProtection="1">
      <alignment horizontal="center" vertical="center" wrapText="1"/>
      <protection hidden="1"/>
    </xf>
    <xf numFmtId="3" fontId="53" fillId="0" borderId="122" xfId="0" applyNumberFormat="1" applyFont="1" applyBorder="1" applyAlignment="1" applyProtection="1">
      <alignment horizontal="center" vertical="center" wrapText="1"/>
      <protection hidden="1"/>
    </xf>
    <xf numFmtId="3" fontId="72" fillId="0" borderId="132" xfId="0" applyNumberFormat="1" applyFont="1" applyBorder="1" applyAlignment="1" applyProtection="1">
      <alignment horizontal="center" vertical="center" wrapText="1"/>
      <protection hidden="1"/>
    </xf>
    <xf numFmtId="3" fontId="72" fillId="0" borderId="135" xfId="0" applyNumberFormat="1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3" fontId="45" fillId="0" borderId="45" xfId="0" applyNumberFormat="1" applyFont="1" applyBorder="1" applyAlignment="1" applyProtection="1">
      <alignment horizontal="center" vertical="center" wrapText="1"/>
      <protection hidden="1"/>
    </xf>
    <xf numFmtId="3" fontId="45" fillId="2" borderId="129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30" xfId="0" applyNumberFormat="1" applyFont="1" applyBorder="1" applyAlignment="1" applyProtection="1">
      <alignment horizontal="center" vertical="center" wrapText="1"/>
      <protection hidden="1"/>
    </xf>
    <xf numFmtId="3" fontId="73" fillId="0" borderId="131" xfId="0" applyNumberFormat="1" applyFont="1" applyBorder="1" applyAlignment="1" applyProtection="1">
      <alignment horizontal="center" vertical="center" wrapText="1"/>
      <protection hidden="1"/>
    </xf>
    <xf numFmtId="0" fontId="37" fillId="0" borderId="61" xfId="0" applyFont="1" applyBorder="1" applyAlignment="1" applyProtection="1">
      <alignment horizontal="center" vertical="center" wrapText="1"/>
      <protection hidden="1"/>
    </xf>
    <xf numFmtId="3" fontId="45" fillId="2" borderId="141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33" xfId="0" applyNumberFormat="1" applyFont="1" applyBorder="1" applyAlignment="1" applyProtection="1">
      <alignment horizontal="center" vertical="center" wrapText="1"/>
      <protection hidden="1"/>
    </xf>
    <xf numFmtId="3" fontId="73" fillId="0" borderId="136" xfId="0" applyNumberFormat="1" applyFont="1" applyBorder="1" applyAlignment="1" applyProtection="1">
      <alignment horizontal="center" vertical="center" wrapText="1"/>
      <protection hidden="1"/>
    </xf>
    <xf numFmtId="0" fontId="37" fillId="0" borderId="74" xfId="0" applyFont="1" applyBorder="1" applyAlignment="1" applyProtection="1">
      <alignment horizontal="center" vertical="center" wrapText="1"/>
      <protection hidden="1"/>
    </xf>
    <xf numFmtId="3" fontId="45" fillId="0" borderId="75" xfId="0" applyNumberFormat="1" applyFont="1" applyBorder="1" applyAlignment="1" applyProtection="1">
      <alignment horizontal="center" vertical="center" wrapText="1"/>
      <protection hidden="1"/>
    </xf>
    <xf numFmtId="3" fontId="45" fillId="2" borderId="142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34" xfId="0" applyNumberFormat="1" applyFont="1" applyBorder="1" applyAlignment="1" applyProtection="1">
      <alignment horizontal="center" vertical="center" wrapText="1"/>
      <protection hidden="1"/>
    </xf>
    <xf numFmtId="3" fontId="73" fillId="0" borderId="137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Protection="1">
      <protection hidden="1"/>
    </xf>
    <xf numFmtId="0" fontId="74" fillId="0" borderId="0" xfId="0" applyFont="1" applyAlignment="1">
      <alignment horizontal="left"/>
    </xf>
    <xf numFmtId="0" fontId="75" fillId="0" borderId="0" xfId="0" applyFont="1" applyAlignment="1" applyProtection="1">
      <alignment horizontal="center"/>
      <protection hidden="1"/>
    </xf>
    <xf numFmtId="0" fontId="76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35" fillId="0" borderId="0" xfId="0" applyFont="1" applyAlignment="1" applyProtection="1">
      <alignment horizontal="left" vertical="center" indent="5"/>
      <protection hidden="1"/>
    </xf>
    <xf numFmtId="0" fontId="39" fillId="0" borderId="22" xfId="0" applyFont="1" applyBorder="1" applyAlignment="1" applyProtection="1">
      <alignment horizontal="center" vertical="center" wrapText="1"/>
      <protection hidden="1"/>
    </xf>
    <xf numFmtId="0" fontId="60" fillId="0" borderId="12" xfId="0" applyFont="1" applyBorder="1" applyAlignment="1" applyProtection="1">
      <alignment horizontal="center" vertical="center" wrapText="1"/>
      <protection hidden="1"/>
    </xf>
    <xf numFmtId="0" fontId="60" fillId="0" borderId="67" xfId="0" applyFont="1" applyBorder="1" applyAlignment="1" applyProtection="1">
      <alignment horizontal="center" vertical="center" wrapText="1"/>
      <protection hidden="1"/>
    </xf>
    <xf numFmtId="0" fontId="60" fillId="0" borderId="29" xfId="0" applyFont="1" applyBorder="1" applyAlignment="1" applyProtection="1">
      <alignment horizontal="center" vertical="center" wrapText="1"/>
      <protection hidden="1"/>
    </xf>
    <xf numFmtId="0" fontId="60" fillId="0" borderId="140" xfId="0" applyFont="1" applyBorder="1" applyAlignment="1" applyProtection="1">
      <alignment horizontal="center" vertical="center" wrapText="1"/>
      <protection hidden="1"/>
    </xf>
    <xf numFmtId="0" fontId="60" fillId="0" borderId="124" xfId="0" applyFont="1" applyBorder="1" applyAlignment="1" applyProtection="1">
      <alignment horizontal="center" vertical="center" wrapText="1"/>
      <protection hidden="1"/>
    </xf>
    <xf numFmtId="0" fontId="60" fillId="0" borderId="221" xfId="0" applyFont="1" applyBorder="1" applyAlignment="1" applyProtection="1">
      <alignment horizontal="center" vertical="center" wrapText="1"/>
      <protection hidden="1"/>
    </xf>
    <xf numFmtId="0" fontId="60" fillId="0" borderId="235" xfId="0" applyFont="1" applyBorder="1" applyAlignment="1" applyProtection="1">
      <alignment horizontal="center" vertical="center" wrapText="1"/>
      <protection hidden="1"/>
    </xf>
    <xf numFmtId="0" fontId="60" fillId="0" borderId="185" xfId="0" applyFont="1" applyBorder="1" applyAlignment="1" applyProtection="1">
      <alignment horizontal="center" vertical="center" wrapText="1"/>
      <protection hidden="1"/>
    </xf>
    <xf numFmtId="0" fontId="67" fillId="0" borderId="25" xfId="0" applyFont="1" applyBorder="1" applyAlignment="1" applyProtection="1">
      <alignment horizontal="left" vertical="center" wrapText="1" indent="1"/>
      <protection hidden="1"/>
    </xf>
    <xf numFmtId="3" fontId="38" fillId="0" borderId="26" xfId="0" applyNumberFormat="1" applyFont="1" applyBorder="1" applyAlignment="1" applyProtection="1">
      <alignment horizontal="center" vertical="center" shrinkToFit="1"/>
      <protection hidden="1"/>
    </xf>
    <xf numFmtId="3" fontId="38" fillId="0" borderId="69" xfId="0" applyNumberFormat="1" applyFont="1" applyBorder="1" applyAlignment="1" applyProtection="1">
      <alignment horizontal="center" vertical="center" shrinkToFit="1"/>
      <protection hidden="1"/>
    </xf>
    <xf numFmtId="3" fontId="38" fillId="0" borderId="25" xfId="0" applyNumberFormat="1" applyFont="1" applyBorder="1" applyAlignment="1" applyProtection="1">
      <alignment horizontal="center" vertical="center" shrinkToFit="1"/>
      <protection hidden="1"/>
    </xf>
    <xf numFmtId="3" fontId="38" fillId="0" borderId="33" xfId="0" applyNumberFormat="1" applyFont="1" applyBorder="1" applyAlignment="1" applyProtection="1">
      <alignment horizontal="center" vertical="center" shrinkToFit="1"/>
      <protection hidden="1"/>
    </xf>
    <xf numFmtId="3" fontId="38" fillId="0" borderId="213" xfId="0" applyNumberFormat="1" applyFont="1" applyBorder="1" applyAlignment="1" applyProtection="1">
      <alignment horizontal="center" vertical="center" shrinkToFit="1"/>
      <protection hidden="1"/>
    </xf>
    <xf numFmtId="3" fontId="38" fillId="0" borderId="193" xfId="0" applyNumberFormat="1" applyFont="1" applyBorder="1" applyAlignment="1" applyProtection="1">
      <alignment horizontal="center" vertical="center" shrinkToFit="1"/>
      <protection hidden="1"/>
    </xf>
    <xf numFmtId="3" fontId="38" fillId="0" borderId="192" xfId="0" applyNumberFormat="1" applyFont="1" applyBorder="1" applyAlignment="1" applyProtection="1">
      <alignment horizontal="center" vertical="center" shrinkToFit="1"/>
      <protection hidden="1"/>
    </xf>
    <xf numFmtId="0" fontId="37" fillId="0" borderId="61" xfId="0" applyFont="1" applyBorder="1" applyAlignment="1" applyProtection="1">
      <alignment horizontal="left" vertical="center" wrapText="1" indent="1"/>
      <protection hidden="1"/>
    </xf>
    <xf numFmtId="3" fontId="45" fillId="0" borderId="20" xfId="0" applyNumberFormat="1" applyFont="1" applyBorder="1" applyAlignment="1" applyProtection="1">
      <alignment horizontal="center" vertical="center" shrinkToFit="1"/>
      <protection hidden="1"/>
    </xf>
    <xf numFmtId="3" fontId="45" fillId="0" borderId="222" xfId="0" applyNumberFormat="1" applyFont="1" applyBorder="1" applyAlignment="1" applyProtection="1">
      <alignment horizontal="center" vertical="center" shrinkToFit="1"/>
      <protection hidden="1"/>
    </xf>
    <xf numFmtId="3" fontId="45" fillId="2" borderId="195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94" xfId="0" applyNumberFormat="1" applyFont="1" applyBorder="1" applyAlignment="1" applyProtection="1">
      <alignment horizontal="center" vertical="center" shrinkToFit="1"/>
      <protection hidden="1"/>
    </xf>
    <xf numFmtId="3" fontId="45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29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65" xfId="0" applyNumberFormat="1" applyFont="1" applyBorder="1" applyAlignment="1" applyProtection="1">
      <alignment horizontal="center" vertical="center" shrinkToFit="1"/>
      <protection hidden="1"/>
    </xf>
    <xf numFmtId="3" fontId="45" fillId="0" borderId="223" xfId="0" applyNumberFormat="1" applyFont="1" applyBorder="1" applyAlignment="1" applyProtection="1">
      <alignment horizontal="center" vertical="center" shrinkToFit="1"/>
      <protection hidden="1"/>
    </xf>
    <xf numFmtId="3" fontId="45" fillId="2" borderId="197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96" xfId="0" applyNumberFormat="1" applyFont="1" applyBorder="1" applyAlignment="1" applyProtection="1">
      <alignment horizontal="center" vertical="center" shrinkToFit="1"/>
      <protection hidden="1"/>
    </xf>
    <xf numFmtId="3" fontId="45" fillId="0" borderId="209" xfId="0" applyNumberFormat="1" applyFont="1" applyBorder="1" applyAlignment="1" applyProtection="1">
      <alignment horizontal="center" vertical="center" shrinkToFit="1"/>
      <protection hidden="1"/>
    </xf>
    <xf numFmtId="3" fontId="45" fillId="0" borderId="224" xfId="0" applyNumberFormat="1" applyFont="1" applyBorder="1" applyAlignment="1" applyProtection="1">
      <alignment horizontal="center" vertical="center" shrinkToFit="1"/>
      <protection hidden="1"/>
    </xf>
    <xf numFmtId="3" fontId="45" fillId="0" borderId="225" xfId="0" applyNumberFormat="1" applyFont="1" applyBorder="1" applyAlignment="1" applyProtection="1">
      <alignment horizontal="center" vertical="center" shrinkToFit="1"/>
      <protection hidden="1"/>
    </xf>
    <xf numFmtId="3" fontId="45" fillId="0" borderId="226" xfId="0" applyNumberFormat="1" applyFont="1" applyBorder="1" applyAlignment="1" applyProtection="1">
      <alignment horizontal="center" vertical="center" shrinkToFit="1"/>
      <protection hidden="1"/>
    </xf>
    <xf numFmtId="3" fontId="45" fillId="0" borderId="227" xfId="0" applyNumberFormat="1" applyFont="1" applyBorder="1" applyAlignment="1" applyProtection="1">
      <alignment horizontal="center" vertical="center" shrinkToFit="1"/>
      <protection hidden="1"/>
    </xf>
    <xf numFmtId="3" fontId="45" fillId="0" borderId="228" xfId="0" applyNumberFormat="1" applyFont="1" applyBorder="1" applyAlignment="1" applyProtection="1">
      <alignment horizontal="center" vertical="center" shrinkToFit="1"/>
      <protection hidden="1"/>
    </xf>
    <xf numFmtId="3" fontId="45" fillId="0" borderId="236" xfId="0" applyNumberFormat="1" applyFont="1" applyBorder="1" applyAlignment="1" applyProtection="1">
      <alignment horizontal="center" vertical="center" shrinkToFit="1"/>
      <protection hidden="1"/>
    </xf>
    <xf numFmtId="3" fontId="45" fillId="0" borderId="229" xfId="0" applyNumberFormat="1" applyFont="1" applyBorder="1" applyAlignment="1" applyProtection="1">
      <alignment horizontal="center" vertical="center" shrinkToFit="1"/>
      <protection hidden="1"/>
    </xf>
    <xf numFmtId="3" fontId="45" fillId="0" borderId="82" xfId="0" applyNumberFormat="1" applyFont="1" applyBorder="1" applyAlignment="1" applyProtection="1">
      <alignment horizontal="center" vertical="center" shrinkToFit="1"/>
      <protection hidden="1"/>
    </xf>
    <xf numFmtId="3" fontId="45" fillId="0" borderId="83" xfId="0" applyNumberFormat="1" applyFont="1" applyBorder="1" applyAlignment="1" applyProtection="1">
      <alignment horizontal="center" vertical="center" shrinkToFit="1"/>
      <protection hidden="1"/>
    </xf>
    <xf numFmtId="3" fontId="45" fillId="0" borderId="37" xfId="0" applyNumberFormat="1" applyFont="1" applyBorder="1" applyAlignment="1" applyProtection="1">
      <alignment horizontal="center" vertical="center" shrinkToFit="1"/>
      <protection hidden="1"/>
    </xf>
    <xf numFmtId="0" fontId="68" fillId="0" borderId="51" xfId="0" applyFont="1" applyBorder="1" applyAlignment="1" applyProtection="1">
      <alignment horizontal="left" vertical="center" wrapText="1" indent="3"/>
      <protection hidden="1"/>
    </xf>
    <xf numFmtId="3" fontId="45" fillId="0" borderId="48" xfId="0" applyNumberFormat="1" applyFont="1" applyBorder="1" applyAlignment="1" applyProtection="1">
      <alignment horizontal="center" vertical="center" shrinkToFit="1"/>
      <protection hidden="1"/>
    </xf>
    <xf numFmtId="3" fontId="45" fillId="0" borderId="230" xfId="0" applyNumberFormat="1" applyFont="1" applyBorder="1" applyAlignment="1" applyProtection="1">
      <alignment horizontal="center" vertical="center" shrinkToFit="1"/>
      <protection hidden="1"/>
    </xf>
    <xf numFmtId="3" fontId="45" fillId="2" borderId="237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05" xfId="0" applyNumberFormat="1" applyFont="1" applyBorder="1" applyAlignment="1" applyProtection="1">
      <alignment horizontal="center" vertical="center" shrinkToFit="1"/>
      <protection hidden="1"/>
    </xf>
    <xf numFmtId="0" fontId="68" fillId="0" borderId="47" xfId="0" applyFont="1" applyBorder="1" applyAlignment="1" applyProtection="1">
      <alignment horizontal="left" vertical="center" wrapText="1" indent="3"/>
      <protection hidden="1"/>
    </xf>
    <xf numFmtId="0" fontId="68" fillId="0" borderId="22" xfId="0" applyFont="1" applyBorder="1" applyAlignment="1" applyProtection="1">
      <alignment horizontal="left" vertical="center" wrapText="1" indent="3"/>
      <protection hidden="1"/>
    </xf>
    <xf numFmtId="0" fontId="37" fillId="0" borderId="226" xfId="0" applyFont="1" applyBorder="1" applyAlignment="1" applyProtection="1">
      <alignment horizontal="left" vertical="center" wrapText="1" indent="1"/>
      <protection hidden="1"/>
    </xf>
    <xf numFmtId="0" fontId="68" fillId="0" borderId="231" xfId="0" applyFont="1" applyBorder="1" applyAlignment="1" applyProtection="1">
      <alignment horizontal="left" vertical="center" wrapText="1" indent="3"/>
      <protection hidden="1"/>
    </xf>
    <xf numFmtId="3" fontId="45" fillId="0" borderId="239" xfId="0" applyNumberFormat="1" applyFont="1" applyBorder="1" applyAlignment="1" applyProtection="1">
      <alignment horizontal="center" vertical="center" shrinkToFit="1"/>
      <protection hidden="1"/>
    </xf>
    <xf numFmtId="3" fontId="45" fillId="2" borderId="240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41" xfId="0" applyNumberFormat="1" applyFont="1" applyBorder="1" applyAlignment="1" applyProtection="1">
      <alignment horizontal="center" vertical="center" shrinkToFit="1"/>
      <protection hidden="1"/>
    </xf>
    <xf numFmtId="0" fontId="37" fillId="0" borderId="232" xfId="0" applyFont="1" applyBorder="1" applyAlignment="1" applyProtection="1">
      <alignment horizontal="left" vertical="center" wrapText="1" indent="1"/>
      <protection hidden="1"/>
    </xf>
    <xf numFmtId="3" fontId="45" fillId="0" borderId="206" xfId="0" applyNumberFormat="1" applyFont="1" applyBorder="1" applyAlignment="1" applyProtection="1">
      <alignment horizontal="center" vertical="center" shrinkToFit="1"/>
      <protection hidden="1"/>
    </xf>
    <xf numFmtId="3" fontId="45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04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57" xfId="0" applyNumberFormat="1" applyFont="1" applyBorder="1" applyAlignment="1" applyProtection="1">
      <alignment horizontal="center" vertical="center" shrinkToFit="1"/>
      <protection hidden="1"/>
    </xf>
    <xf numFmtId="3" fontId="45" fillId="0" borderId="233" xfId="0" applyNumberFormat="1" applyFont="1" applyBorder="1" applyAlignment="1" applyProtection="1">
      <alignment horizontal="center" vertical="center" shrinkToFit="1"/>
      <protection hidden="1"/>
    </xf>
    <xf numFmtId="3" fontId="45" fillId="2" borderId="238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86" xfId="0" applyNumberFormat="1" applyFont="1" applyBorder="1" applyAlignment="1" applyProtection="1">
      <alignment horizontal="center" vertical="center" shrinkToFit="1"/>
      <protection hidden="1"/>
    </xf>
    <xf numFmtId="3" fontId="45" fillId="2" borderId="242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43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34" xfId="0" applyFont="1" applyBorder="1" applyAlignment="1" applyProtection="1">
      <alignment horizontal="left" vertical="center" wrapText="1" indent="1"/>
      <protection hidden="1"/>
    </xf>
    <xf numFmtId="0" fontId="37" fillId="0" borderId="127" xfId="0" applyFont="1" applyBorder="1" applyAlignment="1" applyProtection="1">
      <alignment horizontal="left" vertical="center" wrapText="1" indent="1"/>
      <protection hidden="1"/>
    </xf>
    <xf numFmtId="0" fontId="37" fillId="0" borderId="2" xfId="0" applyFont="1" applyBorder="1" applyAlignment="1" applyProtection="1">
      <alignment horizontal="left" vertical="center" wrapText="1" indent="1"/>
      <protection hidden="1"/>
    </xf>
    <xf numFmtId="3" fontId="45" fillId="0" borderId="34" xfId="0" applyNumberFormat="1" applyFont="1" applyBorder="1" applyAlignment="1" applyProtection="1">
      <alignment horizontal="center" vertical="center" shrinkToFit="1"/>
      <protection hidden="1"/>
    </xf>
    <xf numFmtId="3" fontId="45" fillId="0" borderId="221" xfId="0" applyNumberFormat="1" applyFont="1" applyBorder="1" applyAlignment="1" applyProtection="1">
      <alignment horizontal="center" vertical="center" shrinkToFit="1"/>
      <protection hidden="1"/>
    </xf>
    <xf numFmtId="3" fontId="45" fillId="2" borderId="191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85" xfId="0" applyNumberFormat="1" applyFont="1" applyBorder="1" applyAlignment="1" applyProtection="1">
      <alignment horizontal="center" vertical="center" shrinkToFit="1"/>
      <protection hidden="1"/>
    </xf>
    <xf numFmtId="3" fontId="45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77" xfId="0" applyNumberFormat="1" applyFont="1" applyBorder="1" applyAlignment="1" applyProtection="1">
      <alignment horizontal="center" vertical="center" shrinkToFit="1"/>
      <protection hidden="1"/>
    </xf>
    <xf numFmtId="3" fontId="45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wrapText="1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vertical="center" wrapText="1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vertical="center"/>
      <protection hidden="1"/>
    </xf>
    <xf numFmtId="0" fontId="82" fillId="0" borderId="0" xfId="0" applyFont="1" applyAlignment="1" applyProtection="1">
      <alignment vertical="center" wrapText="1"/>
      <protection hidden="1"/>
    </xf>
    <xf numFmtId="0" fontId="82" fillId="0" borderId="43" xfId="0" applyFont="1" applyBorder="1" applyAlignment="1" applyProtection="1">
      <alignment vertical="center" wrapText="1"/>
      <protection hidden="1"/>
    </xf>
    <xf numFmtId="0" fontId="67" fillId="0" borderId="43" xfId="0" applyFont="1" applyBorder="1" applyAlignment="1" applyProtection="1">
      <alignment vertical="center" wrapText="1"/>
      <protection hidden="1"/>
    </xf>
    <xf numFmtId="0" fontId="81" fillId="0" borderId="0" xfId="0" applyFont="1" applyAlignment="1" applyProtection="1">
      <alignment vertical="center" wrapText="1"/>
      <protection hidden="1"/>
    </xf>
    <xf numFmtId="0" fontId="35" fillId="0" borderId="0" xfId="0" applyFont="1" applyAlignment="1" applyProtection="1">
      <alignment horizontal="left" indent="5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>
      <alignment vertical="center" wrapText="1"/>
    </xf>
    <xf numFmtId="0" fontId="35" fillId="0" borderId="0" xfId="0" applyFont="1" applyAlignment="1" applyProtection="1">
      <alignment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60" fillId="0" borderId="89" xfId="0" applyFont="1" applyBorder="1" applyAlignment="1" applyProtection="1">
      <alignment horizontal="center" vertical="center" wrapText="1"/>
      <protection hidden="1"/>
    </xf>
    <xf numFmtId="0" fontId="60" fillId="0" borderId="191" xfId="0" applyFont="1" applyBorder="1" applyAlignment="1" applyProtection="1">
      <alignment horizontal="center" vertical="center" wrapText="1"/>
      <protection hidden="1"/>
    </xf>
    <xf numFmtId="0" fontId="52" fillId="0" borderId="25" xfId="0" applyFont="1" applyBorder="1" applyAlignment="1" applyProtection="1">
      <alignment horizontal="center" vertical="center" wrapText="1"/>
      <protection hidden="1"/>
    </xf>
    <xf numFmtId="3" fontId="60" fillId="0" borderId="26" xfId="0" applyNumberFormat="1" applyFont="1" applyBorder="1" applyAlignment="1" applyProtection="1">
      <alignment horizontal="center" vertical="center" shrinkToFit="1"/>
      <protection hidden="1"/>
    </xf>
    <xf numFmtId="3" fontId="60" fillId="0" borderId="69" xfId="0" applyNumberFormat="1" applyFont="1" applyBorder="1" applyAlignment="1" applyProtection="1">
      <alignment horizontal="center" vertical="center" shrinkToFit="1"/>
      <protection hidden="1"/>
    </xf>
    <xf numFmtId="3" fontId="60" fillId="0" borderId="25" xfId="0" applyNumberFormat="1" applyFont="1" applyBorder="1" applyAlignment="1" applyProtection="1">
      <alignment horizontal="center" vertical="center" shrinkToFit="1"/>
      <protection hidden="1"/>
    </xf>
    <xf numFmtId="3" fontId="60" fillId="0" borderId="192" xfId="0" applyNumberFormat="1" applyFont="1" applyBorder="1" applyAlignment="1" applyProtection="1">
      <alignment horizontal="center" vertical="center" shrinkToFit="1"/>
      <protection hidden="1"/>
    </xf>
    <xf numFmtId="3" fontId="60" fillId="0" borderId="193" xfId="0" applyNumberFormat="1" applyFont="1" applyBorder="1" applyAlignment="1" applyProtection="1">
      <alignment horizontal="center" vertical="center" shrinkToFit="1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83" fillId="0" borderId="0" xfId="0" applyFont="1" applyAlignment="1" applyProtection="1">
      <alignment horizontal="center" vertical="center" wrapText="1"/>
      <protection hidden="1"/>
    </xf>
    <xf numFmtId="0" fontId="60" fillId="0" borderId="61" xfId="0" applyFont="1" applyBorder="1" applyAlignment="1" applyProtection="1">
      <alignment horizontal="right" vertical="center"/>
      <protection hidden="1"/>
    </xf>
    <xf numFmtId="0" fontId="60" fillId="0" borderId="61" xfId="0" applyFont="1" applyBorder="1" applyAlignment="1" applyProtection="1">
      <alignment horizontal="left" vertical="center" wrapText="1"/>
      <protection hidden="1"/>
    </xf>
    <xf numFmtId="0" fontId="83" fillId="0" borderId="61" xfId="0" applyFont="1" applyBorder="1" applyAlignment="1" applyProtection="1">
      <alignment horizontal="center" vertical="center" wrapText="1"/>
      <protection hidden="1"/>
    </xf>
    <xf numFmtId="3" fontId="45" fillId="0" borderId="61" xfId="0" applyNumberFormat="1" applyFont="1" applyBorder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vertical="center" wrapText="1"/>
      <protection hidden="1"/>
    </xf>
    <xf numFmtId="0" fontId="60" fillId="0" borderId="27" xfId="0" applyFont="1" applyBorder="1" applyAlignment="1" applyProtection="1">
      <alignment horizontal="right" vertical="center"/>
      <protection hidden="1"/>
    </xf>
    <xf numFmtId="0" fontId="60" fillId="0" borderId="27" xfId="0" applyFont="1" applyBorder="1" applyAlignment="1" applyProtection="1">
      <alignment horizontal="left" vertical="center" wrapText="1"/>
      <protection hidden="1"/>
    </xf>
    <xf numFmtId="0" fontId="83" fillId="0" borderId="27" xfId="0" applyFont="1" applyBorder="1" applyAlignment="1" applyProtection="1">
      <alignment horizontal="center" vertical="center" wrapText="1"/>
      <protection hidden="1"/>
    </xf>
    <xf numFmtId="3" fontId="45" fillId="0" borderId="28" xfId="0" applyNumberFormat="1" applyFont="1" applyBorder="1" applyAlignment="1" applyProtection="1">
      <alignment horizontal="center" vertical="center" shrinkToFit="1"/>
      <protection hidden="1"/>
    </xf>
    <xf numFmtId="3" fontId="45" fillId="2" borderId="87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7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98" xfId="0" applyNumberFormat="1" applyFont="1" applyBorder="1" applyAlignment="1" applyProtection="1">
      <alignment horizontal="center" vertical="center" shrinkToFit="1"/>
      <protection hidden="1"/>
    </xf>
    <xf numFmtId="3" fontId="45" fillId="2" borderId="199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7" xfId="0" applyNumberFormat="1" applyFont="1" applyBorder="1" applyAlignment="1" applyProtection="1">
      <alignment horizontal="center" vertical="center" shrinkToFit="1"/>
      <protection hidden="1"/>
    </xf>
    <xf numFmtId="0" fontId="60" fillId="0" borderId="23" xfId="0" applyFont="1" applyBorder="1" applyAlignment="1" applyProtection="1">
      <alignment horizontal="right" vertical="center"/>
      <protection hidden="1"/>
    </xf>
    <xf numFmtId="0" fontId="60" fillId="0" borderId="23" xfId="0" applyFont="1" applyBorder="1" applyAlignment="1" applyProtection="1">
      <alignment horizontal="left" vertical="center" wrapText="1"/>
      <protection hidden="1"/>
    </xf>
    <xf numFmtId="0" fontId="83" fillId="0" borderId="23" xfId="0" applyFont="1" applyBorder="1" applyAlignment="1" applyProtection="1">
      <alignment horizontal="center" vertical="center" wrapText="1"/>
      <protection hidden="1"/>
    </xf>
    <xf numFmtId="3" fontId="45" fillId="0" borderId="24" xfId="0" applyNumberFormat="1" applyFont="1" applyBorder="1" applyAlignment="1" applyProtection="1">
      <alignment horizontal="center" vertical="center" shrinkToFit="1"/>
      <protection hidden="1"/>
    </xf>
    <xf numFmtId="3" fontId="45" fillId="2" borderId="88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3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00" xfId="0" applyNumberFormat="1" applyFont="1" applyBorder="1" applyAlignment="1" applyProtection="1">
      <alignment horizontal="center" vertical="center" shrinkToFit="1"/>
      <protection hidden="1"/>
    </xf>
    <xf numFmtId="3" fontId="45" fillId="2" borderId="201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3" xfId="0" applyNumberFormat="1" applyFont="1" applyBorder="1" applyAlignment="1" applyProtection="1">
      <alignment horizontal="center" vertical="center" shrinkToFit="1"/>
      <protection hidden="1"/>
    </xf>
    <xf numFmtId="0" fontId="60" fillId="0" borderId="29" xfId="0" applyFont="1" applyBorder="1" applyAlignment="1" applyProtection="1">
      <alignment horizontal="right" vertical="center"/>
      <protection hidden="1"/>
    </xf>
    <xf numFmtId="0" fontId="60" fillId="0" borderId="29" xfId="0" applyFont="1" applyBorder="1" applyAlignment="1" applyProtection="1">
      <alignment horizontal="left" vertical="center" wrapText="1"/>
      <protection hidden="1"/>
    </xf>
    <xf numFmtId="0" fontId="83" fillId="0" borderId="29" xfId="0" applyFont="1" applyBorder="1" applyAlignment="1" applyProtection="1">
      <alignment horizontal="center" vertical="center" wrapText="1"/>
      <protection hidden="1"/>
    </xf>
    <xf numFmtId="3" fontId="45" fillId="0" borderId="29" xfId="0" applyNumberFormat="1" applyFont="1" applyBorder="1" applyAlignment="1" applyProtection="1">
      <alignment horizontal="center" vertical="center" shrinkToFi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85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45" fillId="0" borderId="30" xfId="0" applyFont="1" applyBorder="1" applyAlignment="1" applyProtection="1">
      <alignment horizontal="center" vertical="center" shrinkToFit="1"/>
      <protection hidden="1"/>
    </xf>
    <xf numFmtId="0" fontId="45" fillId="2" borderId="0" xfId="0" applyFont="1" applyFill="1" applyAlignment="1" applyProtection="1">
      <alignment horizontal="left" vertical="center" shrinkToFit="1"/>
      <protection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45" fillId="2" borderId="20" xfId="0" applyFont="1" applyFill="1" applyBorder="1" applyAlignment="1" applyProtection="1">
      <alignment horizontal="center" vertical="center" shrinkToFit="1"/>
      <protection locked="0"/>
    </xf>
    <xf numFmtId="0" fontId="45" fillId="2" borderId="61" xfId="0" applyFont="1" applyFill="1" applyBorder="1" applyAlignment="1" applyProtection="1">
      <alignment horizontal="left" vertical="center" shrinkToFit="1"/>
      <protection locked="0"/>
    </xf>
    <xf numFmtId="0" fontId="45" fillId="0" borderId="61" xfId="0" applyFont="1" applyBorder="1" applyAlignment="1" applyProtection="1">
      <alignment horizontal="center" vertical="center" wrapText="1"/>
      <protection hidden="1"/>
    </xf>
    <xf numFmtId="0" fontId="83" fillId="0" borderId="64" xfId="0" applyFont="1" applyBorder="1" applyAlignment="1" applyProtection="1">
      <alignment horizontal="center" vertical="center"/>
      <protection hidden="1"/>
    </xf>
    <xf numFmtId="0" fontId="45" fillId="2" borderId="65" xfId="0" applyFont="1" applyFill="1" applyBorder="1" applyAlignment="1" applyProtection="1">
      <alignment horizontal="center" vertical="center" shrinkToFit="1"/>
      <protection locked="0"/>
    </xf>
    <xf numFmtId="0" fontId="83" fillId="0" borderId="64" xfId="0" applyFont="1" applyBorder="1" applyAlignment="1" applyProtection="1">
      <alignment horizontal="center" vertical="center" shrinkToFit="1"/>
      <protection hidden="1"/>
    </xf>
    <xf numFmtId="3" fontId="4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74" xfId="0" applyFont="1" applyFill="1" applyBorder="1" applyAlignment="1" applyProtection="1">
      <alignment horizontal="left" vertical="center" shrinkToFit="1"/>
      <protection locked="0"/>
    </xf>
    <xf numFmtId="0" fontId="45" fillId="0" borderId="74" xfId="0" applyFont="1" applyBorder="1" applyAlignment="1" applyProtection="1">
      <alignment horizontal="center" vertical="center" wrapText="1"/>
      <protection hidden="1"/>
    </xf>
    <xf numFmtId="0" fontId="60" fillId="0" borderId="74" xfId="0" applyFont="1" applyBorder="1" applyAlignment="1" applyProtection="1">
      <alignment horizontal="center" vertical="center" wrapText="1"/>
      <protection hidden="1"/>
    </xf>
    <xf numFmtId="0" fontId="83" fillId="0" borderId="78" xfId="0" applyFont="1" applyBorder="1" applyAlignment="1" applyProtection="1">
      <alignment horizontal="center" vertical="center"/>
      <protection hidden="1"/>
    </xf>
    <xf numFmtId="3" fontId="4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center" vertical="center" wrapText="1"/>
      <protection hidden="1"/>
    </xf>
    <xf numFmtId="3" fontId="41" fillId="0" borderId="0" xfId="0" applyNumberFormat="1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center" indent="9"/>
      <protection hidden="1"/>
    </xf>
    <xf numFmtId="0" fontId="35" fillId="0" borderId="29" xfId="0" applyFont="1" applyBorder="1" applyAlignment="1" applyProtection="1">
      <alignment horizontal="left" vertical="center"/>
      <protection hidden="1"/>
    </xf>
    <xf numFmtId="0" fontId="35" fillId="0" borderId="29" xfId="0" applyFont="1" applyBorder="1" applyAlignment="1" applyProtection="1">
      <alignment horizontal="left" vertical="center" indent="9"/>
      <protection hidden="1"/>
    </xf>
    <xf numFmtId="0" fontId="60" fillId="0" borderId="12" xfId="0" applyFont="1" applyBorder="1" applyAlignment="1" applyProtection="1">
      <alignment horizontal="center" wrapText="1"/>
      <protection hidden="1"/>
    </xf>
    <xf numFmtId="0" fontId="60" fillId="0" borderId="67" xfId="0" applyFont="1" applyBorder="1" applyAlignment="1" applyProtection="1">
      <alignment horizontal="center" wrapText="1"/>
      <protection hidden="1"/>
    </xf>
    <xf numFmtId="0" fontId="60" fillId="0" borderId="29" xfId="0" applyFont="1" applyBorder="1" applyAlignment="1" applyProtection="1">
      <alignment horizontal="center" wrapText="1"/>
      <protection hidden="1"/>
    </xf>
    <xf numFmtId="0" fontId="60" fillId="0" borderId="34" xfId="0" applyFont="1" applyBorder="1" applyAlignment="1" applyProtection="1">
      <alignment horizontal="center" wrapText="1"/>
      <protection hidden="1"/>
    </xf>
    <xf numFmtId="0" fontId="60" fillId="0" borderId="68" xfId="0" applyFont="1" applyBorder="1" applyAlignment="1" applyProtection="1">
      <alignment horizontal="center" wrapText="1"/>
      <protection hidden="1"/>
    </xf>
    <xf numFmtId="0" fontId="60" fillId="0" borderId="124" xfId="0" applyFont="1" applyBorder="1" applyAlignment="1" applyProtection="1">
      <alignment horizontal="center" wrapText="1"/>
      <protection hidden="1"/>
    </xf>
    <xf numFmtId="0" fontId="87" fillId="0" borderId="176" xfId="0" applyFont="1" applyBorder="1" applyAlignment="1" applyProtection="1">
      <alignment vertical="center" wrapText="1"/>
      <protection hidden="1"/>
    </xf>
    <xf numFmtId="3" fontId="45" fillId="0" borderId="33" xfId="0" applyNumberFormat="1" applyFont="1" applyBorder="1" applyAlignment="1" applyProtection="1">
      <alignment horizontal="center" vertical="center" shrinkToFit="1"/>
      <protection hidden="1"/>
    </xf>
    <xf numFmtId="3" fontId="45" fillId="0" borderId="177" xfId="0" applyNumberFormat="1" applyFont="1" applyBorder="1" applyAlignment="1" applyProtection="1">
      <alignment horizontal="center" vertical="center" shrinkToFit="1"/>
      <protection hidden="1"/>
    </xf>
    <xf numFmtId="0" fontId="87" fillId="0" borderId="245" xfId="0" applyFont="1" applyBorder="1" applyAlignment="1" applyProtection="1">
      <alignment vertical="center" wrapText="1"/>
      <protection hidden="1"/>
    </xf>
    <xf numFmtId="3" fontId="40" fillId="0" borderId="245" xfId="0" applyNumberFormat="1" applyFont="1" applyBorder="1" applyAlignment="1" applyProtection="1">
      <alignment horizontal="center" vertical="center" shrinkToFit="1"/>
      <protection hidden="1"/>
    </xf>
    <xf numFmtId="3" fontId="45" fillId="0" borderId="245" xfId="0" applyNumberFormat="1" applyFont="1" applyBorder="1" applyAlignment="1" applyProtection="1">
      <alignment horizontal="center" vertical="center" shrinkToFit="1"/>
      <protection hidden="1"/>
    </xf>
    <xf numFmtId="0" fontId="37" fillId="0" borderId="178" xfId="0" applyFont="1" applyBorder="1" applyAlignment="1" applyProtection="1">
      <alignment horizontal="left" vertical="center" wrapText="1" indent="1"/>
      <protection hidden="1"/>
    </xf>
    <xf numFmtId="3" fontId="45" fillId="0" borderId="180" xfId="0" applyNumberFormat="1" applyFont="1" applyBorder="1" applyAlignment="1" applyProtection="1">
      <alignment horizontal="center" vertical="center" shrinkToFit="1"/>
      <protection hidden="1"/>
    </xf>
    <xf numFmtId="3" fontId="45" fillId="0" borderId="181" xfId="0" applyNumberFormat="1" applyFont="1" applyBorder="1" applyAlignment="1" applyProtection="1">
      <alignment horizontal="center" vertical="center" shrinkToFit="1"/>
      <protection hidden="1"/>
    </xf>
    <xf numFmtId="0" fontId="38" fillId="0" borderId="178" xfId="0" applyFont="1" applyBorder="1" applyAlignment="1" applyProtection="1">
      <alignment horizontal="left" vertical="center" wrapText="1" indent="3"/>
      <protection hidden="1"/>
    </xf>
    <xf numFmtId="3" fontId="45" fillId="2" borderId="146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51" xfId="0" applyFont="1" applyBorder="1" applyAlignment="1" applyProtection="1">
      <alignment horizontal="left" vertical="center" wrapText="1" indent="3"/>
      <protection hidden="1"/>
    </xf>
    <xf numFmtId="3" fontId="45" fillId="0" borderId="90" xfId="0" applyNumberFormat="1" applyFont="1" applyBorder="1" applyAlignment="1" applyProtection="1">
      <alignment horizontal="center" vertical="center" shrinkToFit="1"/>
      <protection hidden="1"/>
    </xf>
    <xf numFmtId="3" fontId="45" fillId="0" borderId="47" xfId="0" applyNumberFormat="1" applyFont="1" applyBorder="1" applyAlignment="1" applyProtection="1">
      <alignment horizontal="center" vertical="center" shrinkToFit="1"/>
      <protection hidden="1"/>
    </xf>
    <xf numFmtId="3" fontId="45" fillId="2" borderId="179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7" xfId="0" applyFont="1" applyBorder="1" applyAlignment="1" applyProtection="1">
      <alignment horizontal="left" vertical="center" wrapText="1" indent="3"/>
      <protection hidden="1"/>
    </xf>
    <xf numFmtId="0" fontId="38" fillId="0" borderId="95" xfId="0" applyFont="1" applyBorder="1" applyAlignment="1" applyProtection="1">
      <alignment horizontal="left" vertical="center" wrapText="1" indent="3"/>
      <protection hidden="1"/>
    </xf>
    <xf numFmtId="0" fontId="37" fillId="0" borderId="246" xfId="0" applyFont="1" applyBorder="1" applyAlignment="1" applyProtection="1">
      <alignment horizontal="left" vertical="center" wrapText="1" indent="1"/>
      <protection hidden="1"/>
    </xf>
    <xf numFmtId="3" fontId="45" fillId="0" borderId="247" xfId="0" applyNumberFormat="1" applyFont="1" applyBorder="1" applyAlignment="1" applyProtection="1">
      <alignment horizontal="center" vertical="center" shrinkToFit="1"/>
      <protection hidden="1"/>
    </xf>
    <xf numFmtId="0" fontId="38" fillId="0" borderId="52" xfId="0" applyFont="1" applyBorder="1" applyAlignment="1" applyProtection="1">
      <alignment horizontal="left" vertical="center" wrapText="1" indent="3"/>
      <protection hidden="1"/>
    </xf>
    <xf numFmtId="3" fontId="45" fillId="0" borderId="100" xfId="0" applyNumberFormat="1" applyFont="1" applyBorder="1" applyAlignment="1" applyProtection="1">
      <alignment horizontal="center" vertical="center" shrinkToFit="1"/>
      <protection hidden="1"/>
    </xf>
    <xf numFmtId="3" fontId="45" fillId="0" borderId="102" xfId="0" applyNumberFormat="1" applyFont="1" applyBorder="1" applyAlignment="1" applyProtection="1">
      <alignment horizontal="center" vertical="center" shrinkToFit="1"/>
      <protection hidden="1"/>
    </xf>
    <xf numFmtId="3" fontId="45" fillId="0" borderId="248" xfId="0" applyNumberFormat="1" applyFont="1" applyBorder="1" applyAlignment="1" applyProtection="1">
      <alignment horizontal="center" vertical="center" shrinkToFit="1"/>
      <protection hidden="1"/>
    </xf>
    <xf numFmtId="3" fontId="45" fillId="2" borderId="249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63" xfId="0" applyFont="1" applyBorder="1" applyAlignment="1" applyProtection="1">
      <alignment horizontal="left" vertical="center" wrapText="1" indent="3"/>
      <protection hidden="1"/>
    </xf>
    <xf numFmtId="3" fontId="45" fillId="0" borderId="103" xfId="0" applyNumberFormat="1" applyFont="1" applyBorder="1" applyAlignment="1" applyProtection="1">
      <alignment horizontal="center" vertical="center" shrinkToFit="1"/>
      <protection hidden="1"/>
    </xf>
    <xf numFmtId="3" fontId="45" fillId="0" borderId="58" xfId="0" applyNumberFormat="1" applyFont="1" applyBorder="1" applyAlignment="1" applyProtection="1">
      <alignment horizontal="center" vertical="center" shrinkToFit="1"/>
      <protection hidden="1"/>
    </xf>
    <xf numFmtId="3" fontId="45" fillId="0" borderId="182" xfId="0" applyNumberFormat="1" applyFont="1" applyBorder="1" applyAlignment="1" applyProtection="1">
      <alignment horizontal="center" vertical="center" shrinkToFit="1"/>
      <protection hidden="1"/>
    </xf>
    <xf numFmtId="3" fontId="45" fillId="2" borderId="183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center" indent="10"/>
      <protection hidden="1"/>
    </xf>
    <xf numFmtId="0" fontId="85" fillId="0" borderId="0" xfId="0" applyFont="1" applyAlignment="1">
      <alignment horizontal="center" vertical="center"/>
    </xf>
    <xf numFmtId="0" fontId="35" fillId="0" borderId="29" xfId="0" applyFont="1" applyBorder="1" applyAlignment="1" applyProtection="1">
      <alignment horizontal="left" vertical="center" indent="10"/>
      <protection hidden="1"/>
    </xf>
    <xf numFmtId="3" fontId="45" fillId="0" borderId="35" xfId="0" applyNumberFormat="1" applyFont="1" applyBorder="1" applyAlignment="1" applyProtection="1">
      <alignment horizontal="center" vertical="center" shrinkToFit="1"/>
      <protection hidden="1"/>
    </xf>
    <xf numFmtId="3" fontId="45" fillId="2" borderId="12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1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27" xfId="0" applyFont="1" applyBorder="1" applyAlignment="1" applyProtection="1">
      <alignment horizontal="center" vertical="center" wrapText="1"/>
      <protection hidden="1"/>
    </xf>
    <xf numFmtId="3" fontId="45" fillId="0" borderId="81" xfId="0" applyNumberFormat="1" applyFont="1" applyBorder="1" applyAlignment="1" applyProtection="1">
      <alignment horizontal="center" vertical="center" shrinkToFit="1"/>
      <protection hidden="1"/>
    </xf>
    <xf numFmtId="3" fontId="45" fillId="0" borderId="38" xfId="0" applyNumberFormat="1" applyFont="1" applyBorder="1" applyAlignment="1" applyProtection="1">
      <alignment horizontal="center" vertical="center" shrinkToFit="1"/>
      <protection hidden="1"/>
    </xf>
    <xf numFmtId="3" fontId="45" fillId="0" borderId="143" xfId="0" applyNumberFormat="1" applyFont="1" applyBorder="1" applyAlignment="1" applyProtection="1">
      <alignment horizontal="center" vertical="center" shrinkToFit="1"/>
      <protection hidden="1"/>
    </xf>
    <xf numFmtId="3" fontId="45" fillId="2" borderId="112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46" xfId="0" applyNumberFormat="1" applyFont="1" applyBorder="1" applyAlignment="1" applyProtection="1">
      <alignment horizontal="center" vertical="center" shrinkToFit="1"/>
      <protection hidden="1"/>
    </xf>
    <xf numFmtId="0" fontId="39" fillId="0" borderId="66" xfId="0" applyFont="1" applyBorder="1" applyAlignment="1" applyProtection="1">
      <alignment horizontal="center" vertical="center" wrapText="1"/>
      <protection hidden="1"/>
    </xf>
    <xf numFmtId="3" fontId="45" fillId="0" borderId="68" xfId="0" applyNumberFormat="1" applyFont="1" applyBorder="1" applyAlignment="1" applyProtection="1">
      <alignment horizontal="center" vertical="center" shrinkToFit="1"/>
      <protection hidden="1"/>
    </xf>
    <xf numFmtId="3" fontId="45" fillId="0" borderId="74" xfId="0" applyNumberFormat="1" applyFont="1" applyBorder="1" applyAlignment="1" applyProtection="1">
      <alignment horizontal="center" vertical="center" shrinkToFit="1"/>
      <protection hidden="1"/>
    </xf>
    <xf numFmtId="0" fontId="88" fillId="0" borderId="0" xfId="0" applyFont="1" applyAlignment="1" applyProtection="1">
      <alignment horizontal="center" vertical="center"/>
      <protection hidden="1"/>
    </xf>
    <xf numFmtId="0" fontId="89" fillId="0" borderId="0" xfId="0" applyFont="1" applyAlignment="1" applyProtection="1">
      <alignment horizontal="center" vertical="center" wrapText="1"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left" vertical="center" wrapText="1" indent="2"/>
      <protection hidden="1"/>
    </xf>
    <xf numFmtId="3" fontId="45" fillId="0" borderId="70" xfId="0" applyNumberFormat="1" applyFont="1" applyBorder="1" applyAlignment="1" applyProtection="1">
      <alignment horizontal="center" vertical="center" shrinkToFit="1"/>
      <protection hidden="1"/>
    </xf>
    <xf numFmtId="3" fontId="45" fillId="0" borderId="71" xfId="0" applyNumberFormat="1" applyFont="1" applyBorder="1" applyAlignment="1" applyProtection="1">
      <alignment horizontal="center" vertical="center" shrinkToFit="1"/>
      <protection hidden="1"/>
    </xf>
    <xf numFmtId="3" fontId="45" fillId="0" borderId="14" xfId="0" applyNumberFormat="1" applyFont="1" applyBorder="1" applyAlignment="1" applyProtection="1">
      <alignment horizontal="center" vertical="center" shrinkToFit="1"/>
      <protection hidden="1"/>
    </xf>
    <xf numFmtId="0" fontId="37" fillId="0" borderId="127" xfId="0" applyFont="1" applyBorder="1" applyAlignment="1" applyProtection="1">
      <alignment horizontal="left" vertical="center" wrapText="1" indent="2"/>
      <protection hidden="1"/>
    </xf>
    <xf numFmtId="3" fontId="45" fillId="2" borderId="82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4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66" xfId="0" applyFont="1" applyBorder="1" applyAlignment="1" applyProtection="1">
      <alignment horizontal="left" vertical="center" wrapText="1" indent="2"/>
      <protection hidden="1"/>
    </xf>
    <xf numFmtId="3" fontId="45" fillId="0" borderId="75" xfId="0" applyNumberFormat="1" applyFont="1" applyBorder="1" applyAlignment="1" applyProtection="1">
      <alignment horizontal="center" vertical="center" shrinkToFit="1"/>
      <protection hidden="1"/>
    </xf>
    <xf numFmtId="3" fontId="45" fillId="0" borderId="76" xfId="0" applyNumberFormat="1" applyFont="1" applyBorder="1" applyAlignment="1" applyProtection="1">
      <alignment horizontal="center" vertical="center" shrinkToFit="1"/>
      <protection hidden="1"/>
    </xf>
    <xf numFmtId="3" fontId="45" fillId="2" borderId="123" xfId="0" applyNumberFormat="1" applyFont="1" applyFill="1" applyBorder="1" applyAlignment="1" applyProtection="1">
      <alignment horizontal="center" vertical="center" shrinkToFit="1"/>
      <protection locked="0"/>
    </xf>
    <xf numFmtId="3" fontId="89" fillId="0" borderId="0" xfId="0" applyNumberFormat="1" applyFont="1" applyAlignment="1" applyProtection="1">
      <alignment horizontal="center" vertical="center" wrapText="1"/>
      <protection hidden="1"/>
    </xf>
    <xf numFmtId="3" fontId="45" fillId="0" borderId="125" xfId="0" applyNumberFormat="1" applyFont="1" applyBorder="1" applyAlignment="1" applyProtection="1">
      <alignment horizontal="center" vertical="center" shrinkToFit="1"/>
      <protection hidden="1"/>
    </xf>
    <xf numFmtId="0" fontId="79" fillId="0" borderId="0" xfId="0" applyFont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60" fillId="0" borderId="165" xfId="0" applyFont="1" applyBorder="1" applyAlignment="1" applyProtection="1">
      <alignment horizontal="center" vertical="center" wrapText="1"/>
      <protection hidden="1"/>
    </xf>
    <xf numFmtId="0" fontId="60" fillId="0" borderId="166" xfId="0" applyFont="1" applyBorder="1" applyAlignment="1" applyProtection="1">
      <alignment horizontal="center" vertical="center" wrapText="1"/>
      <protection hidden="1"/>
    </xf>
    <xf numFmtId="0" fontId="60" fillId="0" borderId="139" xfId="0" applyFont="1" applyBorder="1" applyAlignment="1" applyProtection="1">
      <alignment horizontal="center" vertical="center" wrapText="1"/>
      <protection hidden="1"/>
    </xf>
    <xf numFmtId="0" fontId="87" fillId="0" borderId="25" xfId="0" applyFont="1" applyBorder="1" applyAlignment="1" applyProtection="1">
      <alignment horizontal="left" vertical="center"/>
      <protection hidden="1"/>
    </xf>
    <xf numFmtId="0" fontId="87" fillId="0" borderId="25" xfId="0" applyFont="1" applyBorder="1" applyAlignment="1" applyProtection="1">
      <alignment horizontal="left" vertical="center" wrapText="1"/>
      <protection hidden="1"/>
    </xf>
    <xf numFmtId="3" fontId="60" fillId="0" borderId="26" xfId="0" applyNumberFormat="1" applyFont="1" applyBorder="1" applyAlignment="1" applyProtection="1">
      <alignment horizontal="center" vertical="center" wrapText="1"/>
      <protection hidden="1"/>
    </xf>
    <xf numFmtId="3" fontId="60" fillId="0" borderId="167" xfId="0" applyNumberFormat="1" applyFont="1" applyBorder="1" applyAlignment="1" applyProtection="1">
      <alignment horizontal="center" vertical="center" wrapText="1"/>
      <protection hidden="1"/>
    </xf>
    <xf numFmtId="3" fontId="60" fillId="0" borderId="25" xfId="0" applyNumberFormat="1" applyFont="1" applyBorder="1" applyAlignment="1" applyProtection="1">
      <alignment horizontal="center" vertical="center" wrapText="1"/>
      <protection hidden="1"/>
    </xf>
    <xf numFmtId="3" fontId="60" fillId="0" borderId="33" xfId="0" applyNumberFormat="1" applyFont="1" applyBorder="1" applyAlignment="1" applyProtection="1">
      <alignment vertical="center" wrapText="1"/>
      <protection hidden="1"/>
    </xf>
    <xf numFmtId="3" fontId="60" fillId="0" borderId="25" xfId="0" applyNumberFormat="1" applyFont="1" applyBorder="1" applyAlignment="1" applyProtection="1">
      <alignment vertical="center" wrapText="1"/>
      <protection hidden="1"/>
    </xf>
    <xf numFmtId="3" fontId="60" fillId="0" borderId="33" xfId="0" applyNumberFormat="1" applyFont="1" applyBorder="1" applyAlignment="1" applyProtection="1">
      <alignment horizontal="center" vertical="center" wrapText="1"/>
      <protection hidden="1"/>
    </xf>
    <xf numFmtId="0" fontId="63" fillId="0" borderId="56" xfId="0" applyFont="1" applyBorder="1" applyAlignment="1" applyProtection="1">
      <alignment horizontal="left" vertical="center" indent="2"/>
      <protection hidden="1"/>
    </xf>
    <xf numFmtId="0" fontId="67" fillId="0" borderId="56" xfId="0" applyFont="1" applyBorder="1" applyAlignment="1" applyProtection="1">
      <alignment horizontal="left" vertical="center" wrapText="1" indent="5"/>
      <protection hidden="1"/>
    </xf>
    <xf numFmtId="3" fontId="45" fillId="0" borderId="161" xfId="0" applyNumberFormat="1" applyFont="1" applyBorder="1" applyAlignment="1" applyProtection="1">
      <alignment horizontal="center" vertical="center" shrinkToFit="1"/>
      <protection hidden="1"/>
    </xf>
    <xf numFmtId="0" fontId="38" fillId="0" borderId="56" xfId="0" applyFont="1" applyBorder="1" applyAlignment="1" applyProtection="1">
      <alignment horizontal="left" vertical="center" wrapText="1" indent="5"/>
      <protection hidden="1"/>
    </xf>
    <xf numFmtId="0" fontId="37" fillId="0" borderId="56" xfId="0" applyFont="1" applyBorder="1" applyAlignment="1" applyProtection="1">
      <alignment horizontal="left" vertical="center" wrapText="1" indent="9"/>
      <protection hidden="1"/>
    </xf>
    <xf numFmtId="3" fontId="45" fillId="2" borderId="16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10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8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vertical="center"/>
      <protection hidden="1"/>
    </xf>
    <xf numFmtId="3" fontId="45" fillId="2" borderId="1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Border="1" applyAlignment="1" applyProtection="1">
      <alignment horizontal="center" vertical="center" shrinkToFit="1"/>
      <protection hidden="1"/>
    </xf>
    <xf numFmtId="0" fontId="38" fillId="0" borderId="168" xfId="0" applyFont="1" applyBorder="1" applyAlignment="1" applyProtection="1">
      <alignment horizontal="left" vertical="center" wrapText="1" indent="5"/>
      <protection hidden="1"/>
    </xf>
    <xf numFmtId="0" fontId="37" fillId="0" borderId="168" xfId="0" applyFont="1" applyBorder="1" applyAlignment="1" applyProtection="1">
      <alignment horizontal="left" vertical="center" wrapText="1" indent="9"/>
      <protection hidden="1"/>
    </xf>
    <xf numFmtId="3" fontId="45" fillId="0" borderId="170" xfId="0" applyNumberFormat="1" applyFont="1" applyBorder="1" applyAlignment="1" applyProtection="1">
      <alignment horizontal="center" vertical="center" shrinkToFit="1"/>
      <protection hidden="1"/>
    </xf>
    <xf numFmtId="3" fontId="45" fillId="2" borderId="162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68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08" xfId="0" applyNumberFormat="1" applyFont="1" applyBorder="1" applyAlignment="1" applyProtection="1">
      <alignment horizontal="center" vertical="center" shrinkToFit="1"/>
      <protection hidden="1"/>
    </xf>
    <xf numFmtId="3" fontId="45" fillId="2" borderId="20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43" xfId="0" applyFont="1" applyBorder="1" applyAlignment="1" applyProtection="1">
      <alignment horizontal="left" vertical="center" indent="2"/>
      <protection hidden="1"/>
    </xf>
    <xf numFmtId="0" fontId="91" fillId="0" borderId="43" xfId="0" applyFont="1" applyBorder="1" applyAlignment="1" applyProtection="1">
      <alignment horizontal="center" vertical="center" wrapText="1"/>
      <protection hidden="1"/>
    </xf>
    <xf numFmtId="3" fontId="45" fillId="0" borderId="144" xfId="0" applyNumberFormat="1" applyFont="1" applyBorder="1" applyAlignment="1" applyProtection="1">
      <alignment horizontal="center" vertical="center" shrinkToFit="1"/>
      <protection hidden="1"/>
    </xf>
    <xf numFmtId="3" fontId="45" fillId="2" borderId="169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71" xfId="0" applyFont="1" applyBorder="1" applyAlignment="1" applyProtection="1">
      <alignment horizontal="left" vertical="center" indent="2"/>
      <protection hidden="1"/>
    </xf>
    <xf numFmtId="0" fontId="91" fillId="0" borderId="171" xfId="0" applyFont="1" applyBorder="1" applyAlignment="1" applyProtection="1">
      <alignment horizontal="center" vertical="center" wrapText="1"/>
      <protection hidden="1"/>
    </xf>
    <xf numFmtId="3" fontId="45" fillId="0" borderId="172" xfId="0" applyNumberFormat="1" applyFont="1" applyBorder="1" applyAlignment="1" applyProtection="1">
      <alignment horizontal="center" vertical="center" shrinkToFit="1"/>
      <protection hidden="1"/>
    </xf>
    <xf numFmtId="3" fontId="45" fillId="2" borderId="173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7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7" xfId="0" applyFont="1" applyBorder="1" applyAlignment="1" applyProtection="1">
      <alignment horizontal="left" vertical="center" wrapText="1" indent="4"/>
      <protection hidden="1"/>
    </xf>
    <xf numFmtId="0" fontId="51" fillId="0" borderId="51" xfId="0" applyFont="1" applyBorder="1" applyAlignment="1" applyProtection="1">
      <alignment horizontal="left" vertical="center" wrapText="1" indent="6"/>
      <protection hidden="1"/>
    </xf>
    <xf numFmtId="0" fontId="38" fillId="0" borderId="20" xfId="0" applyFont="1" applyBorder="1" applyAlignment="1" applyProtection="1">
      <alignment vertical="center"/>
      <protection hidden="1"/>
    </xf>
    <xf numFmtId="3" fontId="65" fillId="0" borderId="20" xfId="0" applyNumberFormat="1" applyFont="1" applyBorder="1" applyAlignment="1" applyProtection="1">
      <alignment vertical="center" wrapText="1"/>
      <protection hidden="1"/>
    </xf>
    <xf numFmtId="3" fontId="45" fillId="0" borderId="20" xfId="0" applyNumberFormat="1" applyFont="1" applyBorder="1" applyAlignment="1" applyProtection="1">
      <alignment horizontal="center" vertical="center" shrinkToFit="1"/>
      <protection locked="0"/>
    </xf>
    <xf numFmtId="3" fontId="45" fillId="0" borderId="0" xfId="0" applyNumberFormat="1" applyFont="1" applyAlignment="1" applyProtection="1">
      <alignment horizontal="center" vertical="center" shrinkToFit="1"/>
      <protection locked="0"/>
    </xf>
    <xf numFmtId="3" fontId="92" fillId="0" borderId="146" xfId="0" applyNumberFormat="1" applyFont="1" applyBorder="1" applyAlignment="1" applyProtection="1">
      <alignment vertical="center" wrapText="1"/>
      <protection hidden="1"/>
    </xf>
    <xf numFmtId="0" fontId="51" fillId="0" borderId="58" xfId="0" applyFont="1" applyBorder="1" applyAlignment="1" applyProtection="1">
      <alignment horizontal="left" vertical="center" wrapText="1" indent="4"/>
      <protection hidden="1"/>
    </xf>
    <xf numFmtId="0" fontId="51" fillId="0" borderId="163" xfId="0" applyFont="1" applyBorder="1" applyAlignment="1" applyProtection="1">
      <alignment horizontal="left" vertical="center" wrapText="1" indent="6"/>
      <protection hidden="1"/>
    </xf>
    <xf numFmtId="3" fontId="45" fillId="2" borderId="164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34" xfId="0" applyNumberFormat="1" applyFont="1" applyBorder="1" applyAlignment="1" applyProtection="1">
      <alignment horizontal="center" vertical="center" shrinkToFit="1"/>
      <protection locked="0"/>
    </xf>
    <xf numFmtId="3" fontId="45" fillId="0" borderId="29" xfId="0" applyNumberFormat="1" applyFont="1" applyBorder="1" applyAlignment="1" applyProtection="1">
      <alignment horizontal="center" vertical="center" shrinkToFit="1"/>
      <protection locked="0"/>
    </xf>
    <xf numFmtId="3" fontId="92" fillId="0" borderId="68" xfId="0" applyNumberFormat="1" applyFont="1" applyBorder="1" applyAlignment="1" applyProtection="1">
      <alignment vertical="center" wrapText="1"/>
      <protection hidden="1"/>
    </xf>
    <xf numFmtId="3" fontId="93" fillId="0" borderId="0" xfId="0" applyNumberFormat="1" applyFont="1" applyAlignment="1" applyProtection="1">
      <alignment horizontal="left" vertical="center" wrapText="1" indent="1"/>
      <protection hidden="1"/>
    </xf>
    <xf numFmtId="3" fontId="52" fillId="0" borderId="0" xfId="0" applyNumberFormat="1" applyFont="1" applyAlignment="1" applyProtection="1">
      <alignment horizontal="left" vertical="center" indent="4"/>
      <protection hidden="1"/>
    </xf>
    <xf numFmtId="0" fontId="38" fillId="0" borderId="0" xfId="0" applyFont="1" applyProtection="1">
      <protection hidden="1"/>
    </xf>
    <xf numFmtId="0" fontId="91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>
      <alignment vertical="center"/>
    </xf>
    <xf numFmtId="0" fontId="32" fillId="0" borderId="0" xfId="0" applyFont="1" applyProtection="1"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96" fillId="0" borderId="0" xfId="0" applyFont="1" applyAlignment="1" applyProtection="1">
      <alignment horizontal="center"/>
      <protection hidden="1"/>
    </xf>
    <xf numFmtId="0" fontId="39" fillId="0" borderId="22" xfId="0" applyFont="1" applyBorder="1" applyAlignment="1" applyProtection="1">
      <alignment horizontal="left" vertical="center" wrapText="1"/>
      <protection hidden="1"/>
    </xf>
    <xf numFmtId="3" fontId="45" fillId="0" borderId="65" xfId="0" applyNumberFormat="1" applyFont="1" applyBorder="1" applyAlignment="1" applyProtection="1">
      <alignment vertical="center" shrinkToFit="1"/>
      <protection hidden="1"/>
    </xf>
    <xf numFmtId="3" fontId="45" fillId="0" borderId="61" xfId="0" applyNumberFormat="1" applyFont="1" applyBorder="1" applyAlignment="1" applyProtection="1">
      <alignment vertical="center" shrinkToFit="1"/>
      <protection hidden="1"/>
    </xf>
    <xf numFmtId="3" fontId="45" fillId="0" borderId="64" xfId="0" applyNumberFormat="1" applyFont="1" applyBorder="1" applyAlignment="1" applyProtection="1">
      <alignment vertical="center" shrinkToFit="1"/>
      <protection hidden="1"/>
    </xf>
    <xf numFmtId="0" fontId="39" fillId="0" borderId="4" xfId="0" applyFont="1" applyBorder="1" applyAlignment="1" applyProtection="1">
      <alignment horizontal="left" vertical="center" wrapText="1"/>
      <protection hidden="1"/>
    </xf>
    <xf numFmtId="0" fontId="39" fillId="0" borderId="265" xfId="0" applyFont="1" applyBorder="1" applyAlignment="1" applyProtection="1">
      <alignment horizontal="center" vertical="center"/>
      <protection hidden="1"/>
    </xf>
    <xf numFmtId="0" fontId="39" fillId="0" borderId="266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left" vertical="center" wrapText="1"/>
      <protection hidden="1"/>
    </xf>
    <xf numFmtId="0" fontId="67" fillId="0" borderId="267" xfId="0" applyFont="1" applyBorder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left" vertical="center" indent="2"/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61" xfId="0" applyFont="1" applyBorder="1" applyAlignment="1" applyProtection="1">
      <alignment vertical="center" wrapText="1"/>
      <protection hidden="1"/>
    </xf>
    <xf numFmtId="0" fontId="40" fillId="0" borderId="0" xfId="0" applyFont="1" applyAlignment="1" applyProtection="1">
      <alignment horizontal="left" vertical="center" indent="2"/>
      <protection hidden="1"/>
    </xf>
    <xf numFmtId="0" fontId="34" fillId="0" borderId="95" xfId="0" applyFont="1" applyBorder="1" applyAlignment="1" applyProtection="1">
      <alignment horizontal="left" vertical="center" wrapText="1" indent="2"/>
      <protection hidden="1"/>
    </xf>
    <xf numFmtId="0" fontId="38" fillId="0" borderId="56" xfId="0" applyFont="1" applyBorder="1" applyAlignment="1" applyProtection="1">
      <alignment horizontal="left" vertical="center" indent="2"/>
      <protection hidden="1"/>
    </xf>
    <xf numFmtId="0" fontId="38" fillId="0" borderId="102" xfId="0" applyFont="1" applyBorder="1" applyAlignment="1" applyProtection="1">
      <alignment horizontal="left" vertical="center" wrapText="1" indent="2"/>
      <protection hidden="1"/>
    </xf>
    <xf numFmtId="0" fontId="64" fillId="0" borderId="8" xfId="0" applyFont="1" applyBorder="1" applyAlignment="1" applyProtection="1">
      <alignment horizontal="center" vertical="center"/>
      <protection hidden="1"/>
    </xf>
    <xf numFmtId="0" fontId="65" fillId="0" borderId="21" xfId="0" applyFont="1" applyBorder="1" applyAlignment="1" applyProtection="1">
      <alignment horizontal="center" vertical="center" wrapText="1"/>
      <protection hidden="1"/>
    </xf>
    <xf numFmtId="0" fontId="50" fillId="0" borderId="18" xfId="0" applyFont="1" applyBorder="1" applyAlignment="1" applyProtection="1">
      <alignment horizontal="center" vertical="center" wrapText="1"/>
      <protection hidden="1"/>
    </xf>
    <xf numFmtId="0" fontId="32" fillId="0" borderId="47" xfId="0" applyFont="1" applyBorder="1" applyAlignment="1" applyProtection="1">
      <alignment horizontal="center" vertical="center" wrapText="1"/>
      <protection hidden="1"/>
    </xf>
    <xf numFmtId="0" fontId="32" fillId="0" borderId="95" xfId="0" applyFont="1" applyBorder="1" applyAlignment="1" applyProtection="1">
      <alignment horizontal="center" vertical="center" wrapText="1"/>
      <protection hidden="1"/>
    </xf>
    <xf numFmtId="0" fontId="50" fillId="0" borderId="246" xfId="0" applyFont="1" applyBorder="1" applyAlignment="1" applyProtection="1">
      <alignment horizontal="center" vertical="center" wrapText="1"/>
      <protection hidden="1"/>
    </xf>
    <xf numFmtId="0" fontId="32" fillId="0" borderId="102" xfId="0" applyFont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52" fillId="0" borderId="22" xfId="0" applyFont="1" applyBorder="1" applyAlignment="1" applyProtection="1">
      <alignment horizontal="left" vertical="center" wrapText="1" indent="2"/>
      <protection hidden="1"/>
    </xf>
    <xf numFmtId="0" fontId="52" fillId="0" borderId="127" xfId="0" applyFont="1" applyBorder="1" applyAlignment="1" applyProtection="1">
      <alignment horizontal="left" vertical="center" wrapText="1" indent="2"/>
      <protection hidden="1"/>
    </xf>
    <xf numFmtId="0" fontId="52" fillId="0" borderId="66" xfId="0" applyFont="1" applyBorder="1" applyAlignment="1" applyProtection="1">
      <alignment horizontal="left" vertical="center" wrapText="1" indent="2"/>
      <protection hidden="1"/>
    </xf>
    <xf numFmtId="0" fontId="54" fillId="0" borderId="226" xfId="0" applyFont="1" applyBorder="1" applyAlignment="1" applyProtection="1">
      <alignment vertical="center" wrapText="1"/>
      <protection hidden="1"/>
    </xf>
    <xf numFmtId="0" fontId="63" fillId="0" borderId="268" xfId="0" applyFont="1" applyBorder="1" applyAlignment="1" applyProtection="1">
      <alignment horizontal="left" vertical="center" wrapText="1"/>
      <protection hidden="1"/>
    </xf>
    <xf numFmtId="3" fontId="45" fillId="0" borderId="269" xfId="0" applyNumberFormat="1" applyFont="1" applyBorder="1" applyAlignment="1" applyProtection="1">
      <alignment horizontal="center" vertical="center" shrinkToFit="1"/>
      <protection hidden="1"/>
    </xf>
    <xf numFmtId="0" fontId="46" fillId="2" borderId="270" xfId="0" applyFont="1" applyFill="1" applyBorder="1" applyAlignment="1" applyProtection="1">
      <alignment horizontal="center" vertical="center"/>
      <protection locked="0"/>
    </xf>
    <xf numFmtId="0" fontId="46" fillId="2" borderId="268" xfId="0" applyFont="1" applyFill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 wrapText="1"/>
      <protection hidden="1"/>
    </xf>
    <xf numFmtId="0" fontId="32" fillId="0" borderId="56" xfId="0" applyFont="1" applyBorder="1" applyAlignment="1" applyProtection="1">
      <alignment horizontal="center" vertical="center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50" fillId="0" borderId="268" xfId="0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/>
      <protection hidden="1"/>
    </xf>
    <xf numFmtId="3" fontId="46" fillId="0" borderId="96" xfId="0" applyNumberFormat="1" applyFont="1" applyBorder="1" applyAlignment="1" applyProtection="1">
      <alignment horizontal="center" vertical="center"/>
      <protection hidden="1"/>
    </xf>
    <xf numFmtId="3" fontId="46" fillId="0" borderId="21" xfId="0" applyNumberFormat="1" applyFont="1" applyBorder="1" applyAlignment="1" applyProtection="1">
      <alignment horizontal="center" vertical="center"/>
      <protection hidden="1"/>
    </xf>
    <xf numFmtId="0" fontId="48" fillId="0" borderId="271" xfId="0" applyFont="1" applyBorder="1" applyAlignment="1" applyProtection="1">
      <alignment horizontal="center" vertical="center" wrapText="1"/>
      <protection hidden="1"/>
    </xf>
    <xf numFmtId="0" fontId="37" fillId="0" borderId="126" xfId="0" applyFont="1" applyBorder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 wrapText="1"/>
      <protection hidden="1"/>
    </xf>
    <xf numFmtId="0" fontId="102" fillId="0" borderId="0" xfId="0" applyFont="1" applyProtection="1">
      <protection hidden="1"/>
    </xf>
    <xf numFmtId="0" fontId="44" fillId="0" borderId="0" xfId="0" applyFont="1" applyAlignment="1" applyProtection="1">
      <alignment horizontal="right" vertical="center" indent="1"/>
      <protection hidden="1"/>
    </xf>
    <xf numFmtId="49" fontId="95" fillId="2" borderId="63" xfId="0" applyNumberFormat="1" applyFont="1" applyFill="1" applyBorder="1" applyAlignment="1" applyProtection="1">
      <alignment horizontal="left" vertical="center" shrinkToFit="1"/>
      <protection locked="0" hidden="1"/>
    </xf>
    <xf numFmtId="0" fontId="103" fillId="0" borderId="0" xfId="0" applyFont="1" applyAlignment="1" applyProtection="1">
      <alignment vertical="center"/>
      <protection hidden="1"/>
    </xf>
    <xf numFmtId="0" fontId="95" fillId="2" borderId="63" xfId="0" applyFont="1" applyFill="1" applyBorder="1" applyAlignment="1" applyProtection="1">
      <alignment horizontal="left" vertical="center" shrinkToFit="1"/>
      <protection locked="0" hidden="1"/>
    </xf>
    <xf numFmtId="0" fontId="105" fillId="0" borderId="63" xfId="0" applyFont="1" applyBorder="1" applyAlignment="1" applyProtection="1">
      <alignment horizontal="left" vertical="center" shrinkToFit="1"/>
      <protection hidden="1"/>
    </xf>
    <xf numFmtId="164" fontId="38" fillId="2" borderId="63" xfId="0" applyNumberFormat="1" applyFont="1" applyFill="1" applyBorder="1" applyAlignment="1" applyProtection="1">
      <alignment horizontal="left" vertical="center" shrinkToFit="1"/>
      <protection locked="0" hidden="1"/>
    </xf>
    <xf numFmtId="164" fontId="51" fillId="0" borderId="0" xfId="0" applyNumberFormat="1" applyFont="1" applyAlignment="1" applyProtection="1">
      <alignment horizontal="left" vertical="center"/>
      <protection locked="0" hidden="1"/>
    </xf>
    <xf numFmtId="0" fontId="38" fillId="2" borderId="63" xfId="1" applyFont="1" applyFill="1" applyBorder="1" applyAlignment="1" applyProtection="1">
      <alignment horizontal="left" vertical="center" shrinkToFit="1"/>
      <protection locked="0" hidden="1"/>
    </xf>
    <xf numFmtId="0" fontId="38" fillId="0" borderId="0" xfId="1" applyFont="1" applyFill="1" applyBorder="1" applyAlignment="1" applyProtection="1">
      <alignment horizontal="left" vertical="center" shrinkToFit="1"/>
      <protection locked="0" hidden="1"/>
    </xf>
    <xf numFmtId="0" fontId="38" fillId="2" borderId="63" xfId="0" applyFont="1" applyFill="1" applyBorder="1" applyAlignment="1" applyProtection="1">
      <alignment horizontal="left" vertical="center" shrinkToFit="1"/>
      <protection locked="0" hidden="1"/>
    </xf>
    <xf numFmtId="0" fontId="51" fillId="0" borderId="0" xfId="0" applyFont="1" applyAlignment="1" applyProtection="1">
      <alignment horizontal="left" vertical="center" shrinkToFit="1"/>
      <protection locked="0" hidden="1"/>
    </xf>
    <xf numFmtId="0" fontId="34" fillId="0" borderId="159" xfId="0" applyFont="1" applyBorder="1" applyAlignment="1" applyProtection="1">
      <alignment vertical="top"/>
      <protection hidden="1"/>
    </xf>
    <xf numFmtId="0" fontId="51" fillId="0" borderId="0" xfId="0" applyFont="1" applyAlignment="1" applyProtection="1">
      <alignment horizontal="left" vertical="center"/>
      <protection locked="0" hidden="1"/>
    </xf>
    <xf numFmtId="0" fontId="37" fillId="0" borderId="0" xfId="0" applyFont="1" applyAlignment="1" applyProtection="1">
      <alignment horizontal="right" vertical="center" indent="1"/>
      <protection hidden="1"/>
    </xf>
    <xf numFmtId="0" fontId="34" fillId="0" borderId="0" xfId="0" applyFont="1" applyAlignment="1" applyProtection="1">
      <alignment vertical="top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38" fillId="2" borderId="63" xfId="0" applyFont="1" applyFill="1" applyBorder="1" applyAlignment="1" applyProtection="1">
      <alignment horizontal="left" vertical="center"/>
      <protection locked="0" hidden="1"/>
    </xf>
    <xf numFmtId="0" fontId="34" fillId="2" borderId="63" xfId="0" applyFont="1" applyFill="1" applyBorder="1" applyAlignment="1" applyProtection="1">
      <alignment horizontal="left" vertical="center"/>
      <protection locked="0" hidden="1"/>
    </xf>
    <xf numFmtId="0" fontId="106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>
      <alignment vertical="center"/>
    </xf>
    <xf numFmtId="0" fontId="107" fillId="0" borderId="0" xfId="0" applyFont="1" applyAlignment="1" applyProtection="1">
      <alignment vertical="center" wrapText="1"/>
      <protection hidden="1"/>
    </xf>
    <xf numFmtId="0" fontId="34" fillId="2" borderId="63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hidden="1"/>
    </xf>
    <xf numFmtId="164" fontId="51" fillId="0" borderId="0" xfId="0" applyNumberFormat="1" applyFont="1" applyAlignment="1" applyProtection="1">
      <alignment horizontal="left" vertical="center" shrinkToFi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right" vertical="center" indent="1"/>
      <protection hidden="1"/>
    </xf>
    <xf numFmtId="0" fontId="83" fillId="36" borderId="0" xfId="0" applyFont="1" applyFill="1" applyAlignment="1" applyProtection="1">
      <alignment horizontal="center" vertical="center"/>
      <protection hidden="1"/>
    </xf>
    <xf numFmtId="0" fontId="107" fillId="0" borderId="0" xfId="0" applyFont="1" applyAlignment="1" applyProtection="1">
      <alignment vertical="center"/>
      <protection hidden="1"/>
    </xf>
    <xf numFmtId="0" fontId="38" fillId="0" borderId="63" xfId="0" applyFont="1" applyBorder="1" applyAlignment="1" applyProtection="1">
      <alignment horizontal="left" vertical="center"/>
      <protection hidden="1"/>
    </xf>
    <xf numFmtId="0" fontId="38" fillId="2" borderId="63" xfId="0" applyFont="1" applyFill="1" applyBorder="1" applyAlignment="1" applyProtection="1">
      <alignment vertical="center" shrinkToFit="1"/>
      <protection locked="0"/>
    </xf>
    <xf numFmtId="0" fontId="34" fillId="0" borderId="6" xfId="0" applyFont="1" applyBorder="1" applyAlignment="1" applyProtection="1">
      <alignment vertical="center"/>
      <protection hidden="1"/>
    </xf>
    <xf numFmtId="0" fontId="34" fillId="0" borderId="29" xfId="0" applyFont="1" applyBorder="1" applyAlignment="1" applyProtection="1">
      <alignment vertical="center"/>
      <protection hidden="1"/>
    </xf>
    <xf numFmtId="0" fontId="44" fillId="0" borderId="38" xfId="0" applyFont="1" applyBorder="1" applyAlignment="1" applyProtection="1">
      <alignment horizontal="left" vertical="center" indent="1"/>
      <protection hidden="1"/>
    </xf>
    <xf numFmtId="0" fontId="46" fillId="0" borderId="273" xfId="0" applyFont="1" applyBorder="1" applyAlignment="1" applyProtection="1">
      <alignment horizontal="center" vertical="center"/>
      <protection hidden="1"/>
    </xf>
    <xf numFmtId="0" fontId="46" fillId="0" borderId="145" xfId="0" applyFont="1" applyBorder="1" applyAlignment="1" applyProtection="1">
      <alignment horizontal="center" vertical="center"/>
      <protection hidden="1"/>
    </xf>
    <xf numFmtId="0" fontId="46" fillId="2" borderId="26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 indent="1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vertical="center" wrapText="1"/>
      <protection hidden="1"/>
    </xf>
    <xf numFmtId="0" fontId="41" fillId="0" borderId="0" xfId="0" quotePrefix="1" applyFont="1" applyAlignment="1" applyProtection="1">
      <alignment horizontal="center" vertical="center"/>
      <protection hidden="1"/>
    </xf>
    <xf numFmtId="0" fontId="51" fillId="0" borderId="61" xfId="0" applyFont="1" applyBorder="1" applyAlignment="1" applyProtection="1">
      <alignment horizontal="left" vertical="center" wrapText="1" indent="3"/>
      <protection hidden="1"/>
    </xf>
    <xf numFmtId="0" fontId="34" fillId="0" borderId="0" xfId="0" applyFont="1" applyAlignment="1" applyProtection="1">
      <alignment vertical="center" wrapText="1"/>
      <protection hidden="1"/>
    </xf>
    <xf numFmtId="0" fontId="108" fillId="0" borderId="0" xfId="0" applyFont="1" applyAlignment="1" applyProtection="1">
      <alignment horizontal="right" vertical="center"/>
      <protection hidden="1"/>
    </xf>
    <xf numFmtId="0" fontId="75" fillId="0" borderId="0" xfId="0" applyFont="1" applyAlignment="1" applyProtection="1">
      <alignment horizontal="left" vertical="center"/>
      <protection hidden="1"/>
    </xf>
    <xf numFmtId="0" fontId="76" fillId="0" borderId="0" xfId="0" applyFont="1" applyAlignment="1">
      <alignment horizontal="left" vertical="center" indent="3"/>
    </xf>
    <xf numFmtId="0" fontId="110" fillId="0" borderId="0" xfId="0" applyFont="1" applyAlignment="1">
      <alignment horizontal="left" wrapText="1"/>
    </xf>
    <xf numFmtId="0" fontId="111" fillId="0" borderId="0" xfId="0" applyFont="1" applyAlignment="1">
      <alignment horizontal="left" wrapText="1"/>
    </xf>
    <xf numFmtId="0" fontId="99" fillId="0" borderId="0" xfId="0" applyFont="1" applyAlignment="1" applyProtection="1">
      <alignment horizont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4" fillId="40" borderId="82" xfId="0" applyFont="1" applyFill="1" applyBorder="1" applyAlignment="1" applyProtection="1">
      <alignment horizontal="center" vertical="center" wrapText="1" shrinkToFit="1"/>
      <protection hidden="1"/>
    </xf>
    <xf numFmtId="0" fontId="104" fillId="40" borderId="272" xfId="0" applyFont="1" applyFill="1" applyBorder="1" applyAlignment="1" applyProtection="1">
      <alignment horizontal="center" vertical="center" wrapText="1" shrinkToFit="1"/>
      <protection hidden="1"/>
    </xf>
    <xf numFmtId="0" fontId="94" fillId="0" borderId="37" xfId="0" applyFont="1" applyBorder="1" applyAlignment="1" applyProtection="1">
      <alignment horizontal="left" vertical="center" wrapText="1"/>
      <protection hidden="1"/>
    </xf>
    <xf numFmtId="0" fontId="94" fillId="0" borderId="38" xfId="0" applyFont="1" applyBorder="1" applyAlignment="1" applyProtection="1">
      <alignment horizontal="left" vertical="center" wrapText="1"/>
      <protection hidden="1"/>
    </xf>
    <xf numFmtId="0" fontId="94" fillId="0" borderId="39" xfId="0" applyFont="1" applyBorder="1" applyAlignment="1" applyProtection="1">
      <alignment horizontal="left" vertical="center" wrapText="1"/>
      <protection hidden="1"/>
    </xf>
    <xf numFmtId="0" fontId="94" fillId="0" borderId="40" xfId="0" applyFont="1" applyBorder="1" applyAlignment="1" applyProtection="1">
      <alignment horizontal="left" vertical="center" wrapText="1"/>
      <protection hidden="1"/>
    </xf>
    <xf numFmtId="0" fontId="94" fillId="0" borderId="0" xfId="0" applyFont="1" applyAlignment="1" applyProtection="1">
      <alignment horizontal="left" vertical="center" wrapText="1"/>
      <protection hidden="1"/>
    </xf>
    <xf numFmtId="0" fontId="94" fillId="0" borderId="41" xfId="0" applyFont="1" applyBorder="1" applyAlignment="1" applyProtection="1">
      <alignment horizontal="left" vertical="center" wrapText="1"/>
      <protection hidden="1"/>
    </xf>
    <xf numFmtId="0" fontId="94" fillId="0" borderId="42" xfId="0" applyFont="1" applyBorder="1" applyAlignment="1" applyProtection="1">
      <alignment horizontal="left" vertical="center" wrapText="1"/>
      <protection hidden="1"/>
    </xf>
    <xf numFmtId="0" fontId="94" fillId="0" borderId="43" xfId="0" applyFont="1" applyBorder="1" applyAlignment="1" applyProtection="1">
      <alignment horizontal="left" vertical="center" wrapText="1"/>
      <protection hidden="1"/>
    </xf>
    <xf numFmtId="0" fontId="94" fillId="0" borderId="44" xfId="0" applyFont="1" applyBorder="1" applyAlignment="1" applyProtection="1">
      <alignment horizontal="left" vertical="center" wrapText="1"/>
      <protection hidden="1"/>
    </xf>
    <xf numFmtId="3" fontId="93" fillId="0" borderId="6" xfId="0" applyNumberFormat="1" applyFont="1" applyBorder="1" applyAlignment="1" applyProtection="1">
      <alignment horizontal="left" vertical="center" wrapText="1" indent="2"/>
      <protection hidden="1"/>
    </xf>
    <xf numFmtId="3" fontId="93" fillId="0" borderId="0" xfId="0" applyNumberFormat="1" applyFont="1" applyAlignment="1" applyProtection="1">
      <alignment horizontal="left" vertical="center" wrapText="1" indent="2"/>
      <protection hidden="1"/>
    </xf>
    <xf numFmtId="3" fontId="93" fillId="0" borderId="0" xfId="0" applyNumberFormat="1" applyFont="1" applyAlignment="1" applyProtection="1">
      <alignment horizontal="left" vertical="center" wrapText="1" indent="1"/>
      <protection hidden="1"/>
    </xf>
    <xf numFmtId="0" fontId="38" fillId="2" borderId="37" xfId="0" applyFont="1" applyFill="1" applyBorder="1" applyAlignment="1" applyProtection="1">
      <alignment horizontal="left" vertical="top" wrapText="1"/>
      <protection locked="0"/>
    </xf>
    <xf numFmtId="0" fontId="38" fillId="2" borderId="38" xfId="0" applyFont="1" applyFill="1" applyBorder="1" applyAlignment="1" applyProtection="1">
      <alignment horizontal="left" vertical="top" wrapText="1"/>
      <protection locked="0"/>
    </xf>
    <xf numFmtId="0" fontId="38" fillId="2" borderId="39" xfId="0" applyFont="1" applyFill="1" applyBorder="1" applyAlignment="1" applyProtection="1">
      <alignment horizontal="left" vertical="top" wrapText="1"/>
      <protection locked="0"/>
    </xf>
    <xf numFmtId="0" fontId="38" fillId="2" borderId="40" xfId="0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38" fillId="2" borderId="41" xfId="0" applyFont="1" applyFill="1" applyBorder="1" applyAlignment="1" applyProtection="1">
      <alignment horizontal="left" vertical="top" wrapText="1"/>
      <protection locked="0"/>
    </xf>
    <xf numFmtId="0" fontId="38" fillId="2" borderId="42" xfId="0" applyFont="1" applyFill="1" applyBorder="1" applyAlignment="1" applyProtection="1">
      <alignment horizontal="left" vertical="top" wrapText="1"/>
      <protection locked="0"/>
    </xf>
    <xf numFmtId="0" fontId="38" fillId="2" borderId="43" xfId="0" applyFont="1" applyFill="1" applyBorder="1" applyAlignment="1" applyProtection="1">
      <alignment horizontal="left" vertical="top" wrapText="1"/>
      <protection locked="0"/>
    </xf>
    <xf numFmtId="0" fontId="38" fillId="2" borderId="44" xfId="0" applyFont="1" applyFill="1" applyBorder="1" applyAlignment="1" applyProtection="1">
      <alignment horizontal="left" vertical="top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hidden="1"/>
    </xf>
    <xf numFmtId="0" fontId="37" fillId="0" borderId="35" xfId="0" applyFont="1" applyBorder="1" applyAlignment="1" applyProtection="1">
      <alignment horizontal="center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39" fillId="0" borderId="6" xfId="0" applyFont="1" applyBorder="1" applyAlignment="1" applyProtection="1">
      <alignment horizontal="left" vertical="center" wrapText="1"/>
      <protection hidden="1"/>
    </xf>
    <xf numFmtId="0" fontId="39" fillId="0" borderId="29" xfId="0" applyFont="1" applyBorder="1" applyAlignment="1" applyProtection="1">
      <alignment horizontal="left" vertical="center" wrapText="1"/>
      <protection hidden="1"/>
    </xf>
    <xf numFmtId="0" fontId="39" fillId="0" borderId="16" xfId="0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63" fillId="0" borderId="175" xfId="0" applyFont="1" applyBorder="1" applyAlignment="1" applyProtection="1">
      <alignment horizontal="left" vertical="center" wrapText="1" indent="2"/>
      <protection hidden="1"/>
    </xf>
    <xf numFmtId="0" fontId="63" fillId="0" borderId="174" xfId="0" applyFont="1" applyBorder="1" applyAlignment="1" applyProtection="1">
      <alignment horizontal="left" vertical="center" wrapText="1" indent="2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138" xfId="0" applyFont="1" applyBorder="1" applyAlignment="1" applyProtection="1">
      <alignment horizontal="center" vertical="center"/>
      <protection hidden="1"/>
    </xf>
    <xf numFmtId="3" fontId="65" fillId="0" borderId="207" xfId="0" applyNumberFormat="1" applyFont="1" applyBorder="1" applyAlignment="1" applyProtection="1">
      <alignment horizontal="center" vertical="center" wrapText="1"/>
      <protection hidden="1"/>
    </xf>
    <xf numFmtId="3" fontId="65" fillId="0" borderId="159" xfId="0" applyNumberFormat="1" applyFont="1" applyBorder="1" applyAlignment="1" applyProtection="1">
      <alignment horizontal="center" vertical="center" wrapText="1"/>
      <protection hidden="1"/>
    </xf>
    <xf numFmtId="3" fontId="65" fillId="0" borderId="244" xfId="0" applyNumberFormat="1" applyFont="1" applyBorder="1" applyAlignment="1" applyProtection="1">
      <alignment horizontal="center" vertical="center" wrapText="1"/>
      <protection hidden="1"/>
    </xf>
    <xf numFmtId="3" fontId="65" fillId="0" borderId="20" xfId="0" applyNumberFormat="1" applyFont="1" applyBorder="1" applyAlignment="1" applyProtection="1">
      <alignment horizontal="center" vertical="center" wrapText="1"/>
      <protection hidden="1"/>
    </xf>
    <xf numFmtId="3" fontId="65" fillId="0" borderId="0" xfId="0" applyNumberFormat="1" applyFont="1" applyAlignment="1" applyProtection="1">
      <alignment horizontal="center" vertical="center" wrapText="1"/>
      <protection hidden="1"/>
    </xf>
    <xf numFmtId="3" fontId="65" fillId="0" borderId="146" xfId="0" applyNumberFormat="1" applyFont="1" applyBorder="1" applyAlignment="1" applyProtection="1">
      <alignment horizontal="center" vertical="center" wrapText="1"/>
      <protection hidden="1"/>
    </xf>
    <xf numFmtId="3" fontId="92" fillId="0" borderId="207" xfId="0" applyNumberFormat="1" applyFont="1" applyBorder="1" applyAlignment="1" applyProtection="1">
      <alignment horizontal="center" vertical="center" wrapText="1"/>
      <protection hidden="1"/>
    </xf>
    <xf numFmtId="3" fontId="92" fillId="0" borderId="20" xfId="0" applyNumberFormat="1" applyFont="1" applyBorder="1" applyAlignment="1" applyProtection="1">
      <alignment horizontal="center" vertical="center" wrapText="1"/>
      <protection hidden="1"/>
    </xf>
    <xf numFmtId="3" fontId="92" fillId="0" borderId="34" xfId="0" applyNumberFormat="1" applyFont="1" applyBorder="1" applyAlignment="1" applyProtection="1">
      <alignment horizontal="center" vertical="center" wrapText="1"/>
      <protection hidden="1"/>
    </xf>
    <xf numFmtId="0" fontId="39" fillId="0" borderId="30" xfId="0" applyFont="1" applyBorder="1" applyAlignment="1" applyProtection="1">
      <alignment horizontal="center" vertical="center" wrapText="1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9" fillId="0" borderId="79" xfId="0" applyFont="1" applyBorder="1" applyAlignment="1" applyProtection="1">
      <alignment horizontal="center" vertical="center" wrapText="1"/>
      <protection hidden="1"/>
    </xf>
    <xf numFmtId="0" fontId="39" fillId="0" borderId="80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left" vertical="center" wrapText="1"/>
      <protection hidden="1"/>
    </xf>
    <xf numFmtId="0" fontId="39" fillId="0" borderId="22" xfId="0" applyFont="1" applyBorder="1" applyAlignment="1" applyProtection="1">
      <alignment horizontal="left" vertical="center" wrapText="1"/>
      <protection hidden="1"/>
    </xf>
    <xf numFmtId="0" fontId="39" fillId="0" borderId="2" xfId="0" applyFont="1" applyBorder="1" applyAlignment="1" applyProtection="1">
      <alignment horizontal="left" vertical="center" wrapText="1"/>
      <protection hidden="1"/>
    </xf>
    <xf numFmtId="0" fontId="39" fillId="0" borderId="9" xfId="0" applyFont="1" applyBorder="1" applyAlignment="1" applyProtection="1">
      <alignment horizontal="center" vertical="center" wrapText="1"/>
      <protection hidden="1"/>
    </xf>
    <xf numFmtId="0" fontId="39" fillId="0" borderId="6" xfId="0" applyFont="1" applyBorder="1" applyAlignment="1" applyProtection="1">
      <alignment horizontal="center" vertical="center" wrapText="1"/>
      <protection hidden="1"/>
    </xf>
    <xf numFmtId="0" fontId="39" fillId="0" borderId="36" xfId="0" applyFont="1" applyBorder="1" applyAlignment="1" applyProtection="1">
      <alignment horizontal="center" vertical="center" wrapText="1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39" fillId="0" borderId="31" xfId="0" applyFont="1" applyBorder="1" applyAlignment="1" applyProtection="1">
      <alignment horizontal="center" vertical="center" wrapText="1"/>
      <protection hidden="1"/>
    </xf>
    <xf numFmtId="0" fontId="39" fillId="0" borderId="13" xfId="0" applyFont="1" applyBorder="1" applyAlignment="1" applyProtection="1">
      <alignment horizontal="center" vertical="center" wrapText="1"/>
      <protection hidden="1"/>
    </xf>
    <xf numFmtId="3" fontId="45" fillId="0" borderId="65" xfId="0" applyNumberFormat="1" applyFont="1" applyBorder="1" applyAlignment="1" applyProtection="1">
      <alignment horizontal="center" vertical="center" shrinkToFit="1"/>
      <protection hidden="1"/>
    </xf>
    <xf numFmtId="3" fontId="45" fillId="0" borderId="61" xfId="0" applyNumberFormat="1" applyFont="1" applyBorder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horizontal="center" vertical="top" wrapText="1"/>
      <protection hidden="1"/>
    </xf>
    <xf numFmtId="0" fontId="98" fillId="0" borderId="0" xfId="0" applyFont="1" applyAlignment="1" applyProtection="1">
      <alignment horizontal="center" vertical="center" wrapText="1"/>
      <protection hidden="1"/>
    </xf>
    <xf numFmtId="0" fontId="98" fillId="0" borderId="43" xfId="0" applyFont="1" applyBorder="1" applyAlignment="1" applyProtection="1">
      <alignment horizontal="center" vertical="center" wrapText="1"/>
      <protection hidden="1"/>
    </xf>
    <xf numFmtId="3" fontId="45" fillId="0" borderId="64" xfId="0" applyNumberFormat="1" applyFont="1" applyBorder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horizontal="center" vertical="center" wrapText="1"/>
      <protection hidden="1"/>
    </xf>
    <xf numFmtId="0" fontId="39" fillId="0" borderId="158" xfId="0" applyFont="1" applyBorder="1" applyAlignment="1" applyProtection="1">
      <alignment horizontal="center" vertical="center" wrapText="1"/>
      <protection hidden="1"/>
    </xf>
    <xf numFmtId="3" fontId="45" fillId="0" borderId="83" xfId="0" applyNumberFormat="1" applyFont="1" applyBorder="1" applyAlignment="1" applyProtection="1">
      <alignment horizontal="center" vertical="center" shrinkToFit="1"/>
      <protection hidden="1"/>
    </xf>
    <xf numFmtId="3" fontId="45" fillId="0" borderId="38" xfId="0" applyNumberFormat="1" applyFont="1" applyBorder="1" applyAlignment="1" applyProtection="1">
      <alignment horizontal="center" vertical="center" shrinkToFit="1"/>
      <protection hidden="1"/>
    </xf>
    <xf numFmtId="3" fontId="45" fillId="0" borderId="143" xfId="0" applyNumberFormat="1" applyFont="1" applyBorder="1" applyAlignment="1" applyProtection="1">
      <alignment horizontal="center" vertical="center" shrinkToFit="1"/>
      <protection hidden="1"/>
    </xf>
    <xf numFmtId="3" fontId="45" fillId="0" borderId="20" xfId="0" applyNumberFormat="1" applyFont="1" applyBorder="1" applyAlignment="1" applyProtection="1">
      <alignment horizontal="center" vertical="center" shrinkToFit="1"/>
      <protection hidden="1"/>
    </xf>
    <xf numFmtId="3" fontId="45" fillId="0" borderId="0" xfId="0" applyNumberFormat="1" applyFont="1" applyAlignment="1" applyProtection="1">
      <alignment horizontal="center" vertical="center" shrinkToFit="1"/>
      <protection hidden="1"/>
    </xf>
    <xf numFmtId="3" fontId="45" fillId="0" borderId="146" xfId="0" applyNumberFormat="1" applyFont="1" applyBorder="1" applyAlignment="1" applyProtection="1">
      <alignment horizontal="center" vertical="center" shrinkToFit="1"/>
      <protection hidden="1"/>
    </xf>
    <xf numFmtId="3" fontId="45" fillId="0" borderId="34" xfId="0" applyNumberFormat="1" applyFont="1" applyBorder="1" applyAlignment="1" applyProtection="1">
      <alignment horizontal="center" vertical="center" shrinkToFit="1"/>
      <protection hidden="1"/>
    </xf>
    <xf numFmtId="3" fontId="45" fillId="0" borderId="29" xfId="0" applyNumberFormat="1" applyFont="1" applyBorder="1" applyAlignment="1" applyProtection="1">
      <alignment horizontal="center" vertical="center" shrinkToFit="1"/>
      <protection hidden="1"/>
    </xf>
    <xf numFmtId="3" fontId="45" fillId="0" borderId="68" xfId="0" applyNumberFormat="1" applyFont="1" applyBorder="1" applyAlignment="1" applyProtection="1">
      <alignment horizontal="center" vertical="center" shrinkToFit="1"/>
      <protection hidden="1"/>
    </xf>
    <xf numFmtId="3" fontId="45" fillId="0" borderId="77" xfId="0" applyNumberFormat="1" applyFont="1" applyBorder="1" applyAlignment="1" applyProtection="1">
      <alignment horizontal="center" vertical="center" shrinkToFit="1"/>
      <protection hidden="1"/>
    </xf>
    <xf numFmtId="3" fontId="45" fillId="0" borderId="74" xfId="0" applyNumberFormat="1" applyFont="1" applyBorder="1" applyAlignment="1" applyProtection="1">
      <alignment horizontal="center" vertical="center" shrinkToFit="1"/>
      <protection hidden="1"/>
    </xf>
    <xf numFmtId="3" fontId="45" fillId="0" borderId="78" xfId="0" applyNumberFormat="1" applyFont="1" applyBorder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horizontal="left" vertical="center" wrapText="1" indent="1"/>
      <protection hidden="1"/>
    </xf>
    <xf numFmtId="0" fontId="67" fillId="0" borderId="17" xfId="0" applyFont="1" applyBorder="1" applyAlignment="1" applyProtection="1">
      <alignment horizontal="right" vertical="center" wrapText="1"/>
      <protection hidden="1"/>
    </xf>
    <xf numFmtId="0" fontId="67" fillId="0" borderId="138" xfId="0" applyFont="1" applyBorder="1" applyAlignment="1" applyProtection="1">
      <alignment horizontal="right" vertical="center" wrapText="1"/>
      <protection hidden="1"/>
    </xf>
    <xf numFmtId="0" fontId="39" fillId="0" borderId="16" xfId="0" applyFont="1" applyBorder="1" applyAlignment="1" applyProtection="1">
      <alignment horizontal="center" vertical="center" wrapText="1"/>
      <protection hidden="1"/>
    </xf>
    <xf numFmtId="0" fontId="39" fillId="0" borderId="17" xfId="0" applyFont="1" applyBorder="1" applyAlignment="1" applyProtection="1">
      <alignment horizontal="center" vertical="center" wrapText="1"/>
      <protection hidden="1"/>
    </xf>
    <xf numFmtId="0" fontId="39" fillId="0" borderId="189" xfId="0" applyFont="1" applyBorder="1" applyAlignment="1" applyProtection="1">
      <alignment horizontal="center" vertical="center" wrapText="1"/>
      <protection hidden="1"/>
    </xf>
    <xf numFmtId="0" fontId="39" fillId="0" borderId="190" xfId="0" applyFont="1" applyBorder="1" applyAlignment="1" applyProtection="1">
      <alignment horizontal="center" vertical="center" wrapText="1"/>
      <protection hidden="1"/>
    </xf>
    <xf numFmtId="0" fontId="63" fillId="0" borderId="25" xfId="0" applyFont="1" applyBorder="1" applyAlignment="1" applyProtection="1">
      <alignment horizontal="left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67" fillId="0" borderId="26" xfId="0" applyFont="1" applyBorder="1" applyAlignment="1" applyProtection="1">
      <alignment horizontal="center" vertical="center"/>
      <protection hidden="1"/>
    </xf>
    <xf numFmtId="0" fontId="67" fillId="0" borderId="25" xfId="0" applyFont="1" applyBorder="1" applyAlignment="1" applyProtection="1">
      <alignment horizontal="center" vertical="center"/>
      <protection hidden="1"/>
    </xf>
    <xf numFmtId="0" fontId="67" fillId="0" borderId="213" xfId="0" applyFont="1" applyBorder="1" applyAlignment="1" applyProtection="1">
      <alignment horizontal="center" vertical="center"/>
      <protection hidden="1"/>
    </xf>
    <xf numFmtId="0" fontId="69" fillId="0" borderId="1" xfId="0" applyFont="1" applyBorder="1" applyAlignment="1" applyProtection="1">
      <alignment horizontal="center" vertical="center" wrapText="1"/>
      <protection hidden="1"/>
    </xf>
    <xf numFmtId="0" fontId="69" fillId="0" borderId="22" xfId="0" applyFont="1" applyBorder="1" applyAlignment="1" applyProtection="1">
      <alignment horizontal="center" vertical="center" wrapText="1"/>
      <protection hidden="1"/>
    </xf>
    <xf numFmtId="0" fontId="67" fillId="0" borderId="214" xfId="0" applyFont="1" applyBorder="1" applyAlignment="1" applyProtection="1">
      <alignment horizontal="center" vertical="center" wrapText="1"/>
      <protection hidden="1"/>
    </xf>
    <xf numFmtId="0" fontId="67" fillId="0" borderId="6" xfId="0" applyFont="1" applyBorder="1" applyAlignment="1" applyProtection="1">
      <alignment horizontal="center" vertical="center"/>
      <protection hidden="1"/>
    </xf>
    <xf numFmtId="0" fontId="67" fillId="0" borderId="217" xfId="0" applyFont="1" applyBorder="1" applyAlignment="1" applyProtection="1">
      <alignment horizontal="center" vertical="center"/>
      <protection hidden="1"/>
    </xf>
    <xf numFmtId="0" fontId="67" fillId="0" borderId="21" xfId="0" applyFont="1" applyBorder="1" applyAlignment="1" applyProtection="1">
      <alignment horizontal="center" vertical="center"/>
      <protection hidden="1"/>
    </xf>
    <xf numFmtId="0" fontId="67" fillId="0" borderId="93" xfId="0" applyFont="1" applyBorder="1" applyAlignment="1" applyProtection="1">
      <alignment horizontal="center" vertical="center" wrapText="1"/>
      <protection hidden="1"/>
    </xf>
    <xf numFmtId="0" fontId="67" fillId="0" borderId="18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7" fillId="0" borderId="11" xfId="0" applyFont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horizontal="center" vertical="center" wrapText="1"/>
      <protection hidden="1"/>
    </xf>
    <xf numFmtId="0" fontId="67" fillId="0" borderId="43" xfId="0" applyFont="1" applyBorder="1" applyAlignment="1" applyProtection="1">
      <alignment horizontal="center" vertical="center" wrapText="1"/>
      <protection hidden="1"/>
    </xf>
    <xf numFmtId="0" fontId="67" fillId="0" borderId="212" xfId="0" applyFont="1" applyBorder="1" applyAlignment="1" applyProtection="1">
      <alignment horizontal="center" vertical="center" wrapText="1"/>
      <protection hidden="1"/>
    </xf>
    <xf numFmtId="0" fontId="67" fillId="0" borderId="215" xfId="0" applyFont="1" applyBorder="1" applyAlignment="1" applyProtection="1">
      <alignment horizontal="center" vertical="center" wrapText="1"/>
      <protection hidden="1"/>
    </xf>
    <xf numFmtId="0" fontId="67" fillId="0" borderId="30" xfId="0" applyFont="1" applyBorder="1" applyAlignment="1" applyProtection="1">
      <alignment horizontal="center" vertical="center" wrapText="1"/>
      <protection hidden="1"/>
    </xf>
    <xf numFmtId="0" fontId="67" fillId="0" borderId="218" xfId="0" applyFont="1" applyBorder="1" applyAlignment="1" applyProtection="1">
      <alignment horizontal="center" vertical="center" wrapText="1"/>
      <protection hidden="1"/>
    </xf>
    <xf numFmtId="0" fontId="67" fillId="0" borderId="216" xfId="0" applyFont="1" applyBorder="1" applyAlignment="1" applyProtection="1">
      <alignment horizontal="center" vertical="center" wrapText="1"/>
      <protection hidden="1"/>
    </xf>
    <xf numFmtId="0" fontId="67" fillId="0" borderId="219" xfId="0" applyFont="1" applyBorder="1" applyAlignment="1" applyProtection="1">
      <alignment horizontal="center" vertical="center" wrapText="1"/>
      <protection hidden="1"/>
    </xf>
    <xf numFmtId="0" fontId="67" fillId="0" borderId="220" xfId="0" applyFont="1" applyBorder="1" applyAlignment="1" applyProtection="1">
      <alignment horizontal="center" vertical="center" wrapText="1"/>
      <protection hidden="1"/>
    </xf>
    <xf numFmtId="0" fontId="67" fillId="0" borderId="156" xfId="0" applyFont="1" applyBorder="1" applyAlignment="1" applyProtection="1">
      <alignment horizontal="center" vertical="center" wrapText="1"/>
      <protection hidden="1"/>
    </xf>
    <xf numFmtId="0" fontId="67" fillId="0" borderId="155" xfId="0" applyFont="1" applyBorder="1" applyAlignment="1" applyProtection="1">
      <alignment horizontal="center" vertical="center" wrapText="1"/>
      <protection hidden="1"/>
    </xf>
    <xf numFmtId="0" fontId="34" fillId="2" borderId="37" xfId="0" applyFont="1" applyFill="1" applyBorder="1" applyAlignment="1" applyProtection="1">
      <alignment horizontal="left" vertical="top" wrapText="1"/>
      <protection locked="0" hidden="1"/>
    </xf>
    <xf numFmtId="0" fontId="34" fillId="2" borderId="38" xfId="0" applyFont="1" applyFill="1" applyBorder="1" applyAlignment="1" applyProtection="1">
      <alignment horizontal="left" vertical="top" wrapText="1"/>
      <protection locked="0" hidden="1"/>
    </xf>
    <xf numFmtId="0" fontId="34" fillId="2" borderId="39" xfId="0" applyFont="1" applyFill="1" applyBorder="1" applyAlignment="1" applyProtection="1">
      <alignment horizontal="left" vertical="top" wrapText="1"/>
      <protection locked="0" hidden="1"/>
    </xf>
    <xf numFmtId="0" fontId="34" fillId="2" borderId="40" xfId="0" applyFont="1" applyFill="1" applyBorder="1" applyAlignment="1" applyProtection="1">
      <alignment horizontal="left" vertical="top" wrapText="1"/>
      <protection locked="0" hidden="1"/>
    </xf>
    <xf numFmtId="0" fontId="34" fillId="2" borderId="0" xfId="0" applyFont="1" applyFill="1" applyAlignment="1" applyProtection="1">
      <alignment horizontal="left" vertical="top" wrapText="1"/>
      <protection locked="0" hidden="1"/>
    </xf>
    <xf numFmtId="0" fontId="34" fillId="2" borderId="41" xfId="0" applyFont="1" applyFill="1" applyBorder="1" applyAlignment="1" applyProtection="1">
      <alignment horizontal="left" vertical="top" wrapText="1"/>
      <protection locked="0" hidden="1"/>
    </xf>
    <xf numFmtId="0" fontId="34" fillId="2" borderId="42" xfId="0" applyFont="1" applyFill="1" applyBorder="1" applyAlignment="1" applyProtection="1">
      <alignment horizontal="left" vertical="top" wrapText="1"/>
      <protection locked="0" hidden="1"/>
    </xf>
    <xf numFmtId="0" fontId="34" fillId="2" borderId="43" xfId="0" applyFont="1" applyFill="1" applyBorder="1" applyAlignment="1" applyProtection="1">
      <alignment horizontal="left" vertical="top" wrapText="1"/>
      <protection locked="0" hidden="1"/>
    </xf>
    <xf numFmtId="0" fontId="34" fillId="2" borderId="44" xfId="0" applyFont="1" applyFill="1" applyBorder="1" applyAlignment="1" applyProtection="1">
      <alignment horizontal="left" vertical="top" wrapText="1"/>
      <protection locked="0" hidden="1"/>
    </xf>
    <xf numFmtId="0" fontId="48" fillId="0" borderId="126" xfId="0" applyFont="1" applyBorder="1" applyAlignment="1" applyProtection="1">
      <alignment horizontal="center" vertical="center" wrapText="1"/>
      <protection hidden="1"/>
    </xf>
    <xf numFmtId="0" fontId="48" fillId="0" borderId="128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center" vertical="center" wrapText="1"/>
      <protection hidden="1"/>
    </xf>
    <xf numFmtId="0" fontId="70" fillId="0" borderId="43" xfId="0" applyFont="1" applyBorder="1" applyAlignment="1" applyProtection="1">
      <alignment horizontal="center" vertical="center" wrapText="1"/>
      <protection hidden="1"/>
    </xf>
    <xf numFmtId="0" fontId="34" fillId="2" borderId="37" xfId="0" applyFont="1" applyFill="1" applyBorder="1" applyAlignment="1" applyProtection="1">
      <alignment horizontal="left" vertical="top" wrapText="1"/>
      <protection locked="0"/>
    </xf>
    <xf numFmtId="0" fontId="34" fillId="2" borderId="38" xfId="0" applyFont="1" applyFill="1" applyBorder="1" applyAlignment="1" applyProtection="1">
      <alignment horizontal="left" vertical="top" wrapText="1"/>
      <protection locked="0"/>
    </xf>
    <xf numFmtId="0" fontId="34" fillId="2" borderId="39" xfId="0" applyFont="1" applyFill="1" applyBorder="1" applyAlignment="1" applyProtection="1">
      <alignment horizontal="left" vertical="top" wrapText="1"/>
      <protection locked="0"/>
    </xf>
    <xf numFmtId="0" fontId="34" fillId="2" borderId="40" xfId="0" applyFont="1" applyFill="1" applyBorder="1" applyAlignment="1" applyProtection="1">
      <alignment horizontal="left" vertical="top" wrapText="1"/>
      <protection locked="0"/>
    </xf>
    <xf numFmtId="0" fontId="34" fillId="2" borderId="0" xfId="0" applyFont="1" applyFill="1" applyAlignment="1" applyProtection="1">
      <alignment horizontal="left" vertical="top" wrapText="1"/>
      <protection locked="0"/>
    </xf>
    <xf numFmtId="0" fontId="34" fillId="2" borderId="41" xfId="0" applyFont="1" applyFill="1" applyBorder="1" applyAlignment="1" applyProtection="1">
      <alignment horizontal="left" vertical="top" wrapText="1"/>
      <protection locked="0"/>
    </xf>
    <xf numFmtId="0" fontId="34" fillId="2" borderId="42" xfId="0" applyFont="1" applyFill="1" applyBorder="1" applyAlignment="1" applyProtection="1">
      <alignment horizontal="left" vertical="top" wrapText="1"/>
      <protection locked="0"/>
    </xf>
    <xf numFmtId="0" fontId="34" fillId="2" borderId="43" xfId="0" applyFont="1" applyFill="1" applyBorder="1" applyAlignment="1" applyProtection="1">
      <alignment horizontal="left" vertical="top" wrapText="1"/>
      <protection locked="0"/>
    </xf>
    <xf numFmtId="0" fontId="34" fillId="2" borderId="44" xfId="0" applyFont="1" applyFill="1" applyBorder="1" applyAlignment="1" applyProtection="1">
      <alignment horizontal="left" vertical="top" wrapText="1"/>
      <protection locked="0"/>
    </xf>
    <xf numFmtId="0" fontId="48" fillId="0" borderId="6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8" xfId="0" applyFont="1" applyBorder="1" applyAlignment="1">
      <alignment horizontal="center" vertical="center" wrapText="1"/>
    </xf>
    <xf numFmtId="0" fontId="39" fillId="0" borderId="32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horizontal="left" vertical="center" wrapText="1"/>
      <protection hidden="1"/>
    </xf>
    <xf numFmtId="0" fontId="65" fillId="0" borderId="43" xfId="0" applyFont="1" applyBorder="1" applyAlignment="1" applyProtection="1">
      <alignment horizontal="center" vertical="center" wrapText="1"/>
      <protection hidden="1"/>
    </xf>
    <xf numFmtId="0" fontId="48" fillId="0" borderId="5" xfId="0" applyFont="1" applyBorder="1" applyAlignment="1" applyProtection="1">
      <alignment horizontal="center" vertical="center" wrapText="1"/>
      <protection hidden="1"/>
    </xf>
    <xf numFmtId="0" fontId="40" fillId="0" borderId="40" xfId="0" applyFont="1" applyBorder="1" applyAlignment="1" applyProtection="1">
      <alignment horizontal="left" vertical="center" wrapText="1" indent="1"/>
      <protection hidden="1"/>
    </xf>
    <xf numFmtId="0" fontId="46" fillId="2" borderId="37" xfId="0" applyFont="1" applyFill="1" applyBorder="1" applyAlignment="1" applyProtection="1">
      <alignment horizontal="left" vertical="top" wrapText="1"/>
      <protection locked="0"/>
    </xf>
    <xf numFmtId="0" fontId="46" fillId="2" borderId="39" xfId="0" applyFont="1" applyFill="1" applyBorder="1" applyAlignment="1" applyProtection="1">
      <alignment horizontal="left" vertical="top" wrapText="1"/>
      <protection locked="0"/>
    </xf>
    <xf numFmtId="0" fontId="46" fillId="2" borderId="40" xfId="0" applyFont="1" applyFill="1" applyBorder="1" applyAlignment="1" applyProtection="1">
      <alignment horizontal="left" vertical="top" wrapText="1"/>
      <protection locked="0"/>
    </xf>
    <xf numFmtId="0" fontId="46" fillId="2" borderId="41" xfId="0" applyFont="1" applyFill="1" applyBorder="1" applyAlignment="1" applyProtection="1">
      <alignment horizontal="left" vertical="top" wrapText="1"/>
      <protection locked="0"/>
    </xf>
    <xf numFmtId="0" fontId="46" fillId="2" borderId="42" xfId="0" applyFont="1" applyFill="1" applyBorder="1" applyAlignment="1" applyProtection="1">
      <alignment horizontal="left" vertical="top" wrapText="1"/>
      <protection locked="0"/>
    </xf>
    <xf numFmtId="0" fontId="46" fillId="2" borderId="44" xfId="0" applyFont="1" applyFill="1" applyBorder="1" applyAlignment="1" applyProtection="1">
      <alignment horizontal="left" vertical="top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hidden="1"/>
    </xf>
    <xf numFmtId="0" fontId="38" fillId="0" borderId="0" xfId="0" applyFont="1" applyAlignment="1" applyProtection="1">
      <alignment horizontal="left" vertical="top" wrapText="1"/>
      <protection hidden="1"/>
    </xf>
    <xf numFmtId="0" fontId="45" fillId="0" borderId="0" xfId="0" applyFont="1" applyAlignment="1" applyProtection="1">
      <alignment horizontal="left" vertical="top" wrapText="1"/>
      <protection hidden="1"/>
    </xf>
    <xf numFmtId="0" fontId="40" fillId="0" borderId="0" xfId="0" applyFont="1" applyAlignment="1" applyProtection="1">
      <alignment horizontal="left" vertical="top" wrapText="1" indent="1"/>
      <protection hidden="1"/>
    </xf>
    <xf numFmtId="0" fontId="46" fillId="0" borderId="0" xfId="0" applyFont="1" applyAlignment="1">
      <alignment horizontal="left" vertical="center" wrapText="1"/>
    </xf>
    <xf numFmtId="0" fontId="46" fillId="2" borderId="38" xfId="0" applyFont="1" applyFill="1" applyBorder="1" applyAlignment="1" applyProtection="1">
      <alignment horizontal="left" vertical="top" wrapText="1"/>
      <protection locked="0"/>
    </xf>
    <xf numFmtId="0" fontId="46" fillId="2" borderId="0" xfId="0" applyFont="1" applyFill="1" applyAlignment="1" applyProtection="1">
      <alignment horizontal="left" vertical="top" wrapText="1"/>
      <protection locked="0"/>
    </xf>
    <xf numFmtId="0" fontId="46" fillId="2" borderId="43" xfId="0" applyFont="1" applyFill="1" applyBorder="1" applyAlignment="1" applyProtection="1">
      <alignment horizontal="left" vertical="top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hidden="1"/>
    </xf>
    <xf numFmtId="0" fontId="48" fillId="0" borderId="1" xfId="0" applyFont="1" applyBorder="1" applyAlignment="1" applyProtection="1">
      <alignment vertical="center"/>
      <protection hidden="1"/>
    </xf>
    <xf numFmtId="0" fontId="48" fillId="0" borderId="22" xfId="0" applyFont="1" applyBorder="1" applyAlignment="1" applyProtection="1">
      <alignment vertical="center"/>
      <protection hidden="1"/>
    </xf>
    <xf numFmtId="0" fontId="39" fillId="0" borderId="35" xfId="0" applyFont="1" applyBorder="1" applyAlignment="1" applyProtection="1">
      <alignment horizontal="center" vertical="center" wrapText="1"/>
      <protection hidden="1"/>
    </xf>
    <xf numFmtId="3" fontId="55" fillId="0" borderId="0" xfId="0" applyNumberFormat="1" applyFont="1" applyAlignment="1" applyProtection="1">
      <alignment horizontal="left" vertical="center" wrapText="1" shrinkToFit="1"/>
      <protection hidden="1"/>
    </xf>
    <xf numFmtId="0" fontId="46" fillId="2" borderId="38" xfId="0" applyFont="1" applyFill="1" applyBorder="1" applyAlignment="1" applyProtection="1">
      <alignment vertical="top" wrapText="1"/>
      <protection locked="0"/>
    </xf>
    <xf numFmtId="0" fontId="46" fillId="2" borderId="39" xfId="0" applyFont="1" applyFill="1" applyBorder="1" applyAlignment="1" applyProtection="1">
      <alignment vertical="top" wrapText="1"/>
      <protection locked="0"/>
    </xf>
    <xf numFmtId="0" fontId="46" fillId="2" borderId="0" xfId="0" applyFont="1" applyFill="1" applyAlignment="1" applyProtection="1">
      <alignment vertical="top" wrapText="1"/>
      <protection locked="0"/>
    </xf>
    <xf numFmtId="0" fontId="46" fillId="2" borderId="41" xfId="0" applyFont="1" applyFill="1" applyBorder="1" applyAlignment="1" applyProtection="1">
      <alignment vertical="top" wrapText="1"/>
      <protection locked="0"/>
    </xf>
    <xf numFmtId="0" fontId="46" fillId="2" borderId="42" xfId="0" applyFont="1" applyFill="1" applyBorder="1" applyAlignment="1" applyProtection="1">
      <alignment vertical="top" wrapText="1"/>
      <protection locked="0"/>
    </xf>
    <xf numFmtId="0" fontId="46" fillId="2" borderId="43" xfId="0" applyFont="1" applyFill="1" applyBorder="1" applyAlignment="1" applyProtection="1">
      <alignment vertical="top" wrapText="1"/>
      <protection locked="0"/>
    </xf>
    <xf numFmtId="0" fontId="46" fillId="2" borderId="44" xfId="0" applyFont="1" applyFill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horizontal="center" vertical="center"/>
      <protection hidden="1"/>
    </xf>
    <xf numFmtId="0" fontId="44" fillId="0" borderId="252" xfId="0" applyFont="1" applyBorder="1" applyAlignment="1" applyProtection="1">
      <alignment horizontal="center" vertical="center"/>
      <protection hidden="1"/>
    </xf>
    <xf numFmtId="0" fontId="44" fillId="0" borderId="253" xfId="0" applyFont="1" applyBorder="1" applyAlignment="1" applyProtection="1">
      <alignment horizontal="center" vertical="center"/>
      <protection hidden="1"/>
    </xf>
    <xf numFmtId="0" fontId="44" fillId="0" borderId="254" xfId="0" applyFont="1" applyBorder="1" applyAlignment="1" applyProtection="1">
      <alignment horizontal="center" vertical="center"/>
      <protection hidden="1"/>
    </xf>
    <xf numFmtId="0" fontId="44" fillId="0" borderId="255" xfId="0" applyFont="1" applyBorder="1" applyAlignment="1" applyProtection="1">
      <alignment horizontal="center" vertical="center"/>
      <protection hidden="1"/>
    </xf>
    <xf numFmtId="0" fontId="44" fillId="0" borderId="256" xfId="0" applyFont="1" applyBorder="1" applyAlignment="1" applyProtection="1">
      <alignment horizontal="center" vertical="center"/>
      <protection hidden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rmal 2" xfId="44" xr:uid="{277D801E-B535-4178-848D-71796A99B9CE}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3" xr:uid="{00000000-0005-0000-0000-00002A000000}"/>
    <cellStyle name="Total" xfId="18" builtinId="25" customBuiltin="1"/>
  </cellStyles>
  <dxfs count="98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59996337778862885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xie Brenes Vindas" id="{EAB5E338-6578-48D0-A27E-6F2A990A5C5B}" userId="S::dixie.brenes.vindas@mep.go.cr::c8d18581-7cea-4222-8c57-886e794369d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79" dT="2023-07-17T14:56:02.85" personId="{EAB5E338-6578-48D0-A27E-6F2A990A5C5B}" id="{DED4ADB6-524A-430F-9F90-1143F2E97C45}">
    <text>00910 cerrado</text>
  </threadedComment>
  <threadedComment ref="AA82" dT="2023-07-17T14:56:18.05" personId="{EAB5E338-6578-48D0-A27E-6F2A990A5C5B}" id="{359D4443-8FDD-4CC9-A1FD-3713F1598219}">
    <text xml:space="preserve">00909 cerrado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tp.talamanca@gmail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ctp.desantarosa@mep.go.cr" TargetMode="External"/><Relationship Id="rId7" Type="http://schemas.openxmlformats.org/officeDocument/2006/relationships/hyperlink" Target="mailto:ctp.puertojimenez@g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tp.platanares@gmail.com" TargetMode="External"/><Relationship Id="rId1" Type="http://schemas.openxmlformats.org/officeDocument/2006/relationships/hyperlink" Target="mailto:ctp.monsenorsanabria@mep.go.cr" TargetMode="External"/><Relationship Id="rId6" Type="http://schemas.openxmlformats.org/officeDocument/2006/relationships/hyperlink" Target="mailto:ctp.27deabril@mep.go.cr" TargetMode="External"/><Relationship Id="rId11" Type="http://schemas.openxmlformats.org/officeDocument/2006/relationships/hyperlink" Target="mailto:ctp.latigra@mep.go.cr" TargetMode="External"/><Relationship Id="rId5" Type="http://schemas.openxmlformats.org/officeDocument/2006/relationships/hyperlink" Target="mailto:ctp.sanjuansur@gmail.com" TargetMode="External"/><Relationship Id="rId15" Type="http://schemas.microsoft.com/office/2017/10/relationships/threadedComment" Target="../threadedComments/threadedComment1.xml"/><Relationship Id="rId10" Type="http://schemas.openxmlformats.org/officeDocument/2006/relationships/hyperlink" Target="mailto:ctp.alajuelita@mep.go.cr" TargetMode="External"/><Relationship Id="rId4" Type="http://schemas.openxmlformats.org/officeDocument/2006/relationships/hyperlink" Target="mailto:ctp.loschiles@MEP.go.cr" TargetMode="External"/><Relationship Id="rId9" Type="http://schemas.openxmlformats.org/officeDocument/2006/relationships/hyperlink" Target="mailto:ctp.deflores@mep.go.cr" TargetMode="External"/><Relationship Id="rId1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E492"/>
  <sheetViews>
    <sheetView workbookViewId="0">
      <selection sqref="A1:E1048576"/>
    </sheetView>
  </sheetViews>
  <sheetFormatPr baseColWidth="10" defaultColWidth="11.44140625" defaultRowHeight="12"/>
  <cols>
    <col min="1" max="1" width="7.6640625" style="131" customWidth="1"/>
    <col min="2" max="2" width="38.6640625" style="131" customWidth="1"/>
    <col min="3" max="3" width="7.5546875" style="131" customWidth="1"/>
    <col min="4" max="4" width="50" style="131" bestFit="1" customWidth="1"/>
    <col min="5" max="5" width="11.44140625" style="131"/>
    <col min="6" max="16384" width="11.44140625" style="6"/>
  </cols>
  <sheetData>
    <row r="1" spans="1:5">
      <c r="A1" s="130" t="s">
        <v>308</v>
      </c>
      <c r="B1" s="130" t="s">
        <v>2323</v>
      </c>
      <c r="C1" s="130"/>
      <c r="D1" s="130" t="s">
        <v>2323</v>
      </c>
      <c r="E1" s="130" t="s">
        <v>308</v>
      </c>
    </row>
    <row r="2" spans="1:5">
      <c r="A2" s="131" t="s">
        <v>309</v>
      </c>
      <c r="B2" s="131" t="s">
        <v>1845</v>
      </c>
      <c r="D2" s="131" t="s">
        <v>1845</v>
      </c>
      <c r="E2" s="131" t="s">
        <v>309</v>
      </c>
    </row>
    <row r="3" spans="1:5">
      <c r="A3" s="131" t="s">
        <v>310</v>
      </c>
      <c r="B3" s="131" t="s">
        <v>1846</v>
      </c>
      <c r="D3" s="131" t="s">
        <v>1846</v>
      </c>
      <c r="E3" s="131" t="s">
        <v>310</v>
      </c>
    </row>
    <row r="4" spans="1:5">
      <c r="A4" s="131" t="s">
        <v>311</v>
      </c>
      <c r="B4" s="131" t="s">
        <v>1847</v>
      </c>
      <c r="D4" s="131" t="s">
        <v>1847</v>
      </c>
      <c r="E4" s="131" t="s">
        <v>311</v>
      </c>
    </row>
    <row r="5" spans="1:5">
      <c r="A5" s="131" t="s">
        <v>312</v>
      </c>
      <c r="B5" s="131" t="s">
        <v>1848</v>
      </c>
      <c r="D5" s="131" t="s">
        <v>1848</v>
      </c>
      <c r="E5" s="131" t="s">
        <v>312</v>
      </c>
    </row>
    <row r="6" spans="1:5">
      <c r="A6" s="131" t="s">
        <v>313</v>
      </c>
      <c r="B6" s="131" t="s">
        <v>1849</v>
      </c>
      <c r="D6" s="131" t="s">
        <v>1849</v>
      </c>
      <c r="E6" s="131" t="s">
        <v>313</v>
      </c>
    </row>
    <row r="7" spans="1:5">
      <c r="A7" s="131" t="s">
        <v>314</v>
      </c>
      <c r="B7" s="131" t="s">
        <v>1850</v>
      </c>
      <c r="D7" s="131" t="s">
        <v>1850</v>
      </c>
      <c r="E7" s="131" t="s">
        <v>314</v>
      </c>
    </row>
    <row r="8" spans="1:5">
      <c r="A8" s="131" t="s">
        <v>315</v>
      </c>
      <c r="B8" s="131" t="s">
        <v>1851</v>
      </c>
      <c r="D8" s="131" t="s">
        <v>1851</v>
      </c>
      <c r="E8" s="131" t="s">
        <v>315</v>
      </c>
    </row>
    <row r="9" spans="1:5">
      <c r="A9" s="131" t="s">
        <v>316</v>
      </c>
      <c r="B9" s="131" t="s">
        <v>1852</v>
      </c>
      <c r="D9" s="131" t="s">
        <v>1852</v>
      </c>
      <c r="E9" s="131" t="s">
        <v>316</v>
      </c>
    </row>
    <row r="10" spans="1:5">
      <c r="A10" s="131" t="s">
        <v>317</v>
      </c>
      <c r="B10" s="131" t="s">
        <v>1853</v>
      </c>
      <c r="D10" s="131" t="s">
        <v>1853</v>
      </c>
      <c r="E10" s="131" t="s">
        <v>317</v>
      </c>
    </row>
    <row r="11" spans="1:5">
      <c r="A11" s="131" t="s">
        <v>318</v>
      </c>
      <c r="B11" s="131" t="s">
        <v>1854</v>
      </c>
      <c r="D11" s="131" t="s">
        <v>1854</v>
      </c>
      <c r="E11" s="131" t="s">
        <v>318</v>
      </c>
    </row>
    <row r="12" spans="1:5">
      <c r="A12" s="131" t="s">
        <v>319</v>
      </c>
      <c r="B12" s="131" t="s">
        <v>1855</v>
      </c>
      <c r="D12" s="131" t="s">
        <v>1855</v>
      </c>
      <c r="E12" s="131" t="s">
        <v>319</v>
      </c>
    </row>
    <row r="13" spans="1:5">
      <c r="A13" s="131" t="s">
        <v>320</v>
      </c>
      <c r="B13" s="131" t="s">
        <v>1856</v>
      </c>
      <c r="D13" s="131" t="s">
        <v>1856</v>
      </c>
      <c r="E13" s="131" t="s">
        <v>320</v>
      </c>
    </row>
    <row r="14" spans="1:5">
      <c r="A14" s="131" t="s">
        <v>321</v>
      </c>
      <c r="B14" s="131" t="s">
        <v>1857</v>
      </c>
      <c r="D14" s="131" t="s">
        <v>1857</v>
      </c>
      <c r="E14" s="131" t="s">
        <v>321</v>
      </c>
    </row>
    <row r="15" spans="1:5">
      <c r="A15" s="131" t="s">
        <v>322</v>
      </c>
      <c r="B15" s="131" t="s">
        <v>1858</v>
      </c>
      <c r="D15" s="131" t="s">
        <v>1858</v>
      </c>
      <c r="E15" s="131" t="s">
        <v>322</v>
      </c>
    </row>
    <row r="16" spans="1:5">
      <c r="A16" s="131" t="s">
        <v>323</v>
      </c>
      <c r="B16" s="131" t="s">
        <v>1859</v>
      </c>
      <c r="D16" s="131" t="s">
        <v>1859</v>
      </c>
      <c r="E16" s="131" t="s">
        <v>323</v>
      </c>
    </row>
    <row r="17" spans="1:5">
      <c r="A17" s="131" t="s">
        <v>324</v>
      </c>
      <c r="B17" s="131" t="s">
        <v>1860</v>
      </c>
      <c r="D17" s="131" t="s">
        <v>1860</v>
      </c>
      <c r="E17" s="131" t="s">
        <v>324</v>
      </c>
    </row>
    <row r="18" spans="1:5">
      <c r="A18" s="131" t="s">
        <v>325</v>
      </c>
      <c r="B18" s="131" t="s">
        <v>1861</v>
      </c>
      <c r="D18" s="131" t="s">
        <v>1861</v>
      </c>
      <c r="E18" s="131" t="s">
        <v>325</v>
      </c>
    </row>
    <row r="19" spans="1:5">
      <c r="A19" s="131" t="s">
        <v>326</v>
      </c>
      <c r="B19" s="131" t="s">
        <v>1862</v>
      </c>
      <c r="D19" s="131" t="s">
        <v>1862</v>
      </c>
      <c r="E19" s="131" t="s">
        <v>326</v>
      </c>
    </row>
    <row r="20" spans="1:5">
      <c r="A20" s="131" t="s">
        <v>327</v>
      </c>
      <c r="B20" s="131" t="s">
        <v>1863</v>
      </c>
      <c r="D20" s="131" t="s">
        <v>1863</v>
      </c>
      <c r="E20" s="131" t="s">
        <v>327</v>
      </c>
    </row>
    <row r="21" spans="1:5">
      <c r="A21" s="131" t="s">
        <v>328</v>
      </c>
      <c r="B21" s="131" t="s">
        <v>1864</v>
      </c>
      <c r="D21" s="131" t="s">
        <v>1864</v>
      </c>
      <c r="E21" s="131" t="s">
        <v>328</v>
      </c>
    </row>
    <row r="22" spans="1:5">
      <c r="A22" s="131" t="s">
        <v>329</v>
      </c>
      <c r="B22" s="131" t="s">
        <v>1865</v>
      </c>
      <c r="D22" s="131" t="s">
        <v>1865</v>
      </c>
      <c r="E22" s="131" t="s">
        <v>329</v>
      </c>
    </row>
    <row r="23" spans="1:5">
      <c r="A23" s="131" t="s">
        <v>330</v>
      </c>
      <c r="B23" s="131" t="s">
        <v>1866</v>
      </c>
      <c r="D23" s="131" t="s">
        <v>1866</v>
      </c>
      <c r="E23" s="131" t="s">
        <v>330</v>
      </c>
    </row>
    <row r="24" spans="1:5">
      <c r="A24" s="131" t="s">
        <v>331</v>
      </c>
      <c r="B24" s="131" t="s">
        <v>1867</v>
      </c>
      <c r="D24" s="131" t="s">
        <v>1867</v>
      </c>
      <c r="E24" s="131" t="s">
        <v>331</v>
      </c>
    </row>
    <row r="25" spans="1:5">
      <c r="A25" s="131" t="s">
        <v>332</v>
      </c>
      <c r="B25" s="131" t="s">
        <v>1868</v>
      </c>
      <c r="D25" s="131" t="s">
        <v>1868</v>
      </c>
      <c r="E25" s="131" t="s">
        <v>332</v>
      </c>
    </row>
    <row r="26" spans="1:5">
      <c r="A26" s="131" t="s">
        <v>333</v>
      </c>
      <c r="B26" s="131" t="s">
        <v>1869</v>
      </c>
      <c r="D26" s="131" t="s">
        <v>1869</v>
      </c>
      <c r="E26" s="131" t="s">
        <v>333</v>
      </c>
    </row>
    <row r="27" spans="1:5">
      <c r="A27" s="131" t="s">
        <v>334</v>
      </c>
      <c r="B27" s="131" t="s">
        <v>1870</v>
      </c>
      <c r="D27" s="131" t="s">
        <v>1870</v>
      </c>
      <c r="E27" s="131" t="s">
        <v>334</v>
      </c>
    </row>
    <row r="28" spans="1:5">
      <c r="A28" s="131" t="s">
        <v>335</v>
      </c>
      <c r="B28" s="131" t="s">
        <v>1871</v>
      </c>
      <c r="D28" s="131" t="s">
        <v>1871</v>
      </c>
      <c r="E28" s="131" t="s">
        <v>335</v>
      </c>
    </row>
    <row r="29" spans="1:5">
      <c r="A29" s="131" t="s">
        <v>336</v>
      </c>
      <c r="B29" s="131" t="s">
        <v>1872</v>
      </c>
      <c r="D29" s="131" t="s">
        <v>1872</v>
      </c>
      <c r="E29" s="131" t="s">
        <v>336</v>
      </c>
    </row>
    <row r="30" spans="1:5">
      <c r="A30" s="131" t="s">
        <v>337</v>
      </c>
      <c r="B30" s="131" t="s">
        <v>1873</v>
      </c>
      <c r="D30" s="131" t="s">
        <v>1873</v>
      </c>
      <c r="E30" s="131" t="s">
        <v>337</v>
      </c>
    </row>
    <row r="31" spans="1:5">
      <c r="A31" s="131" t="s">
        <v>338</v>
      </c>
      <c r="B31" s="131" t="s">
        <v>1874</v>
      </c>
      <c r="D31" s="131" t="s">
        <v>1874</v>
      </c>
      <c r="E31" s="131" t="s">
        <v>338</v>
      </c>
    </row>
    <row r="32" spans="1:5">
      <c r="A32" s="131" t="s">
        <v>339</v>
      </c>
      <c r="B32" s="131" t="s">
        <v>1875</v>
      </c>
      <c r="D32" s="131" t="s">
        <v>1875</v>
      </c>
      <c r="E32" s="131" t="s">
        <v>339</v>
      </c>
    </row>
    <row r="33" spans="1:5">
      <c r="A33" s="131" t="s">
        <v>340</v>
      </c>
      <c r="B33" s="131" t="s">
        <v>1876</v>
      </c>
      <c r="D33" s="131" t="s">
        <v>1876</v>
      </c>
      <c r="E33" s="131" t="s">
        <v>340</v>
      </c>
    </row>
    <row r="34" spans="1:5">
      <c r="A34" s="131" t="s">
        <v>341</v>
      </c>
      <c r="B34" s="131" t="s">
        <v>2417</v>
      </c>
      <c r="D34" s="131" t="s">
        <v>2417</v>
      </c>
      <c r="E34" s="131" t="s">
        <v>341</v>
      </c>
    </row>
    <row r="35" spans="1:5">
      <c r="A35" s="131" t="s">
        <v>342</v>
      </c>
      <c r="B35" s="131" t="s">
        <v>1877</v>
      </c>
      <c r="D35" s="131" t="s">
        <v>1877</v>
      </c>
      <c r="E35" s="131" t="s">
        <v>342</v>
      </c>
    </row>
    <row r="36" spans="1:5">
      <c r="A36" s="131" t="s">
        <v>343</v>
      </c>
      <c r="B36" s="131" t="s">
        <v>1878</v>
      </c>
      <c r="D36" s="131" t="s">
        <v>1878</v>
      </c>
      <c r="E36" s="131" t="s">
        <v>343</v>
      </c>
    </row>
    <row r="37" spans="1:5">
      <c r="A37" s="131" t="s">
        <v>344</v>
      </c>
      <c r="B37" s="131" t="s">
        <v>1879</v>
      </c>
      <c r="D37" s="131" t="s">
        <v>1879</v>
      </c>
      <c r="E37" s="131" t="s">
        <v>344</v>
      </c>
    </row>
    <row r="38" spans="1:5">
      <c r="A38" s="131" t="s">
        <v>345</v>
      </c>
      <c r="B38" s="131" t="s">
        <v>1880</v>
      </c>
      <c r="D38" s="131" t="s">
        <v>1880</v>
      </c>
      <c r="E38" s="131" t="s">
        <v>345</v>
      </c>
    </row>
    <row r="39" spans="1:5">
      <c r="A39" s="131" t="s">
        <v>346</v>
      </c>
      <c r="B39" s="131" t="s">
        <v>1881</v>
      </c>
      <c r="D39" s="131" t="s">
        <v>1881</v>
      </c>
      <c r="E39" s="131" t="s">
        <v>346</v>
      </c>
    </row>
    <row r="40" spans="1:5">
      <c r="A40" s="131" t="s">
        <v>347</v>
      </c>
      <c r="B40" s="131" t="s">
        <v>1882</v>
      </c>
      <c r="D40" s="131" t="s">
        <v>1882</v>
      </c>
      <c r="E40" s="131" t="s">
        <v>347</v>
      </c>
    </row>
    <row r="41" spans="1:5">
      <c r="A41" s="131" t="s">
        <v>348</v>
      </c>
      <c r="B41" s="131" t="s">
        <v>1883</v>
      </c>
      <c r="D41" s="131" t="s">
        <v>1883</v>
      </c>
      <c r="E41" s="131" t="s">
        <v>348</v>
      </c>
    </row>
    <row r="42" spans="1:5">
      <c r="A42" s="131" t="s">
        <v>349</v>
      </c>
      <c r="B42" s="131" t="s">
        <v>1884</v>
      </c>
      <c r="D42" s="131" t="s">
        <v>1884</v>
      </c>
      <c r="E42" s="131" t="s">
        <v>349</v>
      </c>
    </row>
    <row r="43" spans="1:5">
      <c r="A43" s="131" t="s">
        <v>350</v>
      </c>
      <c r="B43" s="131" t="s">
        <v>1885</v>
      </c>
      <c r="D43" s="131" t="s">
        <v>1885</v>
      </c>
      <c r="E43" s="131" t="s">
        <v>350</v>
      </c>
    </row>
    <row r="44" spans="1:5">
      <c r="A44" s="131" t="s">
        <v>351</v>
      </c>
      <c r="B44" s="131" t="s">
        <v>1886</v>
      </c>
      <c r="D44" s="131" t="s">
        <v>1886</v>
      </c>
      <c r="E44" s="131" t="s">
        <v>351</v>
      </c>
    </row>
    <row r="45" spans="1:5">
      <c r="A45" s="131" t="s">
        <v>352</v>
      </c>
      <c r="B45" s="131" t="s">
        <v>1887</v>
      </c>
      <c r="D45" s="131" t="s">
        <v>1887</v>
      </c>
      <c r="E45" s="131" t="s">
        <v>352</v>
      </c>
    </row>
    <row r="46" spans="1:5">
      <c r="A46" s="131" t="s">
        <v>353</v>
      </c>
      <c r="B46" s="131" t="s">
        <v>1888</v>
      </c>
      <c r="D46" s="131" t="s">
        <v>1888</v>
      </c>
      <c r="E46" s="131" t="s">
        <v>353</v>
      </c>
    </row>
    <row r="47" spans="1:5">
      <c r="A47" s="131" t="s">
        <v>354</v>
      </c>
      <c r="B47" s="131" t="s">
        <v>1889</v>
      </c>
      <c r="D47" s="131" t="s">
        <v>1889</v>
      </c>
      <c r="E47" s="131" t="s">
        <v>354</v>
      </c>
    </row>
    <row r="48" spans="1:5">
      <c r="A48" s="131" t="s">
        <v>355</v>
      </c>
      <c r="B48" s="131" t="s">
        <v>1890</v>
      </c>
      <c r="D48" s="131" t="s">
        <v>1890</v>
      </c>
      <c r="E48" s="131" t="s">
        <v>355</v>
      </c>
    </row>
    <row r="49" spans="1:5">
      <c r="A49" s="131" t="s">
        <v>356</v>
      </c>
      <c r="B49" s="131" t="s">
        <v>1891</v>
      </c>
      <c r="D49" s="131" t="s">
        <v>1891</v>
      </c>
      <c r="E49" s="131" t="s">
        <v>356</v>
      </c>
    </row>
    <row r="50" spans="1:5">
      <c r="A50" s="131" t="s">
        <v>357</v>
      </c>
      <c r="B50" s="131" t="s">
        <v>1892</v>
      </c>
      <c r="D50" s="131" t="s">
        <v>1892</v>
      </c>
      <c r="E50" s="131" t="s">
        <v>357</v>
      </c>
    </row>
    <row r="51" spans="1:5">
      <c r="A51" s="131" t="s">
        <v>358</v>
      </c>
      <c r="B51" s="131" t="s">
        <v>2418</v>
      </c>
      <c r="D51" s="131" t="s">
        <v>2418</v>
      </c>
      <c r="E51" s="131" t="s">
        <v>358</v>
      </c>
    </row>
    <row r="52" spans="1:5">
      <c r="A52" s="131" t="s">
        <v>359</v>
      </c>
      <c r="B52" s="131" t="s">
        <v>1893</v>
      </c>
      <c r="D52" s="131" t="s">
        <v>1893</v>
      </c>
      <c r="E52" s="131" t="s">
        <v>359</v>
      </c>
    </row>
    <row r="53" spans="1:5">
      <c r="A53" s="131" t="s">
        <v>360</v>
      </c>
      <c r="B53" s="131" t="s">
        <v>1894</v>
      </c>
      <c r="D53" s="131" t="s">
        <v>1894</v>
      </c>
      <c r="E53" s="131" t="s">
        <v>360</v>
      </c>
    </row>
    <row r="54" spans="1:5">
      <c r="A54" s="131" t="s">
        <v>856</v>
      </c>
      <c r="B54" s="131" t="s">
        <v>1895</v>
      </c>
      <c r="D54" s="131" t="s">
        <v>1895</v>
      </c>
      <c r="E54" s="131" t="s">
        <v>856</v>
      </c>
    </row>
    <row r="55" spans="1:5">
      <c r="A55" s="131" t="s">
        <v>361</v>
      </c>
      <c r="B55" s="131" t="s">
        <v>1896</v>
      </c>
      <c r="D55" s="131" t="s">
        <v>1896</v>
      </c>
      <c r="E55" s="131" t="s">
        <v>361</v>
      </c>
    </row>
    <row r="56" spans="1:5">
      <c r="A56" s="131" t="s">
        <v>362</v>
      </c>
      <c r="B56" s="131" t="s">
        <v>2419</v>
      </c>
      <c r="D56" s="131" t="s">
        <v>2419</v>
      </c>
      <c r="E56" s="131" t="s">
        <v>362</v>
      </c>
    </row>
    <row r="57" spans="1:5">
      <c r="A57" s="131" t="s">
        <v>363</v>
      </c>
      <c r="B57" s="131" t="s">
        <v>1897</v>
      </c>
      <c r="D57" s="131" t="s">
        <v>1897</v>
      </c>
      <c r="E57" s="131" t="s">
        <v>363</v>
      </c>
    </row>
    <row r="58" spans="1:5">
      <c r="A58" s="131" t="s">
        <v>364</v>
      </c>
      <c r="B58" s="131" t="s">
        <v>1898</v>
      </c>
      <c r="D58" s="131" t="s">
        <v>1898</v>
      </c>
      <c r="E58" s="131" t="s">
        <v>364</v>
      </c>
    </row>
    <row r="59" spans="1:5">
      <c r="A59" s="131" t="s">
        <v>365</v>
      </c>
      <c r="B59" s="131" t="s">
        <v>1899</v>
      </c>
      <c r="D59" s="131" t="s">
        <v>1899</v>
      </c>
      <c r="E59" s="131" t="s">
        <v>365</v>
      </c>
    </row>
    <row r="60" spans="1:5">
      <c r="A60" s="131" t="s">
        <v>366</v>
      </c>
      <c r="B60" s="131" t="s">
        <v>1900</v>
      </c>
      <c r="D60" s="131" t="s">
        <v>1900</v>
      </c>
      <c r="E60" s="131" t="s">
        <v>366</v>
      </c>
    </row>
    <row r="61" spans="1:5">
      <c r="A61" s="131" t="s">
        <v>367</v>
      </c>
      <c r="B61" s="131" t="s">
        <v>1901</v>
      </c>
      <c r="D61" s="131" t="s">
        <v>1901</v>
      </c>
      <c r="E61" s="131" t="s">
        <v>367</v>
      </c>
    </row>
    <row r="62" spans="1:5">
      <c r="A62" s="131" t="s">
        <v>368</v>
      </c>
      <c r="B62" s="131" t="s">
        <v>1902</v>
      </c>
      <c r="D62" s="131" t="s">
        <v>1902</v>
      </c>
      <c r="E62" s="131" t="s">
        <v>368</v>
      </c>
    </row>
    <row r="63" spans="1:5">
      <c r="A63" s="131" t="s">
        <v>369</v>
      </c>
      <c r="B63" s="131" t="s">
        <v>1903</v>
      </c>
      <c r="D63" s="131" t="s">
        <v>1903</v>
      </c>
      <c r="E63" s="131" t="s">
        <v>369</v>
      </c>
    </row>
    <row r="64" spans="1:5">
      <c r="A64" s="131" t="s">
        <v>370</v>
      </c>
      <c r="B64" s="131" t="s">
        <v>1904</v>
      </c>
      <c r="D64" s="131" t="s">
        <v>1904</v>
      </c>
      <c r="E64" s="131" t="s">
        <v>370</v>
      </c>
    </row>
    <row r="65" spans="1:5">
      <c r="A65" s="131" t="s">
        <v>371</v>
      </c>
      <c r="B65" s="131" t="s">
        <v>1905</v>
      </c>
      <c r="D65" s="131" t="s">
        <v>1905</v>
      </c>
      <c r="E65" s="131" t="s">
        <v>371</v>
      </c>
    </row>
    <row r="66" spans="1:5">
      <c r="A66" s="131" t="s">
        <v>372</v>
      </c>
      <c r="B66" s="131" t="s">
        <v>1906</v>
      </c>
      <c r="D66" s="131" t="s">
        <v>1906</v>
      </c>
      <c r="E66" s="131" t="s">
        <v>372</v>
      </c>
    </row>
    <row r="67" spans="1:5">
      <c r="A67" s="131" t="s">
        <v>373</v>
      </c>
      <c r="B67" s="131" t="s">
        <v>1907</v>
      </c>
      <c r="D67" s="131" t="s">
        <v>1907</v>
      </c>
      <c r="E67" s="131" t="s">
        <v>373</v>
      </c>
    </row>
    <row r="68" spans="1:5">
      <c r="A68" s="131" t="s">
        <v>374</v>
      </c>
      <c r="B68" s="131" t="s">
        <v>1908</v>
      </c>
      <c r="D68" s="131" t="s">
        <v>1908</v>
      </c>
      <c r="E68" s="131" t="s">
        <v>374</v>
      </c>
    </row>
    <row r="69" spans="1:5">
      <c r="A69" s="131" t="s">
        <v>375</v>
      </c>
      <c r="B69" s="131" t="s">
        <v>1909</v>
      </c>
      <c r="D69" s="131" t="s">
        <v>1909</v>
      </c>
      <c r="E69" s="131" t="s">
        <v>375</v>
      </c>
    </row>
    <row r="70" spans="1:5">
      <c r="A70" s="131" t="s">
        <v>376</v>
      </c>
      <c r="B70" s="131" t="s">
        <v>1910</v>
      </c>
      <c r="D70" s="131" t="s">
        <v>1910</v>
      </c>
      <c r="E70" s="131" t="s">
        <v>376</v>
      </c>
    </row>
    <row r="71" spans="1:5">
      <c r="A71" s="131" t="s">
        <v>377</v>
      </c>
      <c r="B71" s="131" t="s">
        <v>1911</v>
      </c>
      <c r="D71" s="131" t="s">
        <v>1911</v>
      </c>
      <c r="E71" s="131" t="s">
        <v>377</v>
      </c>
    </row>
    <row r="72" spans="1:5">
      <c r="A72" s="131" t="s">
        <v>378</v>
      </c>
      <c r="B72" s="131" t="s">
        <v>1912</v>
      </c>
      <c r="D72" s="131" t="s">
        <v>1912</v>
      </c>
      <c r="E72" s="131" t="s">
        <v>378</v>
      </c>
    </row>
    <row r="73" spans="1:5">
      <c r="A73" s="131" t="s">
        <v>379</v>
      </c>
      <c r="B73" s="131" t="s">
        <v>1913</v>
      </c>
      <c r="D73" s="131" t="s">
        <v>1913</v>
      </c>
      <c r="E73" s="131" t="s">
        <v>379</v>
      </c>
    </row>
    <row r="74" spans="1:5">
      <c r="A74" s="131" t="s">
        <v>380</v>
      </c>
      <c r="B74" s="131" t="s">
        <v>1914</v>
      </c>
      <c r="D74" s="131" t="s">
        <v>1914</v>
      </c>
      <c r="E74" s="131" t="s">
        <v>380</v>
      </c>
    </row>
    <row r="75" spans="1:5">
      <c r="A75" s="131" t="s">
        <v>381</v>
      </c>
      <c r="B75" s="131" t="s">
        <v>1915</v>
      </c>
      <c r="D75" s="131" t="s">
        <v>1915</v>
      </c>
      <c r="E75" s="131" t="s">
        <v>381</v>
      </c>
    </row>
    <row r="76" spans="1:5">
      <c r="A76" s="131" t="s">
        <v>382</v>
      </c>
      <c r="B76" s="131" t="s">
        <v>1916</v>
      </c>
      <c r="D76" s="131" t="s">
        <v>1916</v>
      </c>
      <c r="E76" s="131" t="s">
        <v>382</v>
      </c>
    </row>
    <row r="77" spans="1:5">
      <c r="A77" s="131" t="s">
        <v>383</v>
      </c>
      <c r="B77" s="131" t="s">
        <v>1917</v>
      </c>
      <c r="D77" s="131" t="s">
        <v>1917</v>
      </c>
      <c r="E77" s="131" t="s">
        <v>383</v>
      </c>
    </row>
    <row r="78" spans="1:5">
      <c r="A78" s="131" t="s">
        <v>384</v>
      </c>
      <c r="B78" s="131" t="s">
        <v>1918</v>
      </c>
      <c r="D78" s="131" t="s">
        <v>1918</v>
      </c>
      <c r="E78" s="131" t="s">
        <v>384</v>
      </c>
    </row>
    <row r="79" spans="1:5">
      <c r="A79" s="131" t="s">
        <v>385</v>
      </c>
      <c r="B79" s="131" t="s">
        <v>1919</v>
      </c>
      <c r="D79" s="131" t="s">
        <v>1919</v>
      </c>
      <c r="E79" s="131" t="s">
        <v>385</v>
      </c>
    </row>
    <row r="80" spans="1:5">
      <c r="A80" s="131" t="s">
        <v>386</v>
      </c>
      <c r="B80" s="131" t="s">
        <v>1920</v>
      </c>
      <c r="D80" s="131" t="s">
        <v>1920</v>
      </c>
      <c r="E80" s="131" t="s">
        <v>386</v>
      </c>
    </row>
    <row r="81" spans="1:5">
      <c r="A81" s="131" t="s">
        <v>387</v>
      </c>
      <c r="B81" s="131" t="s">
        <v>1921</v>
      </c>
      <c r="D81" s="131" t="s">
        <v>1921</v>
      </c>
      <c r="E81" s="131" t="s">
        <v>387</v>
      </c>
    </row>
    <row r="82" spans="1:5">
      <c r="A82" s="131" t="s">
        <v>388</v>
      </c>
      <c r="B82" s="131" t="s">
        <v>1922</v>
      </c>
      <c r="D82" s="131" t="s">
        <v>1922</v>
      </c>
      <c r="E82" s="131" t="s">
        <v>388</v>
      </c>
    </row>
    <row r="83" spans="1:5">
      <c r="A83" s="131" t="s">
        <v>389</v>
      </c>
      <c r="B83" s="131" t="s">
        <v>2420</v>
      </c>
      <c r="D83" s="131" t="s">
        <v>2420</v>
      </c>
      <c r="E83" s="131" t="s">
        <v>389</v>
      </c>
    </row>
    <row r="84" spans="1:5">
      <c r="A84" s="131" t="s">
        <v>390</v>
      </c>
      <c r="B84" s="131" t="s">
        <v>2421</v>
      </c>
      <c r="D84" s="131" t="s">
        <v>2421</v>
      </c>
      <c r="E84" s="131" t="s">
        <v>390</v>
      </c>
    </row>
    <row r="85" spans="1:5">
      <c r="A85" s="131" t="s">
        <v>391</v>
      </c>
      <c r="B85" s="131" t="s">
        <v>1923</v>
      </c>
      <c r="D85" s="131" t="s">
        <v>1923</v>
      </c>
      <c r="E85" s="131" t="s">
        <v>391</v>
      </c>
    </row>
    <row r="86" spans="1:5">
      <c r="A86" s="131" t="s">
        <v>392</v>
      </c>
      <c r="B86" s="131" t="s">
        <v>1924</v>
      </c>
      <c r="D86" s="131" t="s">
        <v>1924</v>
      </c>
      <c r="E86" s="131" t="s">
        <v>392</v>
      </c>
    </row>
    <row r="87" spans="1:5">
      <c r="A87" s="131" t="s">
        <v>393</v>
      </c>
      <c r="B87" s="131" t="s">
        <v>1925</v>
      </c>
      <c r="D87" s="131" t="s">
        <v>1925</v>
      </c>
      <c r="E87" s="131" t="s">
        <v>393</v>
      </c>
    </row>
    <row r="88" spans="1:5">
      <c r="A88" s="131" t="s">
        <v>394</v>
      </c>
      <c r="B88" s="131" t="s">
        <v>1926</v>
      </c>
      <c r="D88" s="131" t="s">
        <v>1926</v>
      </c>
      <c r="E88" s="131" t="s">
        <v>394</v>
      </c>
    </row>
    <row r="89" spans="1:5">
      <c r="A89" s="131" t="s">
        <v>395</v>
      </c>
      <c r="B89" s="131" t="s">
        <v>1927</v>
      </c>
      <c r="D89" s="131" t="s">
        <v>1927</v>
      </c>
      <c r="E89" s="131" t="s">
        <v>395</v>
      </c>
    </row>
    <row r="90" spans="1:5">
      <c r="A90" s="131" t="s">
        <v>396</v>
      </c>
      <c r="B90" s="131" t="s">
        <v>1928</v>
      </c>
      <c r="D90" s="131" t="s">
        <v>1928</v>
      </c>
      <c r="E90" s="131" t="s">
        <v>396</v>
      </c>
    </row>
    <row r="91" spans="1:5">
      <c r="A91" s="131" t="s">
        <v>397</v>
      </c>
      <c r="B91" s="131" t="s">
        <v>1929</v>
      </c>
      <c r="D91" s="131" t="s">
        <v>1929</v>
      </c>
      <c r="E91" s="131" t="s">
        <v>397</v>
      </c>
    </row>
    <row r="92" spans="1:5">
      <c r="A92" s="131" t="s">
        <v>398</v>
      </c>
      <c r="B92" s="131" t="s">
        <v>1930</v>
      </c>
      <c r="D92" s="131" t="s">
        <v>1930</v>
      </c>
      <c r="E92" s="131" t="s">
        <v>398</v>
      </c>
    </row>
    <row r="93" spans="1:5">
      <c r="A93" s="131" t="s">
        <v>399</v>
      </c>
      <c r="B93" s="131" t="s">
        <v>1931</v>
      </c>
      <c r="D93" s="131" t="s">
        <v>1931</v>
      </c>
      <c r="E93" s="131" t="s">
        <v>399</v>
      </c>
    </row>
    <row r="94" spans="1:5">
      <c r="A94" s="131" t="s">
        <v>400</v>
      </c>
      <c r="B94" s="131" t="s">
        <v>1932</v>
      </c>
      <c r="D94" s="131" t="s">
        <v>1932</v>
      </c>
      <c r="E94" s="131" t="s">
        <v>400</v>
      </c>
    </row>
    <row r="95" spans="1:5">
      <c r="A95" s="131" t="s">
        <v>401</v>
      </c>
      <c r="B95" s="131" t="s">
        <v>1933</v>
      </c>
      <c r="D95" s="131" t="s">
        <v>1933</v>
      </c>
      <c r="E95" s="131" t="s">
        <v>401</v>
      </c>
    </row>
    <row r="96" spans="1:5">
      <c r="A96" s="131" t="s">
        <v>402</v>
      </c>
      <c r="B96" s="131" t="s">
        <v>1934</v>
      </c>
      <c r="D96" s="131" t="s">
        <v>1934</v>
      </c>
      <c r="E96" s="131" t="s">
        <v>402</v>
      </c>
    </row>
    <row r="97" spans="1:5">
      <c r="A97" s="131" t="s">
        <v>403</v>
      </c>
      <c r="B97" s="131" t="s">
        <v>1935</v>
      </c>
      <c r="D97" s="131" t="s">
        <v>1935</v>
      </c>
      <c r="E97" s="131" t="s">
        <v>403</v>
      </c>
    </row>
    <row r="98" spans="1:5">
      <c r="A98" s="131" t="s">
        <v>404</v>
      </c>
      <c r="B98" s="131" t="s">
        <v>1936</v>
      </c>
      <c r="D98" s="131" t="s">
        <v>1936</v>
      </c>
      <c r="E98" s="131" t="s">
        <v>404</v>
      </c>
    </row>
    <row r="99" spans="1:5">
      <c r="A99" s="131" t="s">
        <v>405</v>
      </c>
      <c r="B99" s="131" t="s">
        <v>1937</v>
      </c>
      <c r="D99" s="131" t="s">
        <v>1937</v>
      </c>
      <c r="E99" s="131" t="s">
        <v>405</v>
      </c>
    </row>
    <row r="100" spans="1:5">
      <c r="A100" s="131" t="s">
        <v>406</v>
      </c>
      <c r="B100" s="131" t="s">
        <v>1938</v>
      </c>
      <c r="D100" s="131" t="s">
        <v>1938</v>
      </c>
      <c r="E100" s="131" t="s">
        <v>406</v>
      </c>
    </row>
    <row r="101" spans="1:5">
      <c r="A101" s="131" t="s">
        <v>407</v>
      </c>
      <c r="B101" s="131" t="s">
        <v>1939</v>
      </c>
      <c r="D101" s="131" t="s">
        <v>1939</v>
      </c>
      <c r="E101" s="131" t="s">
        <v>407</v>
      </c>
    </row>
    <row r="102" spans="1:5">
      <c r="A102" s="131" t="s">
        <v>408</v>
      </c>
      <c r="B102" s="131" t="s">
        <v>1940</v>
      </c>
      <c r="D102" s="131" t="s">
        <v>1940</v>
      </c>
      <c r="E102" s="131" t="s">
        <v>408</v>
      </c>
    </row>
    <row r="103" spans="1:5">
      <c r="A103" s="131" t="s">
        <v>409</v>
      </c>
      <c r="B103" s="131" t="s">
        <v>1941</v>
      </c>
      <c r="D103" s="131" t="s">
        <v>1941</v>
      </c>
      <c r="E103" s="131" t="s">
        <v>409</v>
      </c>
    </row>
    <row r="104" spans="1:5">
      <c r="A104" s="131" t="s">
        <v>410</v>
      </c>
      <c r="B104" s="131" t="s">
        <v>1942</v>
      </c>
      <c r="D104" s="131" t="s">
        <v>1942</v>
      </c>
      <c r="E104" s="131" t="s">
        <v>410</v>
      </c>
    </row>
    <row r="105" spans="1:5">
      <c r="A105" s="131" t="s">
        <v>411</v>
      </c>
      <c r="B105" s="131" t="s">
        <v>1943</v>
      </c>
      <c r="D105" s="131" t="s">
        <v>1943</v>
      </c>
      <c r="E105" s="131" t="s">
        <v>411</v>
      </c>
    </row>
    <row r="106" spans="1:5">
      <c r="A106" s="131" t="s">
        <v>412</v>
      </c>
      <c r="B106" s="131" t="s">
        <v>1944</v>
      </c>
      <c r="D106" s="131" t="s">
        <v>1944</v>
      </c>
      <c r="E106" s="131" t="s">
        <v>412</v>
      </c>
    </row>
    <row r="107" spans="1:5">
      <c r="A107" s="131" t="s">
        <v>413</v>
      </c>
      <c r="B107" s="131" t="s">
        <v>2422</v>
      </c>
      <c r="D107" s="131" t="s">
        <v>2422</v>
      </c>
      <c r="E107" s="131" t="s">
        <v>413</v>
      </c>
    </row>
    <row r="108" spans="1:5">
      <c r="A108" s="131" t="s">
        <v>414</v>
      </c>
      <c r="B108" s="131" t="s">
        <v>2423</v>
      </c>
      <c r="D108" s="131" t="s">
        <v>2423</v>
      </c>
      <c r="E108" s="131" t="s">
        <v>414</v>
      </c>
    </row>
    <row r="109" spans="1:5">
      <c r="A109" s="131" t="s">
        <v>415</v>
      </c>
      <c r="B109" s="131" t="s">
        <v>1945</v>
      </c>
      <c r="D109" s="131" t="s">
        <v>1945</v>
      </c>
      <c r="E109" s="131" t="s">
        <v>415</v>
      </c>
    </row>
    <row r="110" spans="1:5">
      <c r="A110" s="131" t="s">
        <v>416</v>
      </c>
      <c r="B110" s="131" t="s">
        <v>1946</v>
      </c>
      <c r="D110" s="131" t="s">
        <v>1946</v>
      </c>
      <c r="E110" s="131" t="s">
        <v>416</v>
      </c>
    </row>
    <row r="111" spans="1:5">
      <c r="A111" s="131" t="s">
        <v>417</v>
      </c>
      <c r="B111" s="131" t="s">
        <v>1947</v>
      </c>
      <c r="D111" s="131" t="s">
        <v>1947</v>
      </c>
      <c r="E111" s="131" t="s">
        <v>417</v>
      </c>
    </row>
    <row r="112" spans="1:5">
      <c r="A112" s="131" t="s">
        <v>418</v>
      </c>
      <c r="B112" s="131" t="s">
        <v>1948</v>
      </c>
      <c r="D112" s="131" t="s">
        <v>1948</v>
      </c>
      <c r="E112" s="131" t="s">
        <v>418</v>
      </c>
    </row>
    <row r="113" spans="1:5">
      <c r="A113" s="131" t="s">
        <v>419</v>
      </c>
      <c r="B113" s="131" t="s">
        <v>1949</v>
      </c>
      <c r="D113" s="131" t="s">
        <v>1949</v>
      </c>
      <c r="E113" s="131" t="s">
        <v>419</v>
      </c>
    </row>
    <row r="114" spans="1:5">
      <c r="A114" s="131" t="s">
        <v>420</v>
      </c>
      <c r="B114" s="131" t="s">
        <v>1950</v>
      </c>
      <c r="D114" s="131" t="s">
        <v>1950</v>
      </c>
      <c r="E114" s="131" t="s">
        <v>420</v>
      </c>
    </row>
    <row r="115" spans="1:5">
      <c r="A115" s="131" t="s">
        <v>421</v>
      </c>
      <c r="B115" s="131" t="s">
        <v>1951</v>
      </c>
      <c r="D115" s="131" t="s">
        <v>1951</v>
      </c>
      <c r="E115" s="131" t="s">
        <v>421</v>
      </c>
    </row>
    <row r="116" spans="1:5">
      <c r="A116" s="131" t="s">
        <v>422</v>
      </c>
      <c r="B116" s="131" t="s">
        <v>1952</v>
      </c>
      <c r="D116" s="131" t="s">
        <v>1952</v>
      </c>
      <c r="E116" s="131" t="s">
        <v>422</v>
      </c>
    </row>
    <row r="117" spans="1:5">
      <c r="A117" s="131" t="s">
        <v>423</v>
      </c>
      <c r="B117" s="131" t="s">
        <v>1953</v>
      </c>
      <c r="D117" s="131" t="s">
        <v>1953</v>
      </c>
      <c r="E117" s="131" t="s">
        <v>423</v>
      </c>
    </row>
    <row r="118" spans="1:5">
      <c r="A118" s="131" t="s">
        <v>857</v>
      </c>
      <c r="B118" s="131" t="s">
        <v>1954</v>
      </c>
      <c r="D118" s="131" t="s">
        <v>1954</v>
      </c>
      <c r="E118" s="131" t="s">
        <v>857</v>
      </c>
    </row>
    <row r="119" spans="1:5">
      <c r="A119" s="131" t="s">
        <v>424</v>
      </c>
      <c r="B119" s="131" t="s">
        <v>2424</v>
      </c>
      <c r="D119" s="131" t="s">
        <v>2424</v>
      </c>
      <c r="E119" s="131" t="s">
        <v>424</v>
      </c>
    </row>
    <row r="120" spans="1:5">
      <c r="A120" s="131" t="s">
        <v>425</v>
      </c>
      <c r="B120" s="131" t="s">
        <v>2425</v>
      </c>
      <c r="D120" s="131" t="s">
        <v>2425</v>
      </c>
      <c r="E120" s="131" t="s">
        <v>425</v>
      </c>
    </row>
    <row r="121" spans="1:5">
      <c r="A121" s="131" t="s">
        <v>426</v>
      </c>
      <c r="B121" s="131" t="s">
        <v>2426</v>
      </c>
      <c r="D121" s="131" t="s">
        <v>2426</v>
      </c>
      <c r="E121" s="131" t="s">
        <v>426</v>
      </c>
    </row>
    <row r="122" spans="1:5">
      <c r="A122" s="131" t="s">
        <v>427</v>
      </c>
      <c r="B122" s="131" t="s">
        <v>2427</v>
      </c>
      <c r="D122" s="131" t="s">
        <v>2427</v>
      </c>
      <c r="E122" s="131" t="s">
        <v>427</v>
      </c>
    </row>
    <row r="123" spans="1:5">
      <c r="A123" s="131" t="s">
        <v>428</v>
      </c>
      <c r="B123" s="131" t="s">
        <v>2428</v>
      </c>
      <c r="D123" s="131" t="s">
        <v>2428</v>
      </c>
      <c r="E123" s="131" t="s">
        <v>428</v>
      </c>
    </row>
    <row r="124" spans="1:5">
      <c r="A124" s="131" t="s">
        <v>429</v>
      </c>
      <c r="B124" s="131" t="s">
        <v>2429</v>
      </c>
      <c r="D124" s="131" t="s">
        <v>2429</v>
      </c>
      <c r="E124" s="131" t="s">
        <v>429</v>
      </c>
    </row>
    <row r="125" spans="1:5">
      <c r="A125" s="131" t="s">
        <v>430</v>
      </c>
      <c r="B125" s="131" t="s">
        <v>1955</v>
      </c>
      <c r="D125" s="131" t="s">
        <v>1955</v>
      </c>
      <c r="E125" s="131" t="s">
        <v>430</v>
      </c>
    </row>
    <row r="126" spans="1:5">
      <c r="A126" s="131" t="s">
        <v>431</v>
      </c>
      <c r="B126" s="131" t="s">
        <v>1956</v>
      </c>
      <c r="D126" s="131" t="s">
        <v>1956</v>
      </c>
      <c r="E126" s="131" t="s">
        <v>431</v>
      </c>
    </row>
    <row r="127" spans="1:5">
      <c r="A127" s="131" t="s">
        <v>432</v>
      </c>
      <c r="B127" s="131" t="s">
        <v>1957</v>
      </c>
      <c r="D127" s="131" t="s">
        <v>1957</v>
      </c>
      <c r="E127" s="131" t="s">
        <v>432</v>
      </c>
    </row>
    <row r="128" spans="1:5">
      <c r="A128" s="131" t="s">
        <v>433</v>
      </c>
      <c r="B128" s="131" t="s">
        <v>1958</v>
      </c>
      <c r="D128" s="131" t="s">
        <v>1958</v>
      </c>
      <c r="E128" s="131" t="s">
        <v>433</v>
      </c>
    </row>
    <row r="129" spans="1:5">
      <c r="A129" s="131" t="s">
        <v>434</v>
      </c>
      <c r="B129" s="131" t="s">
        <v>1959</v>
      </c>
      <c r="D129" s="131" t="s">
        <v>1959</v>
      </c>
      <c r="E129" s="131" t="s">
        <v>434</v>
      </c>
    </row>
    <row r="130" spans="1:5">
      <c r="A130" s="131" t="s">
        <v>435</v>
      </c>
      <c r="B130" s="131" t="s">
        <v>1960</v>
      </c>
      <c r="D130" s="131" t="s">
        <v>1960</v>
      </c>
      <c r="E130" s="131" t="s">
        <v>435</v>
      </c>
    </row>
    <row r="131" spans="1:5">
      <c r="A131" s="131" t="s">
        <v>436</v>
      </c>
      <c r="B131" s="131" t="s">
        <v>1961</v>
      </c>
      <c r="D131" s="131" t="s">
        <v>1961</v>
      </c>
      <c r="E131" s="131" t="s">
        <v>436</v>
      </c>
    </row>
    <row r="132" spans="1:5">
      <c r="A132" s="131" t="s">
        <v>437</v>
      </c>
      <c r="B132" s="131" t="s">
        <v>1962</v>
      </c>
      <c r="D132" s="131" t="s">
        <v>1962</v>
      </c>
      <c r="E132" s="131" t="s">
        <v>437</v>
      </c>
    </row>
    <row r="133" spans="1:5">
      <c r="A133" s="131" t="s">
        <v>438</v>
      </c>
      <c r="B133" s="131" t="s">
        <v>1963</v>
      </c>
      <c r="D133" s="131" t="s">
        <v>1963</v>
      </c>
      <c r="E133" s="131" t="s">
        <v>438</v>
      </c>
    </row>
    <row r="134" spans="1:5">
      <c r="A134" s="131" t="s">
        <v>439</v>
      </c>
      <c r="B134" s="131" t="s">
        <v>1964</v>
      </c>
      <c r="D134" s="131" t="s">
        <v>1964</v>
      </c>
      <c r="E134" s="131" t="s">
        <v>439</v>
      </c>
    </row>
    <row r="135" spans="1:5">
      <c r="A135" s="131" t="s">
        <v>440</v>
      </c>
      <c r="B135" s="131" t="s">
        <v>1965</v>
      </c>
      <c r="D135" s="131" t="s">
        <v>1965</v>
      </c>
      <c r="E135" s="131" t="s">
        <v>440</v>
      </c>
    </row>
    <row r="136" spans="1:5">
      <c r="A136" s="131" t="s">
        <v>441</v>
      </c>
      <c r="B136" s="131" t="s">
        <v>1966</v>
      </c>
      <c r="D136" s="131" t="s">
        <v>1966</v>
      </c>
      <c r="E136" s="131" t="s">
        <v>441</v>
      </c>
    </row>
    <row r="137" spans="1:5">
      <c r="A137" s="131" t="s">
        <v>442</v>
      </c>
      <c r="B137" s="131" t="s">
        <v>1967</v>
      </c>
      <c r="D137" s="131" t="s">
        <v>1967</v>
      </c>
      <c r="E137" s="131" t="s">
        <v>442</v>
      </c>
    </row>
    <row r="138" spans="1:5">
      <c r="A138" s="131" t="s">
        <v>443</v>
      </c>
      <c r="B138" s="131" t="s">
        <v>1968</v>
      </c>
      <c r="D138" s="131" t="s">
        <v>1968</v>
      </c>
      <c r="E138" s="131" t="s">
        <v>443</v>
      </c>
    </row>
    <row r="139" spans="1:5">
      <c r="A139" s="131" t="s">
        <v>444</v>
      </c>
      <c r="B139" s="131" t="s">
        <v>1969</v>
      </c>
      <c r="D139" s="131" t="s">
        <v>1969</v>
      </c>
      <c r="E139" s="131" t="s">
        <v>444</v>
      </c>
    </row>
    <row r="140" spans="1:5">
      <c r="A140" s="131" t="s">
        <v>445</v>
      </c>
      <c r="B140" s="131" t="s">
        <v>1970</v>
      </c>
      <c r="D140" s="131" t="s">
        <v>1970</v>
      </c>
      <c r="E140" s="131" t="s">
        <v>445</v>
      </c>
    </row>
    <row r="141" spans="1:5">
      <c r="A141" s="131" t="s">
        <v>446</v>
      </c>
      <c r="B141" s="131" t="s">
        <v>1971</v>
      </c>
      <c r="D141" s="131" t="s">
        <v>1971</v>
      </c>
      <c r="E141" s="131" t="s">
        <v>446</v>
      </c>
    </row>
    <row r="142" spans="1:5">
      <c r="A142" s="131" t="s">
        <v>447</v>
      </c>
      <c r="B142" s="131" t="s">
        <v>2430</v>
      </c>
      <c r="D142" s="131" t="s">
        <v>2430</v>
      </c>
      <c r="E142" s="131" t="s">
        <v>447</v>
      </c>
    </row>
    <row r="143" spans="1:5">
      <c r="A143" s="131" t="s">
        <v>448</v>
      </c>
      <c r="B143" s="131" t="s">
        <v>1972</v>
      </c>
      <c r="D143" s="131" t="s">
        <v>1972</v>
      </c>
      <c r="E143" s="131" t="s">
        <v>448</v>
      </c>
    </row>
    <row r="144" spans="1:5">
      <c r="A144" s="131" t="s">
        <v>449</v>
      </c>
      <c r="B144" s="131" t="s">
        <v>1973</v>
      </c>
      <c r="D144" s="131" t="s">
        <v>1973</v>
      </c>
      <c r="E144" s="131" t="s">
        <v>449</v>
      </c>
    </row>
    <row r="145" spans="1:5">
      <c r="A145" s="131" t="s">
        <v>450</v>
      </c>
      <c r="B145" s="131" t="s">
        <v>1974</v>
      </c>
      <c r="D145" s="131" t="s">
        <v>1974</v>
      </c>
      <c r="E145" s="131" t="s">
        <v>450</v>
      </c>
    </row>
    <row r="146" spans="1:5">
      <c r="A146" s="131" t="s">
        <v>451</v>
      </c>
      <c r="B146" s="131" t="s">
        <v>1975</v>
      </c>
      <c r="D146" s="131" t="s">
        <v>1975</v>
      </c>
      <c r="E146" s="131" t="s">
        <v>451</v>
      </c>
    </row>
    <row r="147" spans="1:5">
      <c r="A147" s="131" t="s">
        <v>452</v>
      </c>
      <c r="B147" s="131" t="s">
        <v>1976</v>
      </c>
      <c r="D147" s="131" t="s">
        <v>1976</v>
      </c>
      <c r="E147" s="131" t="s">
        <v>452</v>
      </c>
    </row>
    <row r="148" spans="1:5">
      <c r="A148" s="131" t="s">
        <v>453</v>
      </c>
      <c r="B148" s="131" t="s">
        <v>1977</v>
      </c>
      <c r="D148" s="131" t="s">
        <v>1977</v>
      </c>
      <c r="E148" s="131" t="s">
        <v>453</v>
      </c>
    </row>
    <row r="149" spans="1:5">
      <c r="A149" s="131" t="s">
        <v>454</v>
      </c>
      <c r="B149" s="131" t="s">
        <v>1978</v>
      </c>
      <c r="D149" s="131" t="s">
        <v>1978</v>
      </c>
      <c r="E149" s="131" t="s">
        <v>454</v>
      </c>
    </row>
    <row r="150" spans="1:5">
      <c r="A150" s="131" t="s">
        <v>455</v>
      </c>
      <c r="B150" s="131" t="s">
        <v>1979</v>
      </c>
      <c r="D150" s="131" t="s">
        <v>1979</v>
      </c>
      <c r="E150" s="131" t="s">
        <v>455</v>
      </c>
    </row>
    <row r="151" spans="1:5">
      <c r="A151" s="131" t="s">
        <v>456</v>
      </c>
      <c r="B151" s="131" t="s">
        <v>2431</v>
      </c>
      <c r="D151" s="131" t="s">
        <v>2431</v>
      </c>
      <c r="E151" s="131" t="s">
        <v>456</v>
      </c>
    </row>
    <row r="152" spans="1:5">
      <c r="A152" s="131" t="s">
        <v>858</v>
      </c>
      <c r="B152" s="131" t="s">
        <v>1980</v>
      </c>
      <c r="D152" s="131" t="s">
        <v>1980</v>
      </c>
      <c r="E152" s="131" t="s">
        <v>858</v>
      </c>
    </row>
    <row r="153" spans="1:5">
      <c r="A153" s="131" t="s">
        <v>457</v>
      </c>
      <c r="B153" s="131" t="s">
        <v>1981</v>
      </c>
      <c r="D153" s="131" t="s">
        <v>1981</v>
      </c>
      <c r="E153" s="131" t="s">
        <v>457</v>
      </c>
    </row>
    <row r="154" spans="1:5">
      <c r="A154" s="131" t="s">
        <v>458</v>
      </c>
      <c r="B154" s="131" t="s">
        <v>1982</v>
      </c>
      <c r="D154" s="131" t="s">
        <v>1982</v>
      </c>
      <c r="E154" s="131" t="s">
        <v>458</v>
      </c>
    </row>
    <row r="155" spans="1:5">
      <c r="A155" s="131" t="s">
        <v>459</v>
      </c>
      <c r="B155" s="131" t="s">
        <v>1983</v>
      </c>
      <c r="D155" s="131" t="s">
        <v>1983</v>
      </c>
      <c r="E155" s="131" t="s">
        <v>459</v>
      </c>
    </row>
    <row r="156" spans="1:5">
      <c r="A156" s="131" t="s">
        <v>460</v>
      </c>
      <c r="B156" s="131" t="s">
        <v>1984</v>
      </c>
      <c r="D156" s="131" t="s">
        <v>1984</v>
      </c>
      <c r="E156" s="131" t="s">
        <v>460</v>
      </c>
    </row>
    <row r="157" spans="1:5">
      <c r="A157" s="131" t="s">
        <v>461</v>
      </c>
      <c r="B157" s="131" t="s">
        <v>1985</v>
      </c>
      <c r="D157" s="131" t="s">
        <v>1985</v>
      </c>
      <c r="E157" s="131" t="s">
        <v>461</v>
      </c>
    </row>
    <row r="158" spans="1:5">
      <c r="A158" s="131" t="s">
        <v>462</v>
      </c>
      <c r="B158" s="131" t="s">
        <v>1986</v>
      </c>
      <c r="D158" s="131" t="s">
        <v>1986</v>
      </c>
      <c r="E158" s="131" t="s">
        <v>462</v>
      </c>
    </row>
    <row r="159" spans="1:5">
      <c r="A159" s="131" t="s">
        <v>463</v>
      </c>
      <c r="B159" s="131" t="s">
        <v>1987</v>
      </c>
      <c r="D159" s="131" t="s">
        <v>1987</v>
      </c>
      <c r="E159" s="131" t="s">
        <v>463</v>
      </c>
    </row>
    <row r="160" spans="1:5">
      <c r="A160" s="131" t="s">
        <v>464</v>
      </c>
      <c r="B160" s="131" t="s">
        <v>1988</v>
      </c>
      <c r="D160" s="131" t="s">
        <v>1988</v>
      </c>
      <c r="E160" s="131" t="s">
        <v>464</v>
      </c>
    </row>
    <row r="161" spans="1:5">
      <c r="A161" s="131" t="s">
        <v>465</v>
      </c>
      <c r="B161" s="131" t="s">
        <v>1989</v>
      </c>
      <c r="D161" s="131" t="s">
        <v>1989</v>
      </c>
      <c r="E161" s="131" t="s">
        <v>465</v>
      </c>
    </row>
    <row r="162" spans="1:5">
      <c r="A162" s="131" t="s">
        <v>466</v>
      </c>
      <c r="B162" s="131" t="s">
        <v>1990</v>
      </c>
      <c r="D162" s="131" t="s">
        <v>1990</v>
      </c>
      <c r="E162" s="131" t="s">
        <v>466</v>
      </c>
    </row>
    <row r="163" spans="1:5">
      <c r="A163" s="131" t="s">
        <v>467</v>
      </c>
      <c r="B163" s="131" t="s">
        <v>1991</v>
      </c>
      <c r="D163" s="131" t="s">
        <v>1991</v>
      </c>
      <c r="E163" s="131" t="s">
        <v>467</v>
      </c>
    </row>
    <row r="164" spans="1:5">
      <c r="A164" s="131" t="s">
        <v>468</v>
      </c>
      <c r="B164" s="131" t="s">
        <v>1992</v>
      </c>
      <c r="D164" s="131" t="s">
        <v>1992</v>
      </c>
      <c r="E164" s="131" t="s">
        <v>468</v>
      </c>
    </row>
    <row r="165" spans="1:5">
      <c r="A165" s="131" t="s">
        <v>469</v>
      </c>
      <c r="B165" s="131" t="s">
        <v>1993</v>
      </c>
      <c r="D165" s="131" t="s">
        <v>1993</v>
      </c>
      <c r="E165" s="131" t="s">
        <v>469</v>
      </c>
    </row>
    <row r="166" spans="1:5">
      <c r="A166" s="131" t="s">
        <v>470</v>
      </c>
      <c r="B166" s="131" t="s">
        <v>1994</v>
      </c>
      <c r="D166" s="131" t="s">
        <v>1994</v>
      </c>
      <c r="E166" s="131" t="s">
        <v>470</v>
      </c>
    </row>
    <row r="167" spans="1:5">
      <c r="A167" s="131" t="s">
        <v>471</v>
      </c>
      <c r="B167" s="131" t="s">
        <v>1995</v>
      </c>
      <c r="D167" s="131" t="s">
        <v>1995</v>
      </c>
      <c r="E167" s="131" t="s">
        <v>471</v>
      </c>
    </row>
    <row r="168" spans="1:5">
      <c r="A168" s="131" t="s">
        <v>472</v>
      </c>
      <c r="B168" s="131" t="s">
        <v>1996</v>
      </c>
      <c r="D168" s="131" t="s">
        <v>1996</v>
      </c>
      <c r="E168" s="131" t="s">
        <v>472</v>
      </c>
    </row>
    <row r="169" spans="1:5">
      <c r="A169" s="131" t="s">
        <v>473</v>
      </c>
      <c r="B169" s="131" t="s">
        <v>1997</v>
      </c>
      <c r="D169" s="131" t="s">
        <v>1997</v>
      </c>
      <c r="E169" s="131" t="s">
        <v>473</v>
      </c>
    </row>
    <row r="170" spans="1:5">
      <c r="A170" s="131" t="s">
        <v>474</v>
      </c>
      <c r="B170" s="131" t="s">
        <v>1998</v>
      </c>
      <c r="D170" s="131" t="s">
        <v>1998</v>
      </c>
      <c r="E170" s="131" t="s">
        <v>474</v>
      </c>
    </row>
    <row r="171" spans="1:5">
      <c r="A171" s="131" t="s">
        <v>475</v>
      </c>
      <c r="B171" s="131" t="s">
        <v>1999</v>
      </c>
      <c r="D171" s="131" t="s">
        <v>1999</v>
      </c>
      <c r="E171" s="131" t="s">
        <v>475</v>
      </c>
    </row>
    <row r="172" spans="1:5">
      <c r="A172" s="131" t="s">
        <v>476</v>
      </c>
      <c r="B172" s="131" t="s">
        <v>2000</v>
      </c>
      <c r="D172" s="131" t="s">
        <v>2000</v>
      </c>
      <c r="E172" s="131" t="s">
        <v>476</v>
      </c>
    </row>
    <row r="173" spans="1:5">
      <c r="A173" s="131" t="s">
        <v>477</v>
      </c>
      <c r="B173" s="131" t="s">
        <v>2001</v>
      </c>
      <c r="D173" s="131" t="s">
        <v>2001</v>
      </c>
      <c r="E173" s="131" t="s">
        <v>477</v>
      </c>
    </row>
    <row r="174" spans="1:5">
      <c r="A174" s="131" t="s">
        <v>478</v>
      </c>
      <c r="B174" s="131" t="s">
        <v>2002</v>
      </c>
      <c r="D174" s="131" t="s">
        <v>2002</v>
      </c>
      <c r="E174" s="131" t="s">
        <v>478</v>
      </c>
    </row>
    <row r="175" spans="1:5">
      <c r="A175" s="131" t="s">
        <v>479</v>
      </c>
      <c r="B175" s="131" t="s">
        <v>2003</v>
      </c>
      <c r="D175" s="131" t="s">
        <v>2003</v>
      </c>
      <c r="E175" s="131" t="s">
        <v>479</v>
      </c>
    </row>
    <row r="176" spans="1:5">
      <c r="A176" s="131" t="s">
        <v>480</v>
      </c>
      <c r="B176" s="131" t="s">
        <v>2004</v>
      </c>
      <c r="D176" s="131" t="s">
        <v>2004</v>
      </c>
      <c r="E176" s="131" t="s">
        <v>480</v>
      </c>
    </row>
    <row r="177" spans="1:5">
      <c r="A177" s="131" t="s">
        <v>481</v>
      </c>
      <c r="B177" s="131" t="s">
        <v>2005</v>
      </c>
      <c r="D177" s="131" t="s">
        <v>2005</v>
      </c>
      <c r="E177" s="131" t="s">
        <v>481</v>
      </c>
    </row>
    <row r="178" spans="1:5">
      <c r="A178" s="131" t="s">
        <v>482</v>
      </c>
      <c r="B178" s="131" t="s">
        <v>2432</v>
      </c>
      <c r="D178" s="131" t="s">
        <v>2432</v>
      </c>
      <c r="E178" s="131" t="s">
        <v>482</v>
      </c>
    </row>
    <row r="179" spans="1:5">
      <c r="A179" s="131" t="s">
        <v>483</v>
      </c>
      <c r="B179" s="131" t="s">
        <v>2006</v>
      </c>
      <c r="D179" s="131" t="s">
        <v>2006</v>
      </c>
      <c r="E179" s="131" t="s">
        <v>483</v>
      </c>
    </row>
    <row r="180" spans="1:5">
      <c r="A180" s="131" t="s">
        <v>484</v>
      </c>
      <c r="B180" s="131" t="s">
        <v>2007</v>
      </c>
      <c r="D180" s="131" t="s">
        <v>2007</v>
      </c>
      <c r="E180" s="131" t="s">
        <v>484</v>
      </c>
    </row>
    <row r="181" spans="1:5">
      <c r="A181" s="131" t="s">
        <v>485</v>
      </c>
      <c r="B181" s="131" t="s">
        <v>2008</v>
      </c>
      <c r="D181" s="131" t="s">
        <v>2008</v>
      </c>
      <c r="E181" s="131" t="s">
        <v>485</v>
      </c>
    </row>
    <row r="182" spans="1:5">
      <c r="A182" s="131" t="s">
        <v>486</v>
      </c>
      <c r="B182" s="131" t="s">
        <v>2009</v>
      </c>
      <c r="D182" s="131" t="s">
        <v>2009</v>
      </c>
      <c r="E182" s="131" t="s">
        <v>486</v>
      </c>
    </row>
    <row r="183" spans="1:5">
      <c r="A183" s="131" t="s">
        <v>487</v>
      </c>
      <c r="B183" s="131" t="s">
        <v>2010</v>
      </c>
      <c r="D183" s="131" t="s">
        <v>2010</v>
      </c>
      <c r="E183" s="131" t="s">
        <v>487</v>
      </c>
    </row>
    <row r="184" spans="1:5">
      <c r="A184" s="131" t="s">
        <v>488</v>
      </c>
      <c r="B184" s="131" t="s">
        <v>2011</v>
      </c>
      <c r="D184" s="131" t="s">
        <v>2011</v>
      </c>
      <c r="E184" s="131" t="s">
        <v>488</v>
      </c>
    </row>
    <row r="185" spans="1:5">
      <c r="A185" s="131" t="s">
        <v>489</v>
      </c>
      <c r="B185" s="131" t="s">
        <v>2012</v>
      </c>
      <c r="D185" s="131" t="s">
        <v>2012</v>
      </c>
      <c r="E185" s="131" t="s">
        <v>489</v>
      </c>
    </row>
    <row r="186" spans="1:5">
      <c r="A186" s="131" t="s">
        <v>490</v>
      </c>
      <c r="B186" s="131" t="s">
        <v>2433</v>
      </c>
      <c r="D186" s="131" t="s">
        <v>2433</v>
      </c>
      <c r="E186" s="131" t="s">
        <v>490</v>
      </c>
    </row>
    <row r="187" spans="1:5">
      <c r="A187" s="131" t="s">
        <v>491</v>
      </c>
      <c r="B187" s="131" t="s">
        <v>2013</v>
      </c>
      <c r="D187" s="131" t="s">
        <v>2013</v>
      </c>
      <c r="E187" s="131" t="s">
        <v>491</v>
      </c>
    </row>
    <row r="188" spans="1:5">
      <c r="A188" s="131" t="s">
        <v>492</v>
      </c>
      <c r="B188" s="131" t="s">
        <v>2014</v>
      </c>
      <c r="D188" s="131" t="s">
        <v>2014</v>
      </c>
      <c r="E188" s="131" t="s">
        <v>492</v>
      </c>
    </row>
    <row r="189" spans="1:5">
      <c r="A189" s="131" t="s">
        <v>493</v>
      </c>
      <c r="B189" s="131" t="s">
        <v>2015</v>
      </c>
      <c r="D189" s="131" t="s">
        <v>2015</v>
      </c>
      <c r="E189" s="131" t="s">
        <v>493</v>
      </c>
    </row>
    <row r="190" spans="1:5">
      <c r="A190" s="131" t="s">
        <v>494</v>
      </c>
      <c r="B190" s="131" t="s">
        <v>2016</v>
      </c>
      <c r="D190" s="131" t="s">
        <v>2016</v>
      </c>
      <c r="E190" s="131" t="s">
        <v>494</v>
      </c>
    </row>
    <row r="191" spans="1:5">
      <c r="A191" s="131" t="s">
        <v>495</v>
      </c>
      <c r="B191" s="131" t="s">
        <v>2434</v>
      </c>
      <c r="D191" s="131" t="s">
        <v>2434</v>
      </c>
      <c r="E191" s="131" t="s">
        <v>495</v>
      </c>
    </row>
    <row r="192" spans="1:5">
      <c r="A192" s="131" t="s">
        <v>496</v>
      </c>
      <c r="B192" s="131" t="s">
        <v>2017</v>
      </c>
      <c r="D192" s="131" t="s">
        <v>2017</v>
      </c>
      <c r="E192" s="131" t="s">
        <v>496</v>
      </c>
    </row>
    <row r="193" spans="1:5">
      <c r="A193" s="131" t="s">
        <v>497</v>
      </c>
      <c r="B193" s="131" t="s">
        <v>2435</v>
      </c>
      <c r="D193" s="131" t="s">
        <v>2435</v>
      </c>
      <c r="E193" s="131" t="s">
        <v>497</v>
      </c>
    </row>
    <row r="194" spans="1:5">
      <c r="A194" s="131" t="s">
        <v>498</v>
      </c>
      <c r="B194" s="131" t="s">
        <v>2436</v>
      </c>
      <c r="D194" s="131" t="s">
        <v>2436</v>
      </c>
      <c r="E194" s="131" t="s">
        <v>498</v>
      </c>
    </row>
    <row r="195" spans="1:5">
      <c r="A195" s="131" t="s">
        <v>499</v>
      </c>
      <c r="B195" s="131" t="s">
        <v>2018</v>
      </c>
      <c r="D195" s="131" t="s">
        <v>2018</v>
      </c>
      <c r="E195" s="131" t="s">
        <v>499</v>
      </c>
    </row>
    <row r="196" spans="1:5">
      <c r="A196" s="131" t="s">
        <v>500</v>
      </c>
      <c r="B196" s="131" t="s">
        <v>2437</v>
      </c>
      <c r="D196" s="131" t="s">
        <v>2437</v>
      </c>
      <c r="E196" s="131" t="s">
        <v>500</v>
      </c>
    </row>
    <row r="197" spans="1:5">
      <c r="A197" s="131" t="s">
        <v>501</v>
      </c>
      <c r="B197" s="131" t="s">
        <v>2019</v>
      </c>
      <c r="D197" s="131" t="s">
        <v>2019</v>
      </c>
      <c r="E197" s="131" t="s">
        <v>501</v>
      </c>
    </row>
    <row r="198" spans="1:5">
      <c r="A198" s="131" t="s">
        <v>502</v>
      </c>
      <c r="B198" s="131" t="s">
        <v>2020</v>
      </c>
      <c r="D198" s="131" t="s">
        <v>2020</v>
      </c>
      <c r="E198" s="131" t="s">
        <v>502</v>
      </c>
    </row>
    <row r="199" spans="1:5">
      <c r="A199" s="131" t="s">
        <v>503</v>
      </c>
      <c r="B199" s="131" t="s">
        <v>2021</v>
      </c>
      <c r="D199" s="131" t="s">
        <v>2021</v>
      </c>
      <c r="E199" s="131" t="s">
        <v>503</v>
      </c>
    </row>
    <row r="200" spans="1:5">
      <c r="A200" s="131" t="s">
        <v>504</v>
      </c>
      <c r="B200" s="131" t="s">
        <v>2438</v>
      </c>
      <c r="D200" s="131" t="s">
        <v>2438</v>
      </c>
      <c r="E200" s="131" t="s">
        <v>504</v>
      </c>
    </row>
    <row r="201" spans="1:5">
      <c r="A201" s="131" t="s">
        <v>505</v>
      </c>
      <c r="B201" s="131" t="s">
        <v>2022</v>
      </c>
      <c r="D201" s="131" t="s">
        <v>2022</v>
      </c>
      <c r="E201" s="131" t="s">
        <v>505</v>
      </c>
    </row>
    <row r="202" spans="1:5">
      <c r="A202" s="131" t="s">
        <v>506</v>
      </c>
      <c r="B202" s="131" t="s">
        <v>2023</v>
      </c>
      <c r="D202" s="131" t="s">
        <v>2023</v>
      </c>
      <c r="E202" s="131" t="s">
        <v>506</v>
      </c>
    </row>
    <row r="203" spans="1:5">
      <c r="A203" s="131" t="s">
        <v>507</v>
      </c>
      <c r="B203" s="131" t="s">
        <v>2439</v>
      </c>
      <c r="D203" s="131" t="s">
        <v>2439</v>
      </c>
      <c r="E203" s="131" t="s">
        <v>507</v>
      </c>
    </row>
    <row r="204" spans="1:5">
      <c r="A204" s="131" t="s">
        <v>508</v>
      </c>
      <c r="B204" s="131" t="s">
        <v>2440</v>
      </c>
      <c r="D204" s="131" t="s">
        <v>2440</v>
      </c>
      <c r="E204" s="131" t="s">
        <v>508</v>
      </c>
    </row>
    <row r="205" spans="1:5">
      <c r="A205" s="131" t="s">
        <v>509</v>
      </c>
      <c r="B205" s="131" t="s">
        <v>2441</v>
      </c>
      <c r="D205" s="131" t="s">
        <v>2441</v>
      </c>
      <c r="E205" s="131" t="s">
        <v>509</v>
      </c>
    </row>
    <row r="206" spans="1:5">
      <c r="A206" s="131" t="s">
        <v>510</v>
      </c>
      <c r="B206" s="131" t="s">
        <v>2024</v>
      </c>
      <c r="D206" s="131" t="s">
        <v>2024</v>
      </c>
      <c r="E206" s="131" t="s">
        <v>510</v>
      </c>
    </row>
    <row r="207" spans="1:5">
      <c r="A207" s="131" t="s">
        <v>511</v>
      </c>
      <c r="B207" s="131" t="s">
        <v>2025</v>
      </c>
      <c r="D207" s="131" t="s">
        <v>2025</v>
      </c>
      <c r="E207" s="131" t="s">
        <v>511</v>
      </c>
    </row>
    <row r="208" spans="1:5">
      <c r="A208" s="131" t="s">
        <v>512</v>
      </c>
      <c r="B208" s="131" t="s">
        <v>2026</v>
      </c>
      <c r="D208" s="131" t="s">
        <v>2026</v>
      </c>
      <c r="E208" s="131" t="s">
        <v>512</v>
      </c>
    </row>
    <row r="209" spans="1:5">
      <c r="A209" s="131" t="s">
        <v>513</v>
      </c>
      <c r="B209" s="131" t="s">
        <v>2027</v>
      </c>
      <c r="D209" s="131" t="s">
        <v>2027</v>
      </c>
      <c r="E209" s="131" t="s">
        <v>513</v>
      </c>
    </row>
    <row r="210" spans="1:5">
      <c r="A210" s="131" t="s">
        <v>514</v>
      </c>
      <c r="B210" s="131" t="s">
        <v>2028</v>
      </c>
      <c r="D210" s="131" t="s">
        <v>2028</v>
      </c>
      <c r="E210" s="131" t="s">
        <v>514</v>
      </c>
    </row>
    <row r="211" spans="1:5">
      <c r="A211" s="131" t="s">
        <v>515</v>
      </c>
      <c r="B211" s="131" t="s">
        <v>2029</v>
      </c>
      <c r="D211" s="131" t="s">
        <v>2029</v>
      </c>
      <c r="E211" s="131" t="s">
        <v>515</v>
      </c>
    </row>
    <row r="212" spans="1:5">
      <c r="A212" s="131" t="s">
        <v>516</v>
      </c>
      <c r="B212" s="131" t="s">
        <v>2442</v>
      </c>
      <c r="D212" s="131" t="s">
        <v>2442</v>
      </c>
      <c r="E212" s="131" t="s">
        <v>516</v>
      </c>
    </row>
    <row r="213" spans="1:5">
      <c r="A213" s="131" t="s">
        <v>517</v>
      </c>
      <c r="B213" s="131" t="s">
        <v>2030</v>
      </c>
      <c r="D213" s="131" t="s">
        <v>2030</v>
      </c>
      <c r="E213" s="131" t="s">
        <v>517</v>
      </c>
    </row>
    <row r="214" spans="1:5">
      <c r="A214" s="131" t="s">
        <v>518</v>
      </c>
      <c r="B214" s="131" t="s">
        <v>2031</v>
      </c>
      <c r="D214" s="131" t="s">
        <v>2031</v>
      </c>
      <c r="E214" s="131" t="s">
        <v>518</v>
      </c>
    </row>
    <row r="215" spans="1:5">
      <c r="A215" s="131" t="s">
        <v>519</v>
      </c>
      <c r="B215" s="131" t="s">
        <v>2032</v>
      </c>
      <c r="D215" s="131" t="s">
        <v>2032</v>
      </c>
      <c r="E215" s="131" t="s">
        <v>519</v>
      </c>
    </row>
    <row r="216" spans="1:5">
      <c r="A216" s="131" t="s">
        <v>520</v>
      </c>
      <c r="B216" s="131" t="s">
        <v>2033</v>
      </c>
      <c r="D216" s="131" t="s">
        <v>2033</v>
      </c>
      <c r="E216" s="131" t="s">
        <v>520</v>
      </c>
    </row>
    <row r="217" spans="1:5">
      <c r="A217" s="131" t="s">
        <v>521</v>
      </c>
      <c r="B217" s="131" t="s">
        <v>2034</v>
      </c>
      <c r="D217" s="131" t="s">
        <v>2034</v>
      </c>
      <c r="E217" s="131" t="s">
        <v>521</v>
      </c>
    </row>
    <row r="218" spans="1:5">
      <c r="A218" s="131" t="s">
        <v>522</v>
      </c>
      <c r="B218" s="131" t="s">
        <v>2035</v>
      </c>
      <c r="D218" s="131" t="s">
        <v>2035</v>
      </c>
      <c r="E218" s="131" t="s">
        <v>522</v>
      </c>
    </row>
    <row r="219" spans="1:5">
      <c r="A219" s="131" t="s">
        <v>523</v>
      </c>
      <c r="B219" s="131" t="s">
        <v>2036</v>
      </c>
      <c r="D219" s="131" t="s">
        <v>2036</v>
      </c>
      <c r="E219" s="131" t="s">
        <v>523</v>
      </c>
    </row>
    <row r="220" spans="1:5">
      <c r="A220" s="131" t="s">
        <v>524</v>
      </c>
      <c r="B220" s="131" t="s">
        <v>2037</v>
      </c>
      <c r="D220" s="131" t="s">
        <v>2037</v>
      </c>
      <c r="E220" s="131" t="s">
        <v>524</v>
      </c>
    </row>
    <row r="221" spans="1:5">
      <c r="A221" s="131" t="s">
        <v>525</v>
      </c>
      <c r="B221" s="131" t="s">
        <v>2038</v>
      </c>
      <c r="D221" s="131" t="s">
        <v>2038</v>
      </c>
      <c r="E221" s="131" t="s">
        <v>525</v>
      </c>
    </row>
    <row r="222" spans="1:5">
      <c r="A222" s="131" t="s">
        <v>526</v>
      </c>
      <c r="B222" s="131" t="s">
        <v>2039</v>
      </c>
      <c r="D222" s="131" t="s">
        <v>2039</v>
      </c>
      <c r="E222" s="131" t="s">
        <v>526</v>
      </c>
    </row>
    <row r="223" spans="1:5">
      <c r="A223" s="131" t="s">
        <v>527</v>
      </c>
      <c r="B223" s="131" t="s">
        <v>2040</v>
      </c>
      <c r="D223" s="131" t="s">
        <v>2040</v>
      </c>
      <c r="E223" s="131" t="s">
        <v>527</v>
      </c>
    </row>
    <row r="224" spans="1:5">
      <c r="A224" s="131" t="s">
        <v>528</v>
      </c>
      <c r="B224" s="131" t="s">
        <v>2443</v>
      </c>
      <c r="D224" s="131" t="s">
        <v>2443</v>
      </c>
      <c r="E224" s="131" t="s">
        <v>528</v>
      </c>
    </row>
    <row r="225" spans="1:5">
      <c r="A225" s="131" t="s">
        <v>529</v>
      </c>
      <c r="B225" s="131" t="s">
        <v>2041</v>
      </c>
      <c r="D225" s="131" t="s">
        <v>2041</v>
      </c>
      <c r="E225" s="131" t="s">
        <v>529</v>
      </c>
    </row>
    <row r="226" spans="1:5">
      <c r="A226" s="131" t="s">
        <v>530</v>
      </c>
      <c r="B226" s="131" t="s">
        <v>2042</v>
      </c>
      <c r="D226" s="131" t="s">
        <v>2042</v>
      </c>
      <c r="E226" s="131" t="s">
        <v>530</v>
      </c>
    </row>
    <row r="227" spans="1:5">
      <c r="A227" s="131" t="s">
        <v>531</v>
      </c>
      <c r="B227" s="131" t="s">
        <v>2043</v>
      </c>
      <c r="D227" s="131" t="s">
        <v>2043</v>
      </c>
      <c r="E227" s="131" t="s">
        <v>531</v>
      </c>
    </row>
    <row r="228" spans="1:5">
      <c r="A228" s="131" t="s">
        <v>532</v>
      </c>
      <c r="B228" s="131" t="s">
        <v>2044</v>
      </c>
      <c r="D228" s="131" t="s">
        <v>2044</v>
      </c>
      <c r="E228" s="131" t="s">
        <v>532</v>
      </c>
    </row>
    <row r="229" spans="1:5">
      <c r="A229" s="131" t="s">
        <v>533</v>
      </c>
      <c r="B229" s="131" t="s">
        <v>2045</v>
      </c>
      <c r="D229" s="131" t="s">
        <v>2045</v>
      </c>
      <c r="E229" s="131" t="s">
        <v>533</v>
      </c>
    </row>
    <row r="230" spans="1:5">
      <c r="A230" s="131" t="s">
        <v>534</v>
      </c>
      <c r="B230" s="131" t="s">
        <v>2046</v>
      </c>
      <c r="D230" s="131" t="s">
        <v>2046</v>
      </c>
      <c r="E230" s="131" t="s">
        <v>534</v>
      </c>
    </row>
    <row r="231" spans="1:5">
      <c r="A231" s="131" t="s">
        <v>535</v>
      </c>
      <c r="B231" s="131" t="s">
        <v>2047</v>
      </c>
      <c r="D231" s="131" t="s">
        <v>2047</v>
      </c>
      <c r="E231" s="131" t="s">
        <v>535</v>
      </c>
    </row>
    <row r="232" spans="1:5">
      <c r="A232" s="131" t="s">
        <v>536</v>
      </c>
      <c r="B232" s="131" t="s">
        <v>2048</v>
      </c>
      <c r="D232" s="131" t="s">
        <v>2048</v>
      </c>
      <c r="E232" s="131" t="s">
        <v>536</v>
      </c>
    </row>
    <row r="233" spans="1:5">
      <c r="A233" s="131" t="s">
        <v>537</v>
      </c>
      <c r="B233" s="131" t="s">
        <v>2049</v>
      </c>
      <c r="D233" s="131" t="s">
        <v>2049</v>
      </c>
      <c r="E233" s="131" t="s">
        <v>537</v>
      </c>
    </row>
    <row r="234" spans="1:5">
      <c r="A234" s="131" t="s">
        <v>538</v>
      </c>
      <c r="B234" s="131" t="s">
        <v>2050</v>
      </c>
      <c r="D234" s="131" t="s">
        <v>2050</v>
      </c>
      <c r="E234" s="131" t="s">
        <v>538</v>
      </c>
    </row>
    <row r="235" spans="1:5">
      <c r="A235" s="131" t="s">
        <v>539</v>
      </c>
      <c r="B235" s="131" t="s">
        <v>2051</v>
      </c>
      <c r="D235" s="131" t="s">
        <v>2051</v>
      </c>
      <c r="E235" s="131" t="s">
        <v>539</v>
      </c>
    </row>
    <row r="236" spans="1:5">
      <c r="A236" s="131" t="s">
        <v>540</v>
      </c>
      <c r="B236" s="131" t="s">
        <v>2052</v>
      </c>
      <c r="D236" s="131" t="s">
        <v>2052</v>
      </c>
      <c r="E236" s="131" t="s">
        <v>540</v>
      </c>
    </row>
    <row r="237" spans="1:5">
      <c r="A237" s="131" t="s">
        <v>541</v>
      </c>
      <c r="B237" s="131" t="s">
        <v>2053</v>
      </c>
      <c r="D237" s="131" t="s">
        <v>2053</v>
      </c>
      <c r="E237" s="131" t="s">
        <v>541</v>
      </c>
    </row>
    <row r="238" spans="1:5">
      <c r="A238" s="131" t="s">
        <v>1580</v>
      </c>
      <c r="B238" s="131" t="s">
        <v>2054</v>
      </c>
      <c r="D238" s="131" t="s">
        <v>2054</v>
      </c>
      <c r="E238" s="131" t="s">
        <v>1580</v>
      </c>
    </row>
    <row r="239" spans="1:5">
      <c r="A239" s="131" t="s">
        <v>1809</v>
      </c>
      <c r="B239" s="131" t="s">
        <v>2055</v>
      </c>
      <c r="D239" s="131" t="s">
        <v>2055</v>
      </c>
      <c r="E239" s="131" t="s">
        <v>1809</v>
      </c>
    </row>
    <row r="240" spans="1:5">
      <c r="A240" s="131" t="s">
        <v>1810</v>
      </c>
      <c r="B240" s="131" t="s">
        <v>2056</v>
      </c>
      <c r="D240" s="131" t="s">
        <v>2056</v>
      </c>
      <c r="E240" s="131" t="s">
        <v>1810</v>
      </c>
    </row>
    <row r="241" spans="1:5">
      <c r="A241" s="131" t="s">
        <v>542</v>
      </c>
      <c r="B241" s="131" t="s">
        <v>2057</v>
      </c>
      <c r="D241" s="131" t="s">
        <v>2057</v>
      </c>
      <c r="E241" s="131" t="s">
        <v>542</v>
      </c>
    </row>
    <row r="242" spans="1:5">
      <c r="A242" s="131" t="s">
        <v>543</v>
      </c>
      <c r="B242" s="131" t="s">
        <v>2058</v>
      </c>
      <c r="D242" s="131" t="s">
        <v>2058</v>
      </c>
      <c r="E242" s="131" t="s">
        <v>543</v>
      </c>
    </row>
    <row r="243" spans="1:5">
      <c r="A243" s="131" t="s">
        <v>544</v>
      </c>
      <c r="B243" s="131" t="s">
        <v>2059</v>
      </c>
      <c r="D243" s="131" t="s">
        <v>2059</v>
      </c>
      <c r="E243" s="131" t="s">
        <v>544</v>
      </c>
    </row>
    <row r="244" spans="1:5">
      <c r="A244" s="131" t="s">
        <v>545</v>
      </c>
      <c r="B244" s="131" t="s">
        <v>2060</v>
      </c>
      <c r="D244" s="131" t="s">
        <v>2060</v>
      </c>
      <c r="E244" s="131" t="s">
        <v>545</v>
      </c>
    </row>
    <row r="245" spans="1:5">
      <c r="A245" s="131" t="s">
        <v>546</v>
      </c>
      <c r="B245" s="131" t="s">
        <v>2444</v>
      </c>
      <c r="D245" s="131" t="s">
        <v>2444</v>
      </c>
      <c r="E245" s="131" t="s">
        <v>546</v>
      </c>
    </row>
    <row r="246" spans="1:5">
      <c r="A246" s="131" t="s">
        <v>547</v>
      </c>
      <c r="B246" s="131" t="s">
        <v>2445</v>
      </c>
      <c r="D246" s="131" t="s">
        <v>2445</v>
      </c>
      <c r="E246" s="131" t="s">
        <v>547</v>
      </c>
    </row>
    <row r="247" spans="1:5">
      <c r="A247" s="131" t="s">
        <v>548</v>
      </c>
      <c r="B247" s="131" t="s">
        <v>2061</v>
      </c>
      <c r="D247" s="131" t="s">
        <v>2061</v>
      </c>
      <c r="E247" s="131" t="s">
        <v>548</v>
      </c>
    </row>
    <row r="248" spans="1:5">
      <c r="A248" s="131" t="s">
        <v>549</v>
      </c>
      <c r="B248" s="131" t="s">
        <v>2062</v>
      </c>
      <c r="D248" s="131" t="s">
        <v>2062</v>
      </c>
      <c r="E248" s="131" t="s">
        <v>549</v>
      </c>
    </row>
    <row r="249" spans="1:5">
      <c r="A249" s="131" t="s">
        <v>550</v>
      </c>
      <c r="B249" s="131" t="s">
        <v>2446</v>
      </c>
      <c r="D249" s="131" t="s">
        <v>2446</v>
      </c>
      <c r="E249" s="131" t="s">
        <v>550</v>
      </c>
    </row>
    <row r="250" spans="1:5">
      <c r="A250" s="131" t="s">
        <v>551</v>
      </c>
      <c r="B250" s="131" t="s">
        <v>2063</v>
      </c>
      <c r="D250" s="131" t="s">
        <v>2063</v>
      </c>
      <c r="E250" s="131" t="s">
        <v>551</v>
      </c>
    </row>
    <row r="251" spans="1:5">
      <c r="A251" s="131" t="s">
        <v>552</v>
      </c>
      <c r="B251" s="131" t="s">
        <v>2064</v>
      </c>
      <c r="D251" s="131" t="s">
        <v>2064</v>
      </c>
      <c r="E251" s="131" t="s">
        <v>552</v>
      </c>
    </row>
    <row r="252" spans="1:5">
      <c r="A252" s="131" t="s">
        <v>553</v>
      </c>
      <c r="B252" s="131" t="s">
        <v>2065</v>
      </c>
      <c r="D252" s="131" t="s">
        <v>2065</v>
      </c>
      <c r="E252" s="131" t="s">
        <v>553</v>
      </c>
    </row>
    <row r="253" spans="1:5">
      <c r="A253" s="131" t="s">
        <v>554</v>
      </c>
      <c r="B253" s="131" t="s">
        <v>2066</v>
      </c>
      <c r="D253" s="131" t="s">
        <v>2066</v>
      </c>
      <c r="E253" s="131" t="s">
        <v>554</v>
      </c>
    </row>
    <row r="254" spans="1:5">
      <c r="A254" s="131" t="s">
        <v>555</v>
      </c>
      <c r="B254" s="131" t="s">
        <v>2067</v>
      </c>
      <c r="D254" s="131" t="s">
        <v>2067</v>
      </c>
      <c r="E254" s="131" t="s">
        <v>555</v>
      </c>
    </row>
    <row r="255" spans="1:5">
      <c r="A255" s="131" t="s">
        <v>556</v>
      </c>
      <c r="B255" s="131" t="s">
        <v>2068</v>
      </c>
      <c r="D255" s="131" t="s">
        <v>2068</v>
      </c>
      <c r="E255" s="131" t="s">
        <v>556</v>
      </c>
    </row>
    <row r="256" spans="1:5">
      <c r="A256" s="131" t="s">
        <v>557</v>
      </c>
      <c r="B256" s="131" t="s">
        <v>2069</v>
      </c>
      <c r="D256" s="131" t="s">
        <v>2069</v>
      </c>
      <c r="E256" s="131" t="s">
        <v>557</v>
      </c>
    </row>
    <row r="257" spans="1:5">
      <c r="A257" s="132" t="s">
        <v>2447</v>
      </c>
      <c r="B257" s="132" t="s">
        <v>2448</v>
      </c>
      <c r="D257" s="132" t="s">
        <v>2448</v>
      </c>
      <c r="E257" s="132" t="s">
        <v>2447</v>
      </c>
    </row>
    <row r="258" spans="1:5">
      <c r="A258" s="131" t="s">
        <v>558</v>
      </c>
      <c r="B258" s="131" t="s">
        <v>2070</v>
      </c>
      <c r="D258" s="131" t="s">
        <v>2070</v>
      </c>
      <c r="E258" s="131" t="s">
        <v>558</v>
      </c>
    </row>
    <row r="259" spans="1:5">
      <c r="A259" s="131" t="s">
        <v>559</v>
      </c>
      <c r="B259" s="131" t="s">
        <v>2071</v>
      </c>
      <c r="D259" s="131" t="s">
        <v>2071</v>
      </c>
      <c r="E259" s="131" t="s">
        <v>559</v>
      </c>
    </row>
    <row r="260" spans="1:5">
      <c r="A260" s="131" t="s">
        <v>560</v>
      </c>
      <c r="B260" s="131" t="s">
        <v>2072</v>
      </c>
      <c r="D260" s="131" t="s">
        <v>2072</v>
      </c>
      <c r="E260" s="131" t="s">
        <v>560</v>
      </c>
    </row>
    <row r="261" spans="1:5">
      <c r="A261" s="131" t="s">
        <v>561</v>
      </c>
      <c r="B261" s="131" t="s">
        <v>2073</v>
      </c>
      <c r="D261" s="131" t="s">
        <v>2073</v>
      </c>
      <c r="E261" s="131" t="s">
        <v>561</v>
      </c>
    </row>
    <row r="262" spans="1:5">
      <c r="A262" s="131" t="s">
        <v>562</v>
      </c>
      <c r="B262" s="131" t="s">
        <v>2074</v>
      </c>
      <c r="D262" s="131" t="s">
        <v>2074</v>
      </c>
      <c r="E262" s="131" t="s">
        <v>562</v>
      </c>
    </row>
    <row r="263" spans="1:5">
      <c r="A263" s="131" t="s">
        <v>563</v>
      </c>
      <c r="B263" s="131" t="s">
        <v>2449</v>
      </c>
      <c r="D263" s="131" t="s">
        <v>2449</v>
      </c>
      <c r="E263" s="131" t="s">
        <v>563</v>
      </c>
    </row>
    <row r="264" spans="1:5">
      <c r="A264" s="131" t="s">
        <v>564</v>
      </c>
      <c r="B264" s="131" t="s">
        <v>2075</v>
      </c>
      <c r="D264" s="131" t="s">
        <v>2075</v>
      </c>
      <c r="E264" s="131" t="s">
        <v>564</v>
      </c>
    </row>
    <row r="265" spans="1:5">
      <c r="A265" s="131" t="s">
        <v>565</v>
      </c>
      <c r="B265" s="131" t="s">
        <v>2076</v>
      </c>
      <c r="D265" s="131" t="s">
        <v>2076</v>
      </c>
      <c r="E265" s="131" t="s">
        <v>565</v>
      </c>
    </row>
    <row r="266" spans="1:5">
      <c r="A266" s="131" t="s">
        <v>566</v>
      </c>
      <c r="B266" s="131" t="s">
        <v>2077</v>
      </c>
      <c r="D266" s="131" t="s">
        <v>2077</v>
      </c>
      <c r="E266" s="131" t="s">
        <v>566</v>
      </c>
    </row>
    <row r="267" spans="1:5">
      <c r="A267" s="131" t="s">
        <v>567</v>
      </c>
      <c r="B267" s="131" t="s">
        <v>2078</v>
      </c>
      <c r="D267" s="131" t="s">
        <v>2078</v>
      </c>
      <c r="E267" s="131" t="s">
        <v>567</v>
      </c>
    </row>
    <row r="268" spans="1:5">
      <c r="A268" s="131" t="s">
        <v>568</v>
      </c>
      <c r="B268" s="131" t="s">
        <v>2079</v>
      </c>
      <c r="D268" s="131" t="s">
        <v>2079</v>
      </c>
      <c r="E268" s="131" t="s">
        <v>568</v>
      </c>
    </row>
    <row r="269" spans="1:5">
      <c r="A269" s="132" t="s">
        <v>2450</v>
      </c>
      <c r="B269" s="132" t="s">
        <v>2451</v>
      </c>
      <c r="D269" s="132" t="s">
        <v>2451</v>
      </c>
      <c r="E269" s="132" t="s">
        <v>2450</v>
      </c>
    </row>
    <row r="270" spans="1:5">
      <c r="A270" s="131" t="s">
        <v>569</v>
      </c>
      <c r="B270" s="131" t="s">
        <v>2080</v>
      </c>
      <c r="D270" s="131" t="s">
        <v>2080</v>
      </c>
      <c r="E270" s="131" t="s">
        <v>569</v>
      </c>
    </row>
    <row r="271" spans="1:5">
      <c r="A271" s="131" t="s">
        <v>570</v>
      </c>
      <c r="B271" s="131" t="s">
        <v>2081</v>
      </c>
      <c r="D271" s="131" t="s">
        <v>2081</v>
      </c>
      <c r="E271" s="131" t="s">
        <v>570</v>
      </c>
    </row>
    <row r="272" spans="1:5">
      <c r="A272" s="131" t="s">
        <v>571</v>
      </c>
      <c r="B272" s="131" t="s">
        <v>2082</v>
      </c>
      <c r="D272" s="131" t="s">
        <v>2082</v>
      </c>
      <c r="E272" s="131" t="s">
        <v>571</v>
      </c>
    </row>
    <row r="273" spans="1:5">
      <c r="A273" s="131" t="s">
        <v>572</v>
      </c>
      <c r="B273" s="131" t="s">
        <v>2083</v>
      </c>
      <c r="D273" s="131" t="s">
        <v>2083</v>
      </c>
      <c r="E273" s="131" t="s">
        <v>572</v>
      </c>
    </row>
    <row r="274" spans="1:5">
      <c r="A274" s="131" t="s">
        <v>573</v>
      </c>
      <c r="B274" s="131" t="s">
        <v>2084</v>
      </c>
      <c r="D274" s="131" t="s">
        <v>2084</v>
      </c>
      <c r="E274" s="131" t="s">
        <v>573</v>
      </c>
    </row>
    <row r="275" spans="1:5">
      <c r="A275" s="131" t="s">
        <v>574</v>
      </c>
      <c r="B275" s="131" t="s">
        <v>2085</v>
      </c>
      <c r="D275" s="131" t="s">
        <v>2085</v>
      </c>
      <c r="E275" s="131" t="s">
        <v>574</v>
      </c>
    </row>
    <row r="276" spans="1:5">
      <c r="A276" s="131" t="s">
        <v>575</v>
      </c>
      <c r="B276" s="131" t="s">
        <v>2086</v>
      </c>
      <c r="D276" s="131" t="s">
        <v>2086</v>
      </c>
      <c r="E276" s="131" t="s">
        <v>575</v>
      </c>
    </row>
    <row r="277" spans="1:5">
      <c r="A277" s="131" t="s">
        <v>576</v>
      </c>
      <c r="B277" s="131" t="s">
        <v>2087</v>
      </c>
      <c r="D277" s="131" t="s">
        <v>2087</v>
      </c>
      <c r="E277" s="131" t="s">
        <v>576</v>
      </c>
    </row>
    <row r="278" spans="1:5">
      <c r="A278" s="131" t="s">
        <v>577</v>
      </c>
      <c r="B278" s="131" t="s">
        <v>2088</v>
      </c>
      <c r="D278" s="131" t="s">
        <v>2088</v>
      </c>
      <c r="E278" s="131" t="s">
        <v>577</v>
      </c>
    </row>
    <row r="279" spans="1:5">
      <c r="A279" s="131" t="s">
        <v>578</v>
      </c>
      <c r="B279" s="131" t="s">
        <v>2089</v>
      </c>
      <c r="D279" s="131" t="s">
        <v>2089</v>
      </c>
      <c r="E279" s="131" t="s">
        <v>578</v>
      </c>
    </row>
    <row r="280" spans="1:5">
      <c r="A280" s="131" t="s">
        <v>579</v>
      </c>
      <c r="B280" s="131" t="s">
        <v>2090</v>
      </c>
      <c r="D280" s="131" t="s">
        <v>2090</v>
      </c>
      <c r="E280" s="131" t="s">
        <v>579</v>
      </c>
    </row>
    <row r="281" spans="1:5">
      <c r="A281" s="131" t="s">
        <v>580</v>
      </c>
      <c r="B281" s="131" t="s">
        <v>2452</v>
      </c>
      <c r="D281" s="131" t="s">
        <v>2452</v>
      </c>
      <c r="E281" s="131" t="s">
        <v>580</v>
      </c>
    </row>
    <row r="282" spans="1:5">
      <c r="A282" s="131" t="s">
        <v>581</v>
      </c>
      <c r="B282" s="131" t="s">
        <v>2091</v>
      </c>
      <c r="D282" s="131" t="s">
        <v>2091</v>
      </c>
      <c r="E282" s="131" t="s">
        <v>581</v>
      </c>
    </row>
    <row r="283" spans="1:5">
      <c r="A283" s="131" t="s">
        <v>582</v>
      </c>
      <c r="B283" s="131" t="s">
        <v>2092</v>
      </c>
      <c r="D283" s="131" t="s">
        <v>2092</v>
      </c>
      <c r="E283" s="131" t="s">
        <v>582</v>
      </c>
    </row>
    <row r="284" spans="1:5">
      <c r="A284" s="131" t="s">
        <v>583</v>
      </c>
      <c r="B284" s="131" t="s">
        <v>2093</v>
      </c>
      <c r="D284" s="131" t="s">
        <v>2093</v>
      </c>
      <c r="E284" s="131" t="s">
        <v>583</v>
      </c>
    </row>
    <row r="285" spans="1:5">
      <c r="A285" s="131" t="s">
        <v>584</v>
      </c>
      <c r="B285" s="131" t="s">
        <v>2094</v>
      </c>
      <c r="D285" s="131" t="s">
        <v>2094</v>
      </c>
      <c r="E285" s="131" t="s">
        <v>584</v>
      </c>
    </row>
    <row r="286" spans="1:5">
      <c r="A286" s="131" t="s">
        <v>585</v>
      </c>
      <c r="B286" s="131" t="s">
        <v>2095</v>
      </c>
      <c r="D286" s="131" t="s">
        <v>2095</v>
      </c>
      <c r="E286" s="131" t="s">
        <v>585</v>
      </c>
    </row>
    <row r="287" spans="1:5">
      <c r="A287" s="131" t="s">
        <v>586</v>
      </c>
      <c r="B287" s="131" t="s">
        <v>2096</v>
      </c>
      <c r="D287" s="131" t="s">
        <v>2096</v>
      </c>
      <c r="E287" s="131" t="s">
        <v>586</v>
      </c>
    </row>
    <row r="288" spans="1:5">
      <c r="A288" s="131" t="s">
        <v>587</v>
      </c>
      <c r="B288" s="131" t="s">
        <v>2097</v>
      </c>
      <c r="D288" s="131" t="s">
        <v>2097</v>
      </c>
      <c r="E288" s="131" t="s">
        <v>587</v>
      </c>
    </row>
    <row r="289" spans="1:5">
      <c r="A289" s="131" t="s">
        <v>588</v>
      </c>
      <c r="B289" s="131" t="s">
        <v>2098</v>
      </c>
      <c r="D289" s="131" t="s">
        <v>2098</v>
      </c>
      <c r="E289" s="131" t="s">
        <v>588</v>
      </c>
    </row>
    <row r="290" spans="1:5">
      <c r="A290" s="131" t="s">
        <v>589</v>
      </c>
      <c r="B290" s="131" t="s">
        <v>2453</v>
      </c>
      <c r="D290" s="131" t="s">
        <v>2453</v>
      </c>
      <c r="E290" s="131" t="s">
        <v>589</v>
      </c>
    </row>
    <row r="291" spans="1:5">
      <c r="A291" s="131" t="s">
        <v>590</v>
      </c>
      <c r="B291" s="131" t="s">
        <v>2099</v>
      </c>
      <c r="D291" s="131" t="s">
        <v>2099</v>
      </c>
      <c r="E291" s="131" t="s">
        <v>590</v>
      </c>
    </row>
    <row r="292" spans="1:5">
      <c r="A292" s="131" t="s">
        <v>591</v>
      </c>
      <c r="B292" s="131" t="s">
        <v>2100</v>
      </c>
      <c r="D292" s="131" t="s">
        <v>2100</v>
      </c>
      <c r="E292" s="131" t="s">
        <v>591</v>
      </c>
    </row>
    <row r="293" spans="1:5">
      <c r="A293" s="131" t="s">
        <v>592</v>
      </c>
      <c r="B293" s="131" t="s">
        <v>2101</v>
      </c>
      <c r="D293" s="131" t="s">
        <v>2101</v>
      </c>
      <c r="E293" s="131" t="s">
        <v>592</v>
      </c>
    </row>
    <row r="294" spans="1:5">
      <c r="A294" s="131" t="s">
        <v>593</v>
      </c>
      <c r="B294" s="131" t="s">
        <v>2102</v>
      </c>
      <c r="D294" s="131" t="s">
        <v>2102</v>
      </c>
      <c r="E294" s="131" t="s">
        <v>593</v>
      </c>
    </row>
    <row r="295" spans="1:5">
      <c r="A295" s="131" t="s">
        <v>594</v>
      </c>
      <c r="B295" s="131" t="s">
        <v>2103</v>
      </c>
      <c r="D295" s="131" t="s">
        <v>2103</v>
      </c>
      <c r="E295" s="131" t="s">
        <v>594</v>
      </c>
    </row>
    <row r="296" spans="1:5">
      <c r="A296" s="131" t="s">
        <v>595</v>
      </c>
      <c r="B296" s="131" t="s">
        <v>2104</v>
      </c>
      <c r="D296" s="131" t="s">
        <v>2104</v>
      </c>
      <c r="E296" s="131" t="s">
        <v>595</v>
      </c>
    </row>
    <row r="297" spans="1:5">
      <c r="A297" s="131" t="s">
        <v>596</v>
      </c>
      <c r="B297" s="131" t="s">
        <v>2105</v>
      </c>
      <c r="D297" s="131" t="s">
        <v>2105</v>
      </c>
      <c r="E297" s="131" t="s">
        <v>596</v>
      </c>
    </row>
    <row r="298" spans="1:5">
      <c r="A298" s="131" t="s">
        <v>597</v>
      </c>
      <c r="B298" s="131" t="s">
        <v>2106</v>
      </c>
      <c r="D298" s="131" t="s">
        <v>2106</v>
      </c>
      <c r="E298" s="131" t="s">
        <v>597</v>
      </c>
    </row>
    <row r="299" spans="1:5">
      <c r="A299" s="131" t="s">
        <v>598</v>
      </c>
      <c r="B299" s="131" t="s">
        <v>2107</v>
      </c>
      <c r="D299" s="131" t="s">
        <v>2107</v>
      </c>
      <c r="E299" s="131" t="s">
        <v>598</v>
      </c>
    </row>
    <row r="300" spans="1:5">
      <c r="A300" s="131" t="s">
        <v>599</v>
      </c>
      <c r="B300" s="131" t="s">
        <v>2108</v>
      </c>
      <c r="D300" s="131" t="s">
        <v>2108</v>
      </c>
      <c r="E300" s="131" t="s">
        <v>599</v>
      </c>
    </row>
    <row r="301" spans="1:5">
      <c r="A301" s="131" t="s">
        <v>600</v>
      </c>
      <c r="B301" s="131" t="s">
        <v>2109</v>
      </c>
      <c r="D301" s="131" t="s">
        <v>2109</v>
      </c>
      <c r="E301" s="131" t="s">
        <v>600</v>
      </c>
    </row>
    <row r="302" spans="1:5">
      <c r="A302" s="131" t="s">
        <v>601</v>
      </c>
      <c r="B302" s="131" t="s">
        <v>2110</v>
      </c>
      <c r="D302" s="131" t="s">
        <v>2110</v>
      </c>
      <c r="E302" s="131" t="s">
        <v>601</v>
      </c>
    </row>
    <row r="303" spans="1:5">
      <c r="A303" s="131" t="s">
        <v>602</v>
      </c>
      <c r="B303" s="131" t="s">
        <v>2111</v>
      </c>
      <c r="D303" s="131" t="s">
        <v>2111</v>
      </c>
      <c r="E303" s="131" t="s">
        <v>602</v>
      </c>
    </row>
    <row r="304" spans="1:5">
      <c r="A304" s="131" t="s">
        <v>603</v>
      </c>
      <c r="B304" s="131" t="s">
        <v>2112</v>
      </c>
      <c r="D304" s="131" t="s">
        <v>2112</v>
      </c>
      <c r="E304" s="131" t="s">
        <v>603</v>
      </c>
    </row>
    <row r="305" spans="1:5">
      <c r="A305" s="131" t="s">
        <v>604</v>
      </c>
      <c r="B305" s="131" t="s">
        <v>2113</v>
      </c>
      <c r="D305" s="131" t="s">
        <v>2113</v>
      </c>
      <c r="E305" s="131" t="s">
        <v>604</v>
      </c>
    </row>
    <row r="306" spans="1:5">
      <c r="A306" s="131" t="s">
        <v>605</v>
      </c>
      <c r="B306" s="131" t="s">
        <v>2114</v>
      </c>
      <c r="D306" s="131" t="s">
        <v>2114</v>
      </c>
      <c r="E306" s="131" t="s">
        <v>605</v>
      </c>
    </row>
    <row r="307" spans="1:5">
      <c r="A307" s="131" t="s">
        <v>606</v>
      </c>
      <c r="B307" s="131" t="s">
        <v>2115</v>
      </c>
      <c r="D307" s="131" t="s">
        <v>2115</v>
      </c>
      <c r="E307" s="131" t="s">
        <v>606</v>
      </c>
    </row>
    <row r="308" spans="1:5">
      <c r="A308" s="131" t="s">
        <v>607</v>
      </c>
      <c r="B308" s="131" t="s">
        <v>2116</v>
      </c>
      <c r="D308" s="131" t="s">
        <v>2116</v>
      </c>
      <c r="E308" s="131" t="s">
        <v>607</v>
      </c>
    </row>
    <row r="309" spans="1:5">
      <c r="A309" s="131" t="s">
        <v>608</v>
      </c>
      <c r="B309" s="131" t="s">
        <v>2117</v>
      </c>
      <c r="D309" s="131" t="s">
        <v>2117</v>
      </c>
      <c r="E309" s="131" t="s">
        <v>608</v>
      </c>
    </row>
    <row r="310" spans="1:5">
      <c r="A310" s="131" t="s">
        <v>609</v>
      </c>
      <c r="B310" s="131" t="s">
        <v>2118</v>
      </c>
      <c r="D310" s="131" t="s">
        <v>2118</v>
      </c>
      <c r="E310" s="131" t="s">
        <v>609</v>
      </c>
    </row>
    <row r="311" spans="1:5">
      <c r="A311" s="131" t="s">
        <v>610</v>
      </c>
      <c r="B311" s="131" t="s">
        <v>2119</v>
      </c>
      <c r="D311" s="131" t="s">
        <v>2119</v>
      </c>
      <c r="E311" s="131" t="s">
        <v>610</v>
      </c>
    </row>
    <row r="312" spans="1:5">
      <c r="A312" s="131" t="s">
        <v>611</v>
      </c>
      <c r="B312" s="131" t="s">
        <v>2120</v>
      </c>
      <c r="D312" s="131" t="s">
        <v>2120</v>
      </c>
      <c r="E312" s="131" t="s">
        <v>611</v>
      </c>
    </row>
    <row r="313" spans="1:5">
      <c r="A313" s="131" t="s">
        <v>612</v>
      </c>
      <c r="B313" s="131" t="s">
        <v>2121</v>
      </c>
      <c r="D313" s="131" t="s">
        <v>2121</v>
      </c>
      <c r="E313" s="131" t="s">
        <v>612</v>
      </c>
    </row>
    <row r="314" spans="1:5">
      <c r="A314" s="131" t="s">
        <v>613</v>
      </c>
      <c r="B314" s="131" t="s">
        <v>2122</v>
      </c>
      <c r="D314" s="131" t="s">
        <v>2122</v>
      </c>
      <c r="E314" s="131" t="s">
        <v>613</v>
      </c>
    </row>
    <row r="315" spans="1:5">
      <c r="A315" s="131" t="s">
        <v>614</v>
      </c>
      <c r="B315" s="131" t="s">
        <v>2123</v>
      </c>
      <c r="D315" s="131" t="s">
        <v>2123</v>
      </c>
      <c r="E315" s="131" t="s">
        <v>614</v>
      </c>
    </row>
    <row r="316" spans="1:5">
      <c r="A316" s="131" t="s">
        <v>615</v>
      </c>
      <c r="B316" s="131" t="s">
        <v>2124</v>
      </c>
      <c r="D316" s="131" t="s">
        <v>2124</v>
      </c>
      <c r="E316" s="131" t="s">
        <v>615</v>
      </c>
    </row>
    <row r="317" spans="1:5">
      <c r="A317" s="131" t="s">
        <v>616</v>
      </c>
      <c r="B317" s="131" t="s">
        <v>2125</v>
      </c>
      <c r="D317" s="131" t="s">
        <v>2125</v>
      </c>
      <c r="E317" s="131" t="s">
        <v>616</v>
      </c>
    </row>
    <row r="318" spans="1:5">
      <c r="A318" s="131" t="s">
        <v>617</v>
      </c>
      <c r="B318" s="131" t="s">
        <v>2126</v>
      </c>
      <c r="D318" s="131" t="s">
        <v>2126</v>
      </c>
      <c r="E318" s="131" t="s">
        <v>617</v>
      </c>
    </row>
    <row r="319" spans="1:5">
      <c r="A319" s="131" t="s">
        <v>618</v>
      </c>
      <c r="B319" s="131" t="s">
        <v>2127</v>
      </c>
      <c r="D319" s="131" t="s">
        <v>2127</v>
      </c>
      <c r="E319" s="131" t="s">
        <v>618</v>
      </c>
    </row>
    <row r="320" spans="1:5">
      <c r="A320" s="131" t="s">
        <v>619</v>
      </c>
      <c r="B320" s="131" t="s">
        <v>2128</v>
      </c>
      <c r="D320" s="131" t="s">
        <v>2128</v>
      </c>
      <c r="E320" s="131" t="s">
        <v>619</v>
      </c>
    </row>
    <row r="321" spans="1:5">
      <c r="A321" s="131" t="s">
        <v>620</v>
      </c>
      <c r="B321" s="131" t="s">
        <v>2129</v>
      </c>
      <c r="D321" s="131" t="s">
        <v>2129</v>
      </c>
      <c r="E321" s="131" t="s">
        <v>620</v>
      </c>
    </row>
    <row r="322" spans="1:5">
      <c r="A322" s="131" t="s">
        <v>621</v>
      </c>
      <c r="B322" s="131" t="s">
        <v>2454</v>
      </c>
      <c r="D322" s="131" t="s">
        <v>2454</v>
      </c>
      <c r="E322" s="131" t="s">
        <v>621</v>
      </c>
    </row>
    <row r="323" spans="1:5">
      <c r="A323" s="131" t="s">
        <v>622</v>
      </c>
      <c r="B323" s="131" t="s">
        <v>2130</v>
      </c>
      <c r="D323" s="131" t="s">
        <v>2130</v>
      </c>
      <c r="E323" s="131" t="s">
        <v>622</v>
      </c>
    </row>
    <row r="324" spans="1:5">
      <c r="A324" s="131" t="s">
        <v>623</v>
      </c>
      <c r="B324" s="131" t="s">
        <v>2131</v>
      </c>
      <c r="D324" s="131" t="s">
        <v>2131</v>
      </c>
      <c r="E324" s="131" t="s">
        <v>623</v>
      </c>
    </row>
    <row r="325" spans="1:5">
      <c r="A325" s="131" t="s">
        <v>624</v>
      </c>
      <c r="B325" s="131" t="s">
        <v>2132</v>
      </c>
      <c r="D325" s="131" t="s">
        <v>2132</v>
      </c>
      <c r="E325" s="131" t="s">
        <v>624</v>
      </c>
    </row>
    <row r="326" spans="1:5">
      <c r="A326" s="131" t="s">
        <v>625</v>
      </c>
      <c r="B326" s="131" t="s">
        <v>2133</v>
      </c>
      <c r="D326" s="131" t="s">
        <v>2133</v>
      </c>
      <c r="E326" s="131" t="s">
        <v>625</v>
      </c>
    </row>
    <row r="327" spans="1:5">
      <c r="A327" s="131" t="s">
        <v>626</v>
      </c>
      <c r="B327" s="131" t="s">
        <v>2134</v>
      </c>
      <c r="D327" s="131" t="s">
        <v>2134</v>
      </c>
      <c r="E327" s="131" t="s">
        <v>626</v>
      </c>
    </row>
    <row r="328" spans="1:5">
      <c r="A328" s="131" t="s">
        <v>627</v>
      </c>
      <c r="B328" s="131" t="s">
        <v>2135</v>
      </c>
      <c r="D328" s="131" t="s">
        <v>2135</v>
      </c>
      <c r="E328" s="131" t="s">
        <v>627</v>
      </c>
    </row>
    <row r="329" spans="1:5">
      <c r="A329" s="131" t="s">
        <v>628</v>
      </c>
      <c r="B329" s="131" t="s">
        <v>2455</v>
      </c>
      <c r="D329" s="131" t="s">
        <v>2455</v>
      </c>
      <c r="E329" s="131" t="s">
        <v>628</v>
      </c>
    </row>
    <row r="330" spans="1:5">
      <c r="A330" s="131" t="s">
        <v>629</v>
      </c>
      <c r="B330" s="131" t="s">
        <v>2136</v>
      </c>
      <c r="D330" s="131" t="s">
        <v>2136</v>
      </c>
      <c r="E330" s="131" t="s">
        <v>629</v>
      </c>
    </row>
    <row r="331" spans="1:5">
      <c r="A331" s="131" t="s">
        <v>630</v>
      </c>
      <c r="B331" s="131" t="s">
        <v>2137</v>
      </c>
      <c r="D331" s="131" t="s">
        <v>2137</v>
      </c>
      <c r="E331" s="131" t="s">
        <v>630</v>
      </c>
    </row>
    <row r="332" spans="1:5">
      <c r="A332" s="131" t="s">
        <v>631</v>
      </c>
      <c r="B332" s="131" t="s">
        <v>2138</v>
      </c>
      <c r="D332" s="131" t="s">
        <v>2138</v>
      </c>
      <c r="E332" s="131" t="s">
        <v>631</v>
      </c>
    </row>
    <row r="333" spans="1:5">
      <c r="A333" s="131" t="s">
        <v>632</v>
      </c>
      <c r="B333" s="131" t="s">
        <v>2139</v>
      </c>
      <c r="D333" s="131" t="s">
        <v>2139</v>
      </c>
      <c r="E333" s="131" t="s">
        <v>632</v>
      </c>
    </row>
    <row r="334" spans="1:5">
      <c r="A334" s="131" t="s">
        <v>633</v>
      </c>
      <c r="B334" s="131" t="s">
        <v>2140</v>
      </c>
      <c r="D334" s="131" t="s">
        <v>2140</v>
      </c>
      <c r="E334" s="131" t="s">
        <v>633</v>
      </c>
    </row>
    <row r="335" spans="1:5">
      <c r="A335" s="131" t="s">
        <v>634</v>
      </c>
      <c r="B335" s="131" t="s">
        <v>2456</v>
      </c>
      <c r="D335" s="131" t="s">
        <v>2456</v>
      </c>
      <c r="E335" s="131" t="s">
        <v>634</v>
      </c>
    </row>
    <row r="336" spans="1:5">
      <c r="A336" s="131" t="s">
        <v>635</v>
      </c>
      <c r="B336" s="131" t="s">
        <v>2141</v>
      </c>
      <c r="D336" s="131" t="s">
        <v>2141</v>
      </c>
      <c r="E336" s="131" t="s">
        <v>635</v>
      </c>
    </row>
    <row r="337" spans="1:5">
      <c r="A337" s="131" t="s">
        <v>636</v>
      </c>
      <c r="B337" s="131" t="s">
        <v>2142</v>
      </c>
      <c r="D337" s="131" t="s">
        <v>2142</v>
      </c>
      <c r="E337" s="131" t="s">
        <v>636</v>
      </c>
    </row>
    <row r="338" spans="1:5">
      <c r="A338" s="131" t="s">
        <v>637</v>
      </c>
      <c r="B338" s="131" t="s">
        <v>2457</v>
      </c>
      <c r="D338" s="131" t="s">
        <v>2457</v>
      </c>
      <c r="E338" s="131" t="s">
        <v>637</v>
      </c>
    </row>
    <row r="339" spans="1:5">
      <c r="A339" s="131" t="s">
        <v>638</v>
      </c>
      <c r="B339" s="131" t="s">
        <v>2143</v>
      </c>
      <c r="D339" s="131" t="s">
        <v>2143</v>
      </c>
      <c r="E339" s="131" t="s">
        <v>638</v>
      </c>
    </row>
    <row r="340" spans="1:5">
      <c r="A340" s="131" t="s">
        <v>639</v>
      </c>
      <c r="B340" s="131" t="s">
        <v>2144</v>
      </c>
      <c r="D340" s="131" t="s">
        <v>2144</v>
      </c>
      <c r="E340" s="131" t="s">
        <v>639</v>
      </c>
    </row>
    <row r="341" spans="1:5">
      <c r="A341" s="131" t="s">
        <v>640</v>
      </c>
      <c r="B341" s="131" t="s">
        <v>2145</v>
      </c>
      <c r="D341" s="131" t="s">
        <v>2145</v>
      </c>
      <c r="E341" s="131" t="s">
        <v>640</v>
      </c>
    </row>
    <row r="342" spans="1:5">
      <c r="A342" s="131" t="s">
        <v>641</v>
      </c>
      <c r="B342" s="131" t="s">
        <v>2146</v>
      </c>
      <c r="D342" s="131" t="s">
        <v>2146</v>
      </c>
      <c r="E342" s="131" t="s">
        <v>641</v>
      </c>
    </row>
    <row r="343" spans="1:5">
      <c r="A343" s="131" t="s">
        <v>642</v>
      </c>
      <c r="B343" s="131" t="s">
        <v>2147</v>
      </c>
      <c r="D343" s="131" t="s">
        <v>2147</v>
      </c>
      <c r="E343" s="131" t="s">
        <v>642</v>
      </c>
    </row>
    <row r="344" spans="1:5">
      <c r="A344" s="131" t="s">
        <v>643</v>
      </c>
      <c r="B344" s="131" t="s">
        <v>2148</v>
      </c>
      <c r="D344" s="131" t="s">
        <v>2148</v>
      </c>
      <c r="E344" s="131" t="s">
        <v>643</v>
      </c>
    </row>
    <row r="345" spans="1:5">
      <c r="A345" s="131" t="s">
        <v>644</v>
      </c>
      <c r="B345" s="131" t="s">
        <v>2149</v>
      </c>
      <c r="D345" s="131" t="s">
        <v>2149</v>
      </c>
      <c r="E345" s="131" t="s">
        <v>644</v>
      </c>
    </row>
    <row r="346" spans="1:5">
      <c r="A346" s="131" t="s">
        <v>645</v>
      </c>
      <c r="B346" s="131" t="s">
        <v>2150</v>
      </c>
      <c r="D346" s="131" t="s">
        <v>2150</v>
      </c>
      <c r="E346" s="131" t="s">
        <v>645</v>
      </c>
    </row>
    <row r="347" spans="1:5">
      <c r="A347" s="131" t="s">
        <v>646</v>
      </c>
      <c r="B347" s="131" t="s">
        <v>2151</v>
      </c>
      <c r="D347" s="131" t="s">
        <v>2151</v>
      </c>
      <c r="E347" s="131" t="s">
        <v>646</v>
      </c>
    </row>
    <row r="348" spans="1:5">
      <c r="A348" s="131" t="s">
        <v>647</v>
      </c>
      <c r="B348" s="131" t="s">
        <v>2152</v>
      </c>
      <c r="D348" s="131" t="s">
        <v>2152</v>
      </c>
      <c r="E348" s="131" t="s">
        <v>647</v>
      </c>
    </row>
    <row r="349" spans="1:5">
      <c r="A349" s="131" t="s">
        <v>648</v>
      </c>
      <c r="B349" s="131" t="s">
        <v>2458</v>
      </c>
      <c r="D349" s="131" t="s">
        <v>2458</v>
      </c>
      <c r="E349" s="131" t="s">
        <v>648</v>
      </c>
    </row>
    <row r="350" spans="1:5">
      <c r="A350" s="131" t="s">
        <v>649</v>
      </c>
      <c r="B350" s="131" t="s">
        <v>2153</v>
      </c>
      <c r="D350" s="131" t="s">
        <v>2153</v>
      </c>
      <c r="E350" s="131" t="s">
        <v>649</v>
      </c>
    </row>
    <row r="351" spans="1:5">
      <c r="A351" s="131" t="s">
        <v>650</v>
      </c>
      <c r="B351" s="131" t="s">
        <v>2154</v>
      </c>
      <c r="D351" s="131" t="s">
        <v>2154</v>
      </c>
      <c r="E351" s="131" t="s">
        <v>650</v>
      </c>
    </row>
    <row r="352" spans="1:5">
      <c r="A352" s="131" t="s">
        <v>651</v>
      </c>
      <c r="B352" s="131" t="s">
        <v>2155</v>
      </c>
      <c r="D352" s="131" t="s">
        <v>2155</v>
      </c>
      <c r="E352" s="131" t="s">
        <v>651</v>
      </c>
    </row>
    <row r="353" spans="1:5">
      <c r="A353" s="131" t="s">
        <v>652</v>
      </c>
      <c r="B353" s="131" t="s">
        <v>2156</v>
      </c>
      <c r="D353" s="131" t="s">
        <v>2156</v>
      </c>
      <c r="E353" s="131" t="s">
        <v>652</v>
      </c>
    </row>
    <row r="354" spans="1:5">
      <c r="A354" s="131" t="s">
        <v>653</v>
      </c>
      <c r="B354" s="131" t="s">
        <v>2157</v>
      </c>
      <c r="D354" s="131" t="s">
        <v>2157</v>
      </c>
      <c r="E354" s="131" t="s">
        <v>653</v>
      </c>
    </row>
    <row r="355" spans="1:5">
      <c r="A355" s="131" t="s">
        <v>654</v>
      </c>
      <c r="B355" s="131" t="s">
        <v>2158</v>
      </c>
      <c r="D355" s="131" t="s">
        <v>2158</v>
      </c>
      <c r="E355" s="131" t="s">
        <v>654</v>
      </c>
    </row>
    <row r="356" spans="1:5">
      <c r="A356" s="131" t="s">
        <v>655</v>
      </c>
      <c r="B356" s="131" t="s">
        <v>2159</v>
      </c>
      <c r="D356" s="131" t="s">
        <v>2159</v>
      </c>
      <c r="E356" s="131" t="s">
        <v>655</v>
      </c>
    </row>
    <row r="357" spans="1:5">
      <c r="A357" s="131" t="s">
        <v>656</v>
      </c>
      <c r="B357" s="131" t="s">
        <v>2160</v>
      </c>
      <c r="D357" s="131" t="s">
        <v>2160</v>
      </c>
      <c r="E357" s="131" t="s">
        <v>656</v>
      </c>
    </row>
    <row r="358" spans="1:5">
      <c r="A358" s="131" t="s">
        <v>657</v>
      </c>
      <c r="B358" s="131" t="s">
        <v>2459</v>
      </c>
      <c r="D358" s="131" t="s">
        <v>2459</v>
      </c>
      <c r="E358" s="131" t="s">
        <v>657</v>
      </c>
    </row>
    <row r="359" spans="1:5">
      <c r="A359" s="131" t="s">
        <v>658</v>
      </c>
      <c r="B359" s="131" t="s">
        <v>2161</v>
      </c>
      <c r="D359" s="131" t="s">
        <v>2161</v>
      </c>
      <c r="E359" s="131" t="s">
        <v>658</v>
      </c>
    </row>
    <row r="360" spans="1:5">
      <c r="A360" s="131" t="s">
        <v>659</v>
      </c>
      <c r="B360" s="131" t="s">
        <v>2162</v>
      </c>
      <c r="D360" s="131" t="s">
        <v>2162</v>
      </c>
      <c r="E360" s="131" t="s">
        <v>659</v>
      </c>
    </row>
    <row r="361" spans="1:5">
      <c r="A361" s="131" t="s">
        <v>660</v>
      </c>
      <c r="B361" s="131" t="s">
        <v>2163</v>
      </c>
      <c r="D361" s="131" t="s">
        <v>2163</v>
      </c>
      <c r="E361" s="131" t="s">
        <v>660</v>
      </c>
    </row>
    <row r="362" spans="1:5">
      <c r="A362" s="131" t="s">
        <v>661</v>
      </c>
      <c r="B362" s="131" t="s">
        <v>2164</v>
      </c>
      <c r="D362" s="131" t="s">
        <v>2164</v>
      </c>
      <c r="E362" s="131" t="s">
        <v>661</v>
      </c>
    </row>
    <row r="363" spans="1:5">
      <c r="A363" s="131" t="s">
        <v>662</v>
      </c>
      <c r="B363" s="131" t="s">
        <v>2460</v>
      </c>
      <c r="D363" s="131" t="s">
        <v>2460</v>
      </c>
      <c r="E363" s="131" t="s">
        <v>662</v>
      </c>
    </row>
    <row r="364" spans="1:5">
      <c r="A364" s="131" t="s">
        <v>663</v>
      </c>
      <c r="B364" s="131" t="s">
        <v>2165</v>
      </c>
      <c r="D364" s="131" t="s">
        <v>2165</v>
      </c>
      <c r="E364" s="131" t="s">
        <v>663</v>
      </c>
    </row>
    <row r="365" spans="1:5">
      <c r="A365" s="131" t="s">
        <v>664</v>
      </c>
      <c r="B365" s="131" t="s">
        <v>2166</v>
      </c>
      <c r="D365" s="131" t="s">
        <v>2166</v>
      </c>
      <c r="E365" s="131" t="s">
        <v>664</v>
      </c>
    </row>
    <row r="366" spans="1:5">
      <c r="A366" s="131" t="s">
        <v>665</v>
      </c>
      <c r="B366" s="131" t="s">
        <v>2167</v>
      </c>
      <c r="D366" s="131" t="s">
        <v>2167</v>
      </c>
      <c r="E366" s="131" t="s">
        <v>665</v>
      </c>
    </row>
    <row r="367" spans="1:5">
      <c r="A367" s="131" t="s">
        <v>666</v>
      </c>
      <c r="B367" s="131" t="s">
        <v>2168</v>
      </c>
      <c r="D367" s="131" t="s">
        <v>2168</v>
      </c>
      <c r="E367" s="131" t="s">
        <v>666</v>
      </c>
    </row>
    <row r="368" spans="1:5">
      <c r="A368" s="131" t="s">
        <v>667</v>
      </c>
      <c r="B368" s="131" t="s">
        <v>2169</v>
      </c>
      <c r="D368" s="131" t="s">
        <v>2169</v>
      </c>
      <c r="E368" s="131" t="s">
        <v>667</v>
      </c>
    </row>
    <row r="369" spans="1:5">
      <c r="A369" s="131" t="s">
        <v>668</v>
      </c>
      <c r="B369" s="131" t="s">
        <v>2170</v>
      </c>
      <c r="D369" s="131" t="s">
        <v>2170</v>
      </c>
      <c r="E369" s="131" t="s">
        <v>668</v>
      </c>
    </row>
    <row r="370" spans="1:5">
      <c r="A370" s="131" t="s">
        <v>669</v>
      </c>
      <c r="B370" s="131" t="s">
        <v>2171</v>
      </c>
      <c r="D370" s="131" t="s">
        <v>2171</v>
      </c>
      <c r="E370" s="131" t="s">
        <v>669</v>
      </c>
    </row>
    <row r="371" spans="1:5">
      <c r="A371" s="131" t="s">
        <v>670</v>
      </c>
      <c r="B371" s="131" t="s">
        <v>2172</v>
      </c>
      <c r="D371" s="131" t="s">
        <v>2172</v>
      </c>
      <c r="E371" s="131" t="s">
        <v>670</v>
      </c>
    </row>
    <row r="372" spans="1:5">
      <c r="A372" s="131" t="s">
        <v>671</v>
      </c>
      <c r="B372" s="131" t="s">
        <v>2173</v>
      </c>
      <c r="D372" s="131" t="s">
        <v>2173</v>
      </c>
      <c r="E372" s="131" t="s">
        <v>671</v>
      </c>
    </row>
    <row r="373" spans="1:5">
      <c r="A373" s="131" t="s">
        <v>672</v>
      </c>
      <c r="B373" s="131" t="s">
        <v>2174</v>
      </c>
      <c r="D373" s="131" t="s">
        <v>2174</v>
      </c>
      <c r="E373" s="131" t="s">
        <v>672</v>
      </c>
    </row>
    <row r="374" spans="1:5">
      <c r="A374" s="131" t="s">
        <v>673</v>
      </c>
      <c r="B374" s="131" t="s">
        <v>2175</v>
      </c>
      <c r="D374" s="131" t="s">
        <v>2175</v>
      </c>
      <c r="E374" s="131" t="s">
        <v>673</v>
      </c>
    </row>
    <row r="375" spans="1:5">
      <c r="A375" s="131" t="s">
        <v>674</v>
      </c>
      <c r="B375" s="131" t="s">
        <v>2461</v>
      </c>
      <c r="D375" s="131" t="s">
        <v>2461</v>
      </c>
      <c r="E375" s="131" t="s">
        <v>674</v>
      </c>
    </row>
    <row r="376" spans="1:5">
      <c r="A376" s="131" t="s">
        <v>675</v>
      </c>
      <c r="B376" s="131" t="s">
        <v>2176</v>
      </c>
      <c r="D376" s="131" t="s">
        <v>2176</v>
      </c>
      <c r="E376" s="131" t="s">
        <v>675</v>
      </c>
    </row>
    <row r="377" spans="1:5">
      <c r="A377" s="131" t="s">
        <v>676</v>
      </c>
      <c r="B377" s="131" t="s">
        <v>2177</v>
      </c>
      <c r="D377" s="131" t="s">
        <v>2177</v>
      </c>
      <c r="E377" s="131" t="s">
        <v>676</v>
      </c>
    </row>
    <row r="378" spans="1:5">
      <c r="A378" s="131" t="s">
        <v>677</v>
      </c>
      <c r="B378" s="131" t="s">
        <v>2178</v>
      </c>
      <c r="D378" s="131" t="s">
        <v>2178</v>
      </c>
      <c r="E378" s="131" t="s">
        <v>677</v>
      </c>
    </row>
    <row r="379" spans="1:5">
      <c r="A379" s="131" t="s">
        <v>678</v>
      </c>
      <c r="B379" s="131" t="s">
        <v>2179</v>
      </c>
      <c r="D379" s="131" t="s">
        <v>2179</v>
      </c>
      <c r="E379" s="131" t="s">
        <v>678</v>
      </c>
    </row>
    <row r="380" spans="1:5">
      <c r="A380" s="131" t="s">
        <v>679</v>
      </c>
      <c r="B380" s="131" t="s">
        <v>2462</v>
      </c>
      <c r="D380" s="131" t="s">
        <v>2462</v>
      </c>
      <c r="E380" s="131" t="s">
        <v>679</v>
      </c>
    </row>
    <row r="381" spans="1:5">
      <c r="A381" s="131" t="s">
        <v>680</v>
      </c>
      <c r="B381" s="131" t="s">
        <v>2180</v>
      </c>
      <c r="D381" s="131" t="s">
        <v>2180</v>
      </c>
      <c r="E381" s="131" t="s">
        <v>680</v>
      </c>
    </row>
    <row r="382" spans="1:5">
      <c r="A382" s="131" t="s">
        <v>681</v>
      </c>
      <c r="B382" s="131" t="s">
        <v>2181</v>
      </c>
      <c r="D382" s="131" t="s">
        <v>2181</v>
      </c>
      <c r="E382" s="131" t="s">
        <v>681</v>
      </c>
    </row>
    <row r="383" spans="1:5">
      <c r="A383" s="131" t="s">
        <v>682</v>
      </c>
      <c r="B383" s="131" t="s">
        <v>2182</v>
      </c>
      <c r="D383" s="131" t="s">
        <v>2182</v>
      </c>
      <c r="E383" s="131" t="s">
        <v>682</v>
      </c>
    </row>
    <row r="384" spans="1:5">
      <c r="A384" s="131" t="s">
        <v>683</v>
      </c>
      <c r="B384" s="131" t="s">
        <v>2463</v>
      </c>
      <c r="D384" s="131" t="s">
        <v>2463</v>
      </c>
      <c r="E384" s="131" t="s">
        <v>683</v>
      </c>
    </row>
    <row r="385" spans="1:5">
      <c r="A385" s="131" t="s">
        <v>684</v>
      </c>
      <c r="B385" s="131" t="s">
        <v>2183</v>
      </c>
      <c r="D385" s="131" t="s">
        <v>2183</v>
      </c>
      <c r="E385" s="131" t="s">
        <v>684</v>
      </c>
    </row>
    <row r="386" spans="1:5">
      <c r="A386" s="131" t="s">
        <v>2185</v>
      </c>
      <c r="B386" s="131" t="s">
        <v>2184</v>
      </c>
      <c r="D386" s="131" t="s">
        <v>2184</v>
      </c>
      <c r="E386" s="131" t="s">
        <v>2185</v>
      </c>
    </row>
    <row r="387" spans="1:5">
      <c r="A387" s="131" t="s">
        <v>685</v>
      </c>
      <c r="B387" s="131" t="s">
        <v>2186</v>
      </c>
      <c r="D387" s="131" t="s">
        <v>2186</v>
      </c>
      <c r="E387" s="131" t="s">
        <v>685</v>
      </c>
    </row>
    <row r="388" spans="1:5">
      <c r="A388" s="131" t="s">
        <v>686</v>
      </c>
      <c r="B388" s="131" t="s">
        <v>2187</v>
      </c>
      <c r="D388" s="131" t="s">
        <v>2187</v>
      </c>
      <c r="E388" s="131" t="s">
        <v>686</v>
      </c>
    </row>
    <row r="389" spans="1:5">
      <c r="A389" s="131" t="s">
        <v>687</v>
      </c>
      <c r="B389" s="131" t="s">
        <v>2188</v>
      </c>
      <c r="D389" s="131" t="s">
        <v>2188</v>
      </c>
      <c r="E389" s="131" t="s">
        <v>687</v>
      </c>
    </row>
    <row r="390" spans="1:5">
      <c r="A390" s="131" t="s">
        <v>688</v>
      </c>
      <c r="B390" s="131" t="s">
        <v>2189</v>
      </c>
      <c r="D390" s="131" t="s">
        <v>2189</v>
      </c>
      <c r="E390" s="131" t="s">
        <v>688</v>
      </c>
    </row>
    <row r="391" spans="1:5">
      <c r="A391" s="131" t="s">
        <v>689</v>
      </c>
      <c r="B391" s="131" t="s">
        <v>2190</v>
      </c>
      <c r="D391" s="131" t="s">
        <v>2190</v>
      </c>
      <c r="E391" s="131" t="s">
        <v>689</v>
      </c>
    </row>
    <row r="392" spans="1:5">
      <c r="A392" s="131" t="s">
        <v>690</v>
      </c>
      <c r="B392" s="131" t="s">
        <v>2191</v>
      </c>
      <c r="D392" s="131" t="s">
        <v>2191</v>
      </c>
      <c r="E392" s="131" t="s">
        <v>690</v>
      </c>
    </row>
    <row r="393" spans="1:5">
      <c r="A393" s="131" t="s">
        <v>691</v>
      </c>
      <c r="B393" s="131" t="s">
        <v>2192</v>
      </c>
      <c r="D393" s="131" t="s">
        <v>2192</v>
      </c>
      <c r="E393" s="131" t="s">
        <v>691</v>
      </c>
    </row>
    <row r="394" spans="1:5">
      <c r="A394" s="131" t="s">
        <v>692</v>
      </c>
      <c r="B394" s="131" t="s">
        <v>2193</v>
      </c>
      <c r="D394" s="131" t="s">
        <v>2193</v>
      </c>
      <c r="E394" s="131" t="s">
        <v>692</v>
      </c>
    </row>
    <row r="395" spans="1:5">
      <c r="A395" s="131" t="s">
        <v>693</v>
      </c>
      <c r="B395" s="131" t="s">
        <v>2464</v>
      </c>
      <c r="D395" s="131" t="s">
        <v>2464</v>
      </c>
      <c r="E395" s="131" t="s">
        <v>693</v>
      </c>
    </row>
    <row r="396" spans="1:5">
      <c r="A396" s="131" t="s">
        <v>694</v>
      </c>
      <c r="B396" s="131" t="s">
        <v>2194</v>
      </c>
      <c r="D396" s="131" t="s">
        <v>2194</v>
      </c>
      <c r="E396" s="131" t="s">
        <v>694</v>
      </c>
    </row>
    <row r="397" spans="1:5">
      <c r="A397" s="131" t="s">
        <v>695</v>
      </c>
      <c r="B397" s="131" t="s">
        <v>2195</v>
      </c>
      <c r="D397" s="131" t="s">
        <v>2195</v>
      </c>
      <c r="E397" s="131" t="s">
        <v>695</v>
      </c>
    </row>
    <row r="398" spans="1:5">
      <c r="A398" s="131" t="s">
        <v>696</v>
      </c>
      <c r="B398" s="131" t="s">
        <v>2196</v>
      </c>
      <c r="D398" s="131" t="s">
        <v>2196</v>
      </c>
      <c r="E398" s="131" t="s">
        <v>696</v>
      </c>
    </row>
    <row r="399" spans="1:5">
      <c r="A399" s="131" t="s">
        <v>697</v>
      </c>
      <c r="B399" s="131" t="s">
        <v>2465</v>
      </c>
      <c r="D399" s="131" t="s">
        <v>2465</v>
      </c>
      <c r="E399" s="131" t="s">
        <v>697</v>
      </c>
    </row>
    <row r="400" spans="1:5">
      <c r="A400" s="131" t="s">
        <v>698</v>
      </c>
      <c r="B400" s="131" t="s">
        <v>2197</v>
      </c>
      <c r="D400" s="131" t="s">
        <v>2197</v>
      </c>
      <c r="E400" s="131" t="s">
        <v>698</v>
      </c>
    </row>
    <row r="401" spans="1:5">
      <c r="A401" s="131" t="s">
        <v>1637</v>
      </c>
      <c r="B401" s="131" t="s">
        <v>2198</v>
      </c>
      <c r="D401" s="131" t="s">
        <v>2198</v>
      </c>
      <c r="E401" s="131" t="s">
        <v>1637</v>
      </c>
    </row>
    <row r="402" spans="1:5">
      <c r="A402" s="131" t="s">
        <v>699</v>
      </c>
      <c r="B402" s="131" t="s">
        <v>2199</v>
      </c>
      <c r="D402" s="131" t="s">
        <v>2199</v>
      </c>
      <c r="E402" s="131" t="s">
        <v>699</v>
      </c>
    </row>
    <row r="403" spans="1:5">
      <c r="A403" s="131" t="s">
        <v>700</v>
      </c>
      <c r="B403" s="131" t="s">
        <v>2200</v>
      </c>
      <c r="D403" s="131" t="s">
        <v>2200</v>
      </c>
      <c r="E403" s="131" t="s">
        <v>700</v>
      </c>
    </row>
    <row r="404" spans="1:5">
      <c r="A404" s="131" t="s">
        <v>701</v>
      </c>
      <c r="B404" s="131" t="s">
        <v>2201</v>
      </c>
      <c r="D404" s="131" t="s">
        <v>2201</v>
      </c>
      <c r="E404" s="131" t="s">
        <v>701</v>
      </c>
    </row>
    <row r="405" spans="1:5">
      <c r="A405" s="131" t="s">
        <v>702</v>
      </c>
      <c r="B405" s="131" t="s">
        <v>2202</v>
      </c>
      <c r="D405" s="131" t="s">
        <v>2202</v>
      </c>
      <c r="E405" s="131" t="s">
        <v>702</v>
      </c>
    </row>
    <row r="406" spans="1:5">
      <c r="A406" s="131" t="s">
        <v>703</v>
      </c>
      <c r="B406" s="131" t="s">
        <v>2203</v>
      </c>
      <c r="D406" s="131" t="s">
        <v>2203</v>
      </c>
      <c r="E406" s="131" t="s">
        <v>703</v>
      </c>
    </row>
    <row r="407" spans="1:5">
      <c r="A407" s="131" t="s">
        <v>704</v>
      </c>
      <c r="B407" s="131" t="s">
        <v>2204</v>
      </c>
      <c r="D407" s="131" t="s">
        <v>2204</v>
      </c>
      <c r="E407" s="131" t="s">
        <v>704</v>
      </c>
    </row>
    <row r="408" spans="1:5">
      <c r="A408" s="131" t="s">
        <v>705</v>
      </c>
      <c r="B408" s="131" t="s">
        <v>2205</v>
      </c>
      <c r="D408" s="131" t="s">
        <v>2205</v>
      </c>
      <c r="E408" s="131" t="s">
        <v>705</v>
      </c>
    </row>
    <row r="409" spans="1:5">
      <c r="A409" s="131" t="s">
        <v>706</v>
      </c>
      <c r="B409" s="131" t="s">
        <v>2206</v>
      </c>
      <c r="D409" s="131" t="s">
        <v>2206</v>
      </c>
      <c r="E409" s="131" t="s">
        <v>706</v>
      </c>
    </row>
    <row r="410" spans="1:5">
      <c r="A410" s="133" t="s">
        <v>1581</v>
      </c>
      <c r="B410" s="133" t="s">
        <v>2207</v>
      </c>
      <c r="D410" s="133" t="s">
        <v>2207</v>
      </c>
      <c r="E410" s="133" t="s">
        <v>1581</v>
      </c>
    </row>
    <row r="411" spans="1:5">
      <c r="A411" s="132" t="s">
        <v>707</v>
      </c>
      <c r="B411" s="132" t="s">
        <v>2208</v>
      </c>
      <c r="D411" s="132" t="s">
        <v>2208</v>
      </c>
      <c r="E411" s="132" t="s">
        <v>707</v>
      </c>
    </row>
    <row r="412" spans="1:5">
      <c r="A412" s="131" t="s">
        <v>708</v>
      </c>
      <c r="B412" s="131" t="s">
        <v>2209</v>
      </c>
      <c r="D412" s="131" t="s">
        <v>2209</v>
      </c>
      <c r="E412" s="131" t="s">
        <v>708</v>
      </c>
    </row>
    <row r="413" spans="1:5">
      <c r="A413" s="131" t="s">
        <v>709</v>
      </c>
      <c r="B413" s="131" t="s">
        <v>2210</v>
      </c>
      <c r="D413" s="131" t="s">
        <v>2210</v>
      </c>
      <c r="E413" s="131" t="s">
        <v>709</v>
      </c>
    </row>
    <row r="414" spans="1:5">
      <c r="A414" s="131" t="s">
        <v>710</v>
      </c>
      <c r="B414" s="131" t="s">
        <v>2211</v>
      </c>
      <c r="D414" s="131" t="s">
        <v>2211</v>
      </c>
      <c r="E414" s="131" t="s">
        <v>710</v>
      </c>
    </row>
    <row r="415" spans="1:5">
      <c r="A415" s="131" t="s">
        <v>711</v>
      </c>
      <c r="B415" s="131" t="s">
        <v>2212</v>
      </c>
      <c r="D415" s="131" t="s">
        <v>2212</v>
      </c>
      <c r="E415" s="131" t="s">
        <v>711</v>
      </c>
    </row>
    <row r="416" spans="1:5">
      <c r="A416" s="131" t="s">
        <v>712</v>
      </c>
      <c r="B416" s="131" t="s">
        <v>2213</v>
      </c>
      <c r="D416" s="131" t="s">
        <v>2213</v>
      </c>
      <c r="E416" s="131" t="s">
        <v>712</v>
      </c>
    </row>
    <row r="417" spans="1:5">
      <c r="A417" s="131" t="s">
        <v>713</v>
      </c>
      <c r="B417" s="131" t="s">
        <v>2214</v>
      </c>
      <c r="D417" s="131" t="s">
        <v>2214</v>
      </c>
      <c r="E417" s="131" t="s">
        <v>713</v>
      </c>
    </row>
    <row r="418" spans="1:5">
      <c r="A418" s="131" t="s">
        <v>714</v>
      </c>
      <c r="B418" s="131" t="s">
        <v>2215</v>
      </c>
      <c r="D418" s="131" t="s">
        <v>2215</v>
      </c>
      <c r="E418" s="131" t="s">
        <v>714</v>
      </c>
    </row>
    <row r="419" spans="1:5">
      <c r="A419" s="131" t="s">
        <v>715</v>
      </c>
      <c r="B419" s="131" t="s">
        <v>2216</v>
      </c>
      <c r="D419" s="131" t="s">
        <v>2216</v>
      </c>
      <c r="E419" s="131" t="s">
        <v>715</v>
      </c>
    </row>
    <row r="420" spans="1:5">
      <c r="A420" s="131" t="s">
        <v>716</v>
      </c>
      <c r="B420" s="131" t="s">
        <v>2217</v>
      </c>
      <c r="D420" s="131" t="s">
        <v>2217</v>
      </c>
      <c r="E420" s="131" t="s">
        <v>716</v>
      </c>
    </row>
    <row r="421" spans="1:5">
      <c r="A421" s="131" t="s">
        <v>717</v>
      </c>
      <c r="B421" s="131" t="s">
        <v>2218</v>
      </c>
      <c r="D421" s="131" t="s">
        <v>2218</v>
      </c>
      <c r="E421" s="131" t="s">
        <v>717</v>
      </c>
    </row>
    <row r="422" spans="1:5">
      <c r="A422" s="131" t="s">
        <v>859</v>
      </c>
      <c r="B422" s="131" t="s">
        <v>2219</v>
      </c>
      <c r="D422" s="131" t="s">
        <v>2219</v>
      </c>
      <c r="E422" s="131" t="s">
        <v>859</v>
      </c>
    </row>
    <row r="423" spans="1:5">
      <c r="A423" s="131" t="s">
        <v>718</v>
      </c>
      <c r="B423" s="131" t="s">
        <v>2220</v>
      </c>
      <c r="D423" s="131" t="s">
        <v>2220</v>
      </c>
      <c r="E423" s="131" t="s">
        <v>718</v>
      </c>
    </row>
    <row r="424" spans="1:5">
      <c r="A424" s="131" t="s">
        <v>719</v>
      </c>
      <c r="B424" s="131" t="s">
        <v>2221</v>
      </c>
      <c r="D424" s="131" t="s">
        <v>2221</v>
      </c>
      <c r="E424" s="131" t="s">
        <v>719</v>
      </c>
    </row>
    <row r="425" spans="1:5">
      <c r="A425" s="131" t="s">
        <v>720</v>
      </c>
      <c r="B425" s="131" t="s">
        <v>2222</v>
      </c>
      <c r="D425" s="131" t="s">
        <v>2222</v>
      </c>
      <c r="E425" s="131" t="s">
        <v>720</v>
      </c>
    </row>
    <row r="426" spans="1:5">
      <c r="A426" s="131" t="s">
        <v>721</v>
      </c>
      <c r="B426" s="131" t="s">
        <v>2223</v>
      </c>
      <c r="D426" s="131" t="s">
        <v>2223</v>
      </c>
      <c r="E426" s="131" t="s">
        <v>721</v>
      </c>
    </row>
    <row r="427" spans="1:5">
      <c r="A427" s="131" t="s">
        <v>722</v>
      </c>
      <c r="B427" s="131" t="s">
        <v>2224</v>
      </c>
      <c r="D427" s="131" t="s">
        <v>2224</v>
      </c>
      <c r="E427" s="131" t="s">
        <v>722</v>
      </c>
    </row>
    <row r="428" spans="1:5">
      <c r="A428" s="131" t="s">
        <v>723</v>
      </c>
      <c r="B428" s="131" t="s">
        <v>2225</v>
      </c>
      <c r="D428" s="131" t="s">
        <v>2225</v>
      </c>
      <c r="E428" s="131" t="s">
        <v>723</v>
      </c>
    </row>
    <row r="429" spans="1:5">
      <c r="A429" s="131" t="s">
        <v>724</v>
      </c>
      <c r="B429" s="131" t="s">
        <v>2226</v>
      </c>
      <c r="D429" s="131" t="s">
        <v>2226</v>
      </c>
      <c r="E429" s="131" t="s">
        <v>724</v>
      </c>
    </row>
    <row r="430" spans="1:5">
      <c r="A430" s="131" t="s">
        <v>725</v>
      </c>
      <c r="B430" s="131" t="s">
        <v>2227</v>
      </c>
      <c r="D430" s="131" t="s">
        <v>2227</v>
      </c>
      <c r="E430" s="131" t="s">
        <v>725</v>
      </c>
    </row>
    <row r="431" spans="1:5">
      <c r="A431" s="131" t="s">
        <v>726</v>
      </c>
      <c r="B431" s="131" t="s">
        <v>2228</v>
      </c>
      <c r="D431" s="131" t="s">
        <v>2228</v>
      </c>
      <c r="E431" s="131" t="s">
        <v>726</v>
      </c>
    </row>
    <row r="432" spans="1:5">
      <c r="A432" s="131" t="s">
        <v>727</v>
      </c>
      <c r="B432" s="131" t="s">
        <v>2229</v>
      </c>
      <c r="D432" s="131" t="s">
        <v>2229</v>
      </c>
      <c r="E432" s="131" t="s">
        <v>727</v>
      </c>
    </row>
    <row r="433" spans="1:5">
      <c r="A433" s="131" t="s">
        <v>728</v>
      </c>
      <c r="B433" s="131" t="s">
        <v>2466</v>
      </c>
      <c r="D433" s="131" t="s">
        <v>2466</v>
      </c>
      <c r="E433" s="131" t="s">
        <v>728</v>
      </c>
    </row>
    <row r="434" spans="1:5">
      <c r="A434" s="131" t="s">
        <v>729</v>
      </c>
      <c r="B434" s="131" t="s">
        <v>2230</v>
      </c>
      <c r="D434" s="131" t="s">
        <v>2230</v>
      </c>
      <c r="E434" s="131" t="s">
        <v>729</v>
      </c>
    </row>
    <row r="435" spans="1:5">
      <c r="A435" s="131" t="s">
        <v>730</v>
      </c>
      <c r="B435" s="131" t="s">
        <v>2231</v>
      </c>
      <c r="D435" s="131" t="s">
        <v>2231</v>
      </c>
      <c r="E435" s="131" t="s">
        <v>730</v>
      </c>
    </row>
    <row r="436" spans="1:5">
      <c r="A436" s="131" t="s">
        <v>731</v>
      </c>
      <c r="B436" s="131" t="s">
        <v>2232</v>
      </c>
      <c r="D436" s="131" t="s">
        <v>2232</v>
      </c>
      <c r="E436" s="131" t="s">
        <v>731</v>
      </c>
    </row>
    <row r="437" spans="1:5">
      <c r="A437" s="131" t="s">
        <v>732</v>
      </c>
      <c r="B437" s="131" t="s">
        <v>2233</v>
      </c>
      <c r="D437" s="131" t="s">
        <v>2233</v>
      </c>
      <c r="E437" s="131" t="s">
        <v>732</v>
      </c>
    </row>
    <row r="438" spans="1:5">
      <c r="A438" s="131" t="s">
        <v>733</v>
      </c>
      <c r="B438" s="131" t="s">
        <v>2234</v>
      </c>
      <c r="D438" s="131" t="s">
        <v>2234</v>
      </c>
      <c r="E438" s="131" t="s">
        <v>733</v>
      </c>
    </row>
    <row r="439" spans="1:5">
      <c r="A439" s="131" t="s">
        <v>734</v>
      </c>
      <c r="B439" s="131" t="s">
        <v>2235</v>
      </c>
      <c r="D439" s="131" t="s">
        <v>2235</v>
      </c>
      <c r="E439" s="131" t="s">
        <v>734</v>
      </c>
    </row>
    <row r="440" spans="1:5">
      <c r="A440" s="131" t="s">
        <v>735</v>
      </c>
      <c r="B440" s="131" t="s">
        <v>2236</v>
      </c>
      <c r="D440" s="131" t="s">
        <v>2236</v>
      </c>
      <c r="E440" s="131" t="s">
        <v>735</v>
      </c>
    </row>
    <row r="441" spans="1:5">
      <c r="A441" s="131" t="s">
        <v>736</v>
      </c>
      <c r="B441" s="131" t="s">
        <v>2467</v>
      </c>
      <c r="D441" s="131" t="s">
        <v>2467</v>
      </c>
      <c r="E441" s="131" t="s">
        <v>736</v>
      </c>
    </row>
    <row r="442" spans="1:5">
      <c r="A442" s="131" t="s">
        <v>737</v>
      </c>
      <c r="B442" s="131" t="s">
        <v>2468</v>
      </c>
      <c r="D442" s="131" t="s">
        <v>2468</v>
      </c>
      <c r="E442" s="131" t="s">
        <v>737</v>
      </c>
    </row>
    <row r="443" spans="1:5">
      <c r="A443" s="131" t="s">
        <v>738</v>
      </c>
      <c r="B443" s="131" t="s">
        <v>2469</v>
      </c>
      <c r="D443" s="131" t="s">
        <v>2469</v>
      </c>
      <c r="E443" s="131" t="s">
        <v>738</v>
      </c>
    </row>
    <row r="444" spans="1:5">
      <c r="A444" s="131" t="s">
        <v>739</v>
      </c>
      <c r="B444" s="131" t="s">
        <v>2237</v>
      </c>
      <c r="D444" s="131" t="s">
        <v>2237</v>
      </c>
      <c r="E444" s="131" t="s">
        <v>739</v>
      </c>
    </row>
    <row r="445" spans="1:5">
      <c r="A445" s="131" t="s">
        <v>740</v>
      </c>
      <c r="B445" s="131" t="s">
        <v>2238</v>
      </c>
      <c r="D445" s="131" t="s">
        <v>2238</v>
      </c>
      <c r="E445" s="131" t="s">
        <v>740</v>
      </c>
    </row>
    <row r="446" spans="1:5">
      <c r="A446" s="131" t="s">
        <v>741</v>
      </c>
      <c r="B446" s="131" t="s">
        <v>2239</v>
      </c>
      <c r="D446" s="131" t="s">
        <v>2239</v>
      </c>
      <c r="E446" s="131" t="s">
        <v>741</v>
      </c>
    </row>
    <row r="447" spans="1:5">
      <c r="A447" s="131" t="s">
        <v>742</v>
      </c>
      <c r="B447" s="131" t="s">
        <v>2240</v>
      </c>
      <c r="D447" s="131" t="s">
        <v>2240</v>
      </c>
      <c r="E447" s="131" t="s">
        <v>742</v>
      </c>
    </row>
    <row r="448" spans="1:5">
      <c r="A448" s="131" t="s">
        <v>743</v>
      </c>
      <c r="B448" s="131" t="s">
        <v>2241</v>
      </c>
      <c r="D448" s="131" t="s">
        <v>2241</v>
      </c>
      <c r="E448" s="131" t="s">
        <v>743</v>
      </c>
    </row>
    <row r="449" spans="1:5">
      <c r="A449" s="131" t="s">
        <v>744</v>
      </c>
      <c r="B449" s="131" t="s">
        <v>2470</v>
      </c>
      <c r="D449" s="131" t="s">
        <v>2470</v>
      </c>
      <c r="E449" s="131" t="s">
        <v>744</v>
      </c>
    </row>
    <row r="450" spans="1:5">
      <c r="A450" s="131" t="s">
        <v>745</v>
      </c>
      <c r="B450" s="131" t="s">
        <v>2242</v>
      </c>
      <c r="D450" s="131" t="s">
        <v>2242</v>
      </c>
      <c r="E450" s="131" t="s">
        <v>745</v>
      </c>
    </row>
    <row r="451" spans="1:5">
      <c r="A451" s="131" t="s">
        <v>746</v>
      </c>
      <c r="B451" s="131" t="s">
        <v>2243</v>
      </c>
      <c r="D451" s="131" t="s">
        <v>2243</v>
      </c>
      <c r="E451" s="131" t="s">
        <v>746</v>
      </c>
    </row>
    <row r="452" spans="1:5">
      <c r="A452" s="131" t="s">
        <v>860</v>
      </c>
      <c r="B452" s="131" t="s">
        <v>2471</v>
      </c>
      <c r="D452" s="131" t="s">
        <v>2471</v>
      </c>
      <c r="E452" s="131" t="s">
        <v>860</v>
      </c>
    </row>
    <row r="453" spans="1:5">
      <c r="A453" s="131" t="s">
        <v>747</v>
      </c>
      <c r="B453" s="131" t="s">
        <v>2244</v>
      </c>
      <c r="D453" s="131" t="s">
        <v>2244</v>
      </c>
      <c r="E453" s="131" t="s">
        <v>747</v>
      </c>
    </row>
    <row r="454" spans="1:5">
      <c r="A454" s="131" t="s">
        <v>748</v>
      </c>
      <c r="B454" s="131" t="s">
        <v>2245</v>
      </c>
      <c r="D454" s="131" t="s">
        <v>2245</v>
      </c>
      <c r="E454" s="131" t="s">
        <v>748</v>
      </c>
    </row>
    <row r="455" spans="1:5">
      <c r="A455" s="131" t="s">
        <v>749</v>
      </c>
      <c r="B455" s="131" t="s">
        <v>2246</v>
      </c>
      <c r="D455" s="131" t="s">
        <v>2246</v>
      </c>
      <c r="E455" s="131" t="s">
        <v>749</v>
      </c>
    </row>
    <row r="456" spans="1:5">
      <c r="A456" s="131" t="s">
        <v>750</v>
      </c>
      <c r="B456" s="131" t="s">
        <v>2247</v>
      </c>
      <c r="D456" s="131" t="s">
        <v>2247</v>
      </c>
      <c r="E456" s="131" t="s">
        <v>750</v>
      </c>
    </row>
    <row r="457" spans="1:5">
      <c r="A457" s="131" t="s">
        <v>751</v>
      </c>
      <c r="B457" s="131" t="s">
        <v>2248</v>
      </c>
      <c r="D457" s="131" t="s">
        <v>2248</v>
      </c>
      <c r="E457" s="131" t="s">
        <v>751</v>
      </c>
    </row>
    <row r="458" spans="1:5">
      <c r="A458" s="131" t="s">
        <v>752</v>
      </c>
      <c r="B458" s="131" t="s">
        <v>2249</v>
      </c>
      <c r="D458" s="131" t="s">
        <v>2249</v>
      </c>
      <c r="E458" s="131" t="s">
        <v>752</v>
      </c>
    </row>
    <row r="459" spans="1:5">
      <c r="A459" s="131" t="s">
        <v>753</v>
      </c>
      <c r="B459" s="131" t="s">
        <v>2250</v>
      </c>
      <c r="D459" s="131" t="s">
        <v>2250</v>
      </c>
      <c r="E459" s="131" t="s">
        <v>753</v>
      </c>
    </row>
    <row r="460" spans="1:5">
      <c r="A460" s="132" t="s">
        <v>2472</v>
      </c>
      <c r="B460" s="132" t="s">
        <v>2473</v>
      </c>
      <c r="D460" s="132" t="s">
        <v>2473</v>
      </c>
      <c r="E460" s="132" t="s">
        <v>2472</v>
      </c>
    </row>
    <row r="461" spans="1:5">
      <c r="A461" s="132" t="s">
        <v>2474</v>
      </c>
      <c r="B461" s="132" t="s">
        <v>2475</v>
      </c>
      <c r="D461" s="132" t="s">
        <v>2475</v>
      </c>
      <c r="E461" s="132" t="s">
        <v>2474</v>
      </c>
    </row>
    <row r="462" spans="1:5">
      <c r="A462" s="132" t="s">
        <v>2476</v>
      </c>
      <c r="B462" s="132" t="s">
        <v>2477</v>
      </c>
      <c r="D462" s="132" t="s">
        <v>2477</v>
      </c>
      <c r="E462" s="132" t="s">
        <v>2476</v>
      </c>
    </row>
    <row r="463" spans="1:5">
      <c r="A463" s="131" t="s">
        <v>754</v>
      </c>
      <c r="B463" s="131" t="s">
        <v>2251</v>
      </c>
      <c r="D463" s="131" t="s">
        <v>2251</v>
      </c>
      <c r="E463" s="131" t="s">
        <v>754</v>
      </c>
    </row>
    <row r="464" spans="1:5">
      <c r="A464" s="131" t="s">
        <v>755</v>
      </c>
      <c r="B464" s="131" t="s">
        <v>2252</v>
      </c>
      <c r="D464" s="131" t="s">
        <v>2252</v>
      </c>
      <c r="E464" s="131" t="s">
        <v>755</v>
      </c>
    </row>
    <row r="465" spans="1:5">
      <c r="A465" s="131" t="s">
        <v>756</v>
      </c>
      <c r="B465" s="131" t="s">
        <v>2253</v>
      </c>
      <c r="D465" s="131" t="s">
        <v>2253</v>
      </c>
      <c r="E465" s="131" t="s">
        <v>756</v>
      </c>
    </row>
    <row r="466" spans="1:5">
      <c r="A466" s="131" t="s">
        <v>757</v>
      </c>
      <c r="B466" s="131" t="s">
        <v>2254</v>
      </c>
      <c r="D466" s="131" t="s">
        <v>2254</v>
      </c>
      <c r="E466" s="131" t="s">
        <v>757</v>
      </c>
    </row>
    <row r="467" spans="1:5">
      <c r="A467" s="131" t="s">
        <v>758</v>
      </c>
      <c r="B467" s="131" t="s">
        <v>2255</v>
      </c>
      <c r="D467" s="131" t="s">
        <v>2255</v>
      </c>
      <c r="E467" s="131" t="s">
        <v>758</v>
      </c>
    </row>
    <row r="468" spans="1:5">
      <c r="A468" s="131" t="s">
        <v>759</v>
      </c>
      <c r="B468" s="131" t="s">
        <v>2256</v>
      </c>
      <c r="D468" s="131" t="s">
        <v>2256</v>
      </c>
      <c r="E468" s="131" t="s">
        <v>759</v>
      </c>
    </row>
    <row r="469" spans="1:5">
      <c r="A469" s="131" t="s">
        <v>760</v>
      </c>
      <c r="B469" s="131" t="s">
        <v>2478</v>
      </c>
      <c r="D469" s="131" t="s">
        <v>2478</v>
      </c>
      <c r="E469" s="131" t="s">
        <v>760</v>
      </c>
    </row>
    <row r="470" spans="1:5">
      <c r="A470" s="131" t="s">
        <v>761</v>
      </c>
      <c r="B470" s="131" t="s">
        <v>2257</v>
      </c>
      <c r="D470" s="131" t="s">
        <v>2257</v>
      </c>
      <c r="E470" s="131" t="s">
        <v>761</v>
      </c>
    </row>
    <row r="471" spans="1:5">
      <c r="A471" s="131" t="s">
        <v>762</v>
      </c>
      <c r="B471" s="131" t="s">
        <v>2258</v>
      </c>
      <c r="D471" s="131" t="s">
        <v>2258</v>
      </c>
      <c r="E471" s="131" t="s">
        <v>762</v>
      </c>
    </row>
    <row r="472" spans="1:5">
      <c r="A472" s="131" t="s">
        <v>763</v>
      </c>
      <c r="B472" s="131" t="s">
        <v>2259</v>
      </c>
      <c r="D472" s="131" t="s">
        <v>2259</v>
      </c>
      <c r="E472" s="131" t="s">
        <v>763</v>
      </c>
    </row>
    <row r="473" spans="1:5">
      <c r="A473" s="131" t="s">
        <v>764</v>
      </c>
      <c r="B473" s="131" t="s">
        <v>2479</v>
      </c>
      <c r="D473" s="131" t="s">
        <v>2479</v>
      </c>
      <c r="E473" s="131" t="s">
        <v>764</v>
      </c>
    </row>
    <row r="474" spans="1:5">
      <c r="A474" s="131" t="s">
        <v>765</v>
      </c>
      <c r="B474" s="131" t="s">
        <v>2260</v>
      </c>
      <c r="D474" s="131" t="s">
        <v>2260</v>
      </c>
      <c r="E474" s="131" t="s">
        <v>765</v>
      </c>
    </row>
    <row r="475" spans="1:5">
      <c r="A475" s="131" t="s">
        <v>766</v>
      </c>
      <c r="B475" s="131" t="s">
        <v>2261</v>
      </c>
      <c r="D475" s="131" t="s">
        <v>2261</v>
      </c>
      <c r="E475" s="131" t="s">
        <v>766</v>
      </c>
    </row>
    <row r="476" spans="1:5">
      <c r="A476" s="131" t="s">
        <v>767</v>
      </c>
      <c r="B476" s="131" t="s">
        <v>2262</v>
      </c>
      <c r="D476" s="131" t="s">
        <v>2262</v>
      </c>
      <c r="E476" s="131" t="s">
        <v>767</v>
      </c>
    </row>
    <row r="477" spans="1:5">
      <c r="A477" s="131" t="s">
        <v>768</v>
      </c>
      <c r="B477" s="131" t="s">
        <v>2263</v>
      </c>
      <c r="D477" s="131" t="s">
        <v>2263</v>
      </c>
      <c r="E477" s="131" t="s">
        <v>768</v>
      </c>
    </row>
    <row r="478" spans="1:5">
      <c r="A478" s="131" t="s">
        <v>769</v>
      </c>
      <c r="B478" s="131" t="s">
        <v>2480</v>
      </c>
      <c r="D478" s="131" t="s">
        <v>2480</v>
      </c>
      <c r="E478" s="131" t="s">
        <v>769</v>
      </c>
    </row>
    <row r="479" spans="1:5">
      <c r="A479" s="131" t="s">
        <v>770</v>
      </c>
      <c r="B479" s="131" t="s">
        <v>2264</v>
      </c>
      <c r="D479" s="131" t="s">
        <v>2264</v>
      </c>
      <c r="E479" s="131" t="s">
        <v>770</v>
      </c>
    </row>
    <row r="480" spans="1:5">
      <c r="A480" s="131" t="s">
        <v>1786</v>
      </c>
      <c r="B480" s="131" t="s">
        <v>2265</v>
      </c>
      <c r="D480" s="131" t="s">
        <v>2265</v>
      </c>
      <c r="E480" s="131" t="s">
        <v>1786</v>
      </c>
    </row>
    <row r="481" spans="1:5">
      <c r="A481" s="131" t="s">
        <v>771</v>
      </c>
      <c r="B481" s="131" t="s">
        <v>2266</v>
      </c>
      <c r="D481" s="131" t="s">
        <v>2266</v>
      </c>
      <c r="E481" s="131" t="s">
        <v>771</v>
      </c>
    </row>
    <row r="482" spans="1:5">
      <c r="A482" s="131" t="s">
        <v>772</v>
      </c>
      <c r="B482" s="131" t="s">
        <v>2267</v>
      </c>
      <c r="D482" s="131" t="s">
        <v>2267</v>
      </c>
      <c r="E482" s="131" t="s">
        <v>772</v>
      </c>
    </row>
    <row r="483" spans="1:5">
      <c r="A483" s="131" t="s">
        <v>773</v>
      </c>
      <c r="B483" s="131" t="s">
        <v>2268</v>
      </c>
      <c r="D483" s="131" t="s">
        <v>2268</v>
      </c>
      <c r="E483" s="131" t="s">
        <v>773</v>
      </c>
    </row>
    <row r="484" spans="1:5">
      <c r="A484" s="131" t="s">
        <v>774</v>
      </c>
      <c r="B484" s="131" t="s">
        <v>2269</v>
      </c>
      <c r="D484" s="131" t="s">
        <v>2269</v>
      </c>
      <c r="E484" s="131" t="s">
        <v>774</v>
      </c>
    </row>
    <row r="485" spans="1:5">
      <c r="A485" s="131" t="s">
        <v>775</v>
      </c>
      <c r="B485" s="131" t="s">
        <v>2270</v>
      </c>
      <c r="D485" s="131" t="s">
        <v>2270</v>
      </c>
      <c r="E485" s="131" t="s">
        <v>775</v>
      </c>
    </row>
    <row r="486" spans="1:5">
      <c r="A486" s="131" t="s">
        <v>776</v>
      </c>
      <c r="B486" s="131" t="s">
        <v>2271</v>
      </c>
      <c r="D486" s="131" t="s">
        <v>2271</v>
      </c>
      <c r="E486" s="131" t="s">
        <v>776</v>
      </c>
    </row>
    <row r="487" spans="1:5">
      <c r="A487" s="131" t="s">
        <v>777</v>
      </c>
      <c r="B487" s="131" t="s">
        <v>2272</v>
      </c>
      <c r="D487" s="131" t="s">
        <v>2272</v>
      </c>
      <c r="E487" s="131" t="s">
        <v>777</v>
      </c>
    </row>
    <row r="488" spans="1:5">
      <c r="A488" s="131" t="s">
        <v>778</v>
      </c>
      <c r="B488" s="131" t="s">
        <v>2273</v>
      </c>
      <c r="D488" s="131" t="s">
        <v>2273</v>
      </c>
      <c r="E488" s="131" t="s">
        <v>778</v>
      </c>
    </row>
    <row r="489" spans="1:5">
      <c r="A489" s="131" t="s">
        <v>779</v>
      </c>
      <c r="B489" s="131" t="s">
        <v>2274</v>
      </c>
      <c r="D489" s="131" t="s">
        <v>2274</v>
      </c>
      <c r="E489" s="131" t="s">
        <v>779</v>
      </c>
    </row>
    <row r="490" spans="1:5">
      <c r="A490" s="131" t="s">
        <v>780</v>
      </c>
      <c r="B490" s="131" t="s">
        <v>2275</v>
      </c>
      <c r="D490" s="131" t="s">
        <v>2275</v>
      </c>
      <c r="E490" s="131" t="s">
        <v>780</v>
      </c>
    </row>
    <row r="491" spans="1:5">
      <c r="A491" s="131" t="s">
        <v>781</v>
      </c>
      <c r="B491" s="131" t="s">
        <v>2276</v>
      </c>
      <c r="D491" s="131" t="s">
        <v>2276</v>
      </c>
      <c r="E491" s="131" t="s">
        <v>781</v>
      </c>
    </row>
    <row r="492" spans="1:5">
      <c r="A492" s="131" t="s">
        <v>782</v>
      </c>
      <c r="B492" s="131" t="s">
        <v>2277</v>
      </c>
      <c r="D492" s="131" t="s">
        <v>2277</v>
      </c>
      <c r="E492" s="131" t="s">
        <v>782</v>
      </c>
    </row>
  </sheetData>
  <sheetProtection algorithmName="SHA-512" hashValue="Zceg0EaASgqClvC4MYr0lrYr/Ku6HnCxpA3eclcmOqUO/1l99hav0suBTKLDAbp8NgQHAMF4fNGtg7MGnlk7sA==" saltValue="O83xz5vMu1i6NuepaZNRbw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>
    <pageSetUpPr fitToPage="1"/>
  </sheetPr>
  <dimension ref="B1:O41"/>
  <sheetViews>
    <sheetView showGridLines="0" showRuler="0" zoomScale="90" zoomScaleNormal="90" zoomScalePageLayoutView="90" workbookViewId="0"/>
  </sheetViews>
  <sheetFormatPr baseColWidth="10" defaultColWidth="11.44140625" defaultRowHeight="13.8"/>
  <cols>
    <col min="1" max="1" width="6.5546875" style="44" customWidth="1"/>
    <col min="2" max="2" width="6.5546875" style="448" hidden="1" customWidth="1"/>
    <col min="3" max="3" width="4" style="25" customWidth="1"/>
    <col min="4" max="4" width="41.88671875" style="44" customWidth="1"/>
    <col min="5" max="5" width="5.33203125" style="448" customWidth="1"/>
    <col min="6" max="14" width="11.77734375" style="44" customWidth="1"/>
    <col min="15" max="15" width="20.33203125" style="44" customWidth="1"/>
    <col min="16" max="16384" width="11.44140625" style="44"/>
  </cols>
  <sheetData>
    <row r="1" spans="2:15" ht="18" customHeight="1">
      <c r="C1" s="144" t="s">
        <v>794</v>
      </c>
      <c r="D1" s="404"/>
      <c r="E1" s="405"/>
      <c r="F1" s="406"/>
      <c r="G1" s="406"/>
      <c r="H1" s="406"/>
      <c r="I1" s="406"/>
      <c r="J1" s="51"/>
      <c r="K1" s="51"/>
      <c r="L1" s="51"/>
      <c r="M1" s="51"/>
      <c r="N1" s="51"/>
      <c r="O1" s="51"/>
    </row>
    <row r="2" spans="2:15" ht="17.399999999999999">
      <c r="C2" s="26" t="s">
        <v>1841</v>
      </c>
      <c r="D2" s="322"/>
      <c r="E2" s="405"/>
      <c r="F2" s="322"/>
      <c r="G2" s="322"/>
      <c r="H2" s="322"/>
      <c r="I2" s="322"/>
      <c r="J2" s="322"/>
      <c r="K2" s="322"/>
      <c r="L2" s="322"/>
      <c r="M2" s="322"/>
      <c r="N2" s="322"/>
    </row>
    <row r="3" spans="2:15" ht="18" thickBot="1">
      <c r="C3" s="26" t="s">
        <v>1842</v>
      </c>
      <c r="D3" s="407"/>
      <c r="E3" s="408"/>
      <c r="F3" s="407"/>
      <c r="G3" s="407"/>
      <c r="H3" s="407"/>
      <c r="I3" s="407"/>
      <c r="J3" s="407"/>
      <c r="K3" s="407"/>
      <c r="L3" s="407"/>
      <c r="M3" s="407"/>
      <c r="N3" s="407"/>
    </row>
    <row r="4" spans="2:15" ht="33" customHeight="1" thickTop="1">
      <c r="B4" s="448">
        <v>1</v>
      </c>
      <c r="C4" s="735" t="s">
        <v>1843</v>
      </c>
      <c r="D4" s="735"/>
      <c r="E4" s="88"/>
      <c r="F4" s="788" t="s">
        <v>1844</v>
      </c>
      <c r="G4" s="789"/>
      <c r="H4" s="789"/>
      <c r="I4" s="790" t="s">
        <v>1634</v>
      </c>
      <c r="J4" s="789"/>
      <c r="K4" s="791"/>
      <c r="L4" s="790" t="s">
        <v>1635</v>
      </c>
      <c r="M4" s="789"/>
      <c r="N4" s="789"/>
    </row>
    <row r="5" spans="2:15" ht="23.25" customHeight="1" thickBot="1">
      <c r="B5" s="448">
        <v>2</v>
      </c>
      <c r="C5" s="736"/>
      <c r="D5" s="736"/>
      <c r="E5" s="145"/>
      <c r="F5" s="324" t="s">
        <v>0</v>
      </c>
      <c r="G5" s="409" t="s">
        <v>164</v>
      </c>
      <c r="H5" s="326" t="s">
        <v>165</v>
      </c>
      <c r="I5" s="331" t="s">
        <v>0</v>
      </c>
      <c r="J5" s="409" t="s">
        <v>164</v>
      </c>
      <c r="K5" s="410" t="s">
        <v>165</v>
      </c>
      <c r="L5" s="326" t="s">
        <v>0</v>
      </c>
      <c r="M5" s="409" t="s">
        <v>164</v>
      </c>
      <c r="N5" s="326" t="s">
        <v>165</v>
      </c>
    </row>
    <row r="6" spans="2:15" ht="18" customHeight="1" thickTop="1" thickBot="1">
      <c r="B6" s="448">
        <v>3</v>
      </c>
      <c r="C6" s="792" t="s">
        <v>0</v>
      </c>
      <c r="D6" s="792"/>
      <c r="E6" s="411" t="str">
        <f>IF(OR(G6&gt;'CUADRO 1'!F6,H6&gt;'CUADRO 1'!G6),"/*/","")</f>
        <v/>
      </c>
      <c r="F6" s="412">
        <f>+G6+H6</f>
        <v>0</v>
      </c>
      <c r="G6" s="413">
        <f>SUM(G7:G35)</f>
        <v>0</v>
      </c>
      <c r="H6" s="414">
        <f>SUM(H7:H35)</f>
        <v>0</v>
      </c>
      <c r="I6" s="415">
        <f>+J6+K6</f>
        <v>0</v>
      </c>
      <c r="J6" s="413">
        <f>SUM(J7:J35)</f>
        <v>0</v>
      </c>
      <c r="K6" s="416">
        <f>SUM(K7:K35)</f>
        <v>0</v>
      </c>
      <c r="L6" s="414">
        <f>+M6+N6</f>
        <v>0</v>
      </c>
      <c r="M6" s="413">
        <f>SUM(M7:M35)</f>
        <v>0</v>
      </c>
      <c r="N6" s="414">
        <f>SUM(N7:N35)</f>
        <v>0</v>
      </c>
      <c r="O6" s="767" t="str">
        <f>IF(E6="/*/","/*/ El dato indicado en Extranjeros (hombres o mujeres) es mayor al total de Técnica Diurna del Cuadro 1.","")</f>
        <v/>
      </c>
    </row>
    <row r="7" spans="2:15" ht="18" customHeight="1">
      <c r="B7" s="448">
        <v>4</v>
      </c>
      <c r="C7" s="417" t="s">
        <v>197</v>
      </c>
      <c r="D7" s="418" t="s">
        <v>243</v>
      </c>
      <c r="E7" s="419" t="str">
        <f>IF(OR(J7&gt;G7,M7&gt;G7,K7&gt;H7,N7&gt;H7),"**","")</f>
        <v/>
      </c>
      <c r="F7" s="67">
        <f>+G7+H7</f>
        <v>0</v>
      </c>
      <c r="G7" s="233"/>
      <c r="H7" s="234"/>
      <c r="I7" s="344">
        <f>+J7+K7</f>
        <v>0</v>
      </c>
      <c r="J7" s="233"/>
      <c r="K7" s="343"/>
      <c r="L7" s="85">
        <f>+M7+N7</f>
        <v>0</v>
      </c>
      <c r="M7" s="233"/>
      <c r="N7" s="234"/>
      <c r="O7" s="767"/>
    </row>
    <row r="8" spans="2:15" ht="18" customHeight="1">
      <c r="B8" s="448">
        <v>5</v>
      </c>
      <c r="C8" s="420" t="s">
        <v>198</v>
      </c>
      <c r="D8" s="421" t="s">
        <v>229</v>
      </c>
      <c r="E8" s="422" t="str">
        <f t="shared" ref="E8:E35" si="0">IF(OR(J8&gt;G8,M8&gt;G8,K8&gt;H8,N8&gt;H8),"**","")</f>
        <v/>
      </c>
      <c r="F8" s="236">
        <f>+G8+H8</f>
        <v>0</v>
      </c>
      <c r="G8" s="237"/>
      <c r="H8" s="238"/>
      <c r="I8" s="350">
        <f>+J8+K8</f>
        <v>0</v>
      </c>
      <c r="J8" s="237"/>
      <c r="K8" s="349"/>
      <c r="L8" s="423">
        <f>+M8+N8</f>
        <v>0</v>
      </c>
      <c r="M8" s="237"/>
      <c r="N8" s="238"/>
      <c r="O8" s="767"/>
    </row>
    <row r="9" spans="2:15" ht="18" customHeight="1">
      <c r="B9" s="448">
        <v>6</v>
      </c>
      <c r="C9" s="420" t="s">
        <v>199</v>
      </c>
      <c r="D9" s="421" t="s">
        <v>241</v>
      </c>
      <c r="E9" s="422" t="str">
        <f t="shared" si="0"/>
        <v/>
      </c>
      <c r="F9" s="236">
        <f t="shared" ref="F9:F35" si="1">+G9+H9</f>
        <v>0</v>
      </c>
      <c r="G9" s="237"/>
      <c r="H9" s="238"/>
      <c r="I9" s="350">
        <f t="shared" ref="I9:I35" si="2">+J9+K9</f>
        <v>0</v>
      </c>
      <c r="J9" s="237"/>
      <c r="K9" s="349"/>
      <c r="L9" s="423">
        <f t="shared" ref="L9:L35" si="3">+M9+N9</f>
        <v>0</v>
      </c>
      <c r="M9" s="237"/>
      <c r="N9" s="238"/>
      <c r="O9" s="767"/>
    </row>
    <row r="10" spans="2:15" ht="18" customHeight="1">
      <c r="B10" s="448">
        <v>7</v>
      </c>
      <c r="C10" s="420" t="s">
        <v>200</v>
      </c>
      <c r="D10" s="421" t="s">
        <v>246</v>
      </c>
      <c r="E10" s="422" t="str">
        <f t="shared" si="0"/>
        <v/>
      </c>
      <c r="F10" s="236">
        <f t="shared" si="1"/>
        <v>0</v>
      </c>
      <c r="G10" s="237"/>
      <c r="H10" s="238"/>
      <c r="I10" s="350">
        <f t="shared" si="2"/>
        <v>0</v>
      </c>
      <c r="J10" s="237"/>
      <c r="K10" s="349"/>
      <c r="L10" s="423">
        <f t="shared" si="3"/>
        <v>0</v>
      </c>
      <c r="M10" s="237"/>
      <c r="N10" s="238"/>
      <c r="O10" s="767"/>
    </row>
    <row r="11" spans="2:15" ht="18" customHeight="1">
      <c r="B11" s="448">
        <v>8</v>
      </c>
      <c r="C11" s="420" t="s">
        <v>201</v>
      </c>
      <c r="D11" s="421" t="s">
        <v>226</v>
      </c>
      <c r="E11" s="422" t="str">
        <f t="shared" si="0"/>
        <v/>
      </c>
      <c r="F11" s="236">
        <f t="shared" si="1"/>
        <v>0</v>
      </c>
      <c r="G11" s="237"/>
      <c r="H11" s="238"/>
      <c r="I11" s="350">
        <f t="shared" si="2"/>
        <v>0</v>
      </c>
      <c r="J11" s="237"/>
      <c r="K11" s="349"/>
      <c r="L11" s="423">
        <f t="shared" si="3"/>
        <v>0</v>
      </c>
      <c r="M11" s="237"/>
      <c r="N11" s="238"/>
      <c r="O11" s="767"/>
    </row>
    <row r="12" spans="2:15" ht="18" customHeight="1">
      <c r="B12" s="448">
        <v>9</v>
      </c>
      <c r="C12" s="420" t="s">
        <v>202</v>
      </c>
      <c r="D12" s="421" t="s">
        <v>242</v>
      </c>
      <c r="E12" s="422" t="str">
        <f t="shared" si="0"/>
        <v/>
      </c>
      <c r="F12" s="236">
        <f t="shared" si="1"/>
        <v>0</v>
      </c>
      <c r="G12" s="237"/>
      <c r="H12" s="238"/>
      <c r="I12" s="350">
        <f t="shared" si="2"/>
        <v>0</v>
      </c>
      <c r="J12" s="237"/>
      <c r="K12" s="349"/>
      <c r="L12" s="423">
        <f t="shared" si="3"/>
        <v>0</v>
      </c>
      <c r="M12" s="237"/>
      <c r="N12" s="238"/>
      <c r="O12" s="767"/>
    </row>
    <row r="13" spans="2:15" ht="18" customHeight="1">
      <c r="B13" s="448">
        <v>10</v>
      </c>
      <c r="C13" s="420" t="s">
        <v>203</v>
      </c>
      <c r="D13" s="421" t="s">
        <v>238</v>
      </c>
      <c r="E13" s="422" t="str">
        <f t="shared" si="0"/>
        <v/>
      </c>
      <c r="F13" s="236">
        <f t="shared" si="1"/>
        <v>0</v>
      </c>
      <c r="G13" s="237"/>
      <c r="H13" s="238"/>
      <c r="I13" s="350">
        <f t="shared" si="2"/>
        <v>0</v>
      </c>
      <c r="J13" s="237"/>
      <c r="K13" s="349"/>
      <c r="L13" s="423">
        <f t="shared" si="3"/>
        <v>0</v>
      </c>
      <c r="M13" s="237"/>
      <c r="N13" s="238"/>
      <c r="O13" s="767"/>
    </row>
    <row r="14" spans="2:15" ht="18" customHeight="1">
      <c r="B14" s="448">
        <v>11</v>
      </c>
      <c r="C14" s="420" t="s">
        <v>204</v>
      </c>
      <c r="D14" s="421" t="s">
        <v>235</v>
      </c>
      <c r="E14" s="422" t="str">
        <f t="shared" si="0"/>
        <v/>
      </c>
      <c r="F14" s="236">
        <f t="shared" si="1"/>
        <v>0</v>
      </c>
      <c r="G14" s="237"/>
      <c r="H14" s="238"/>
      <c r="I14" s="350">
        <f t="shared" si="2"/>
        <v>0</v>
      </c>
      <c r="J14" s="237"/>
      <c r="K14" s="349"/>
      <c r="L14" s="423">
        <f t="shared" si="3"/>
        <v>0</v>
      </c>
      <c r="M14" s="237"/>
      <c r="N14" s="238"/>
    </row>
    <row r="15" spans="2:15" ht="18" customHeight="1">
      <c r="B15" s="448">
        <v>12</v>
      </c>
      <c r="C15" s="420" t="s">
        <v>205</v>
      </c>
      <c r="D15" s="421" t="s">
        <v>239</v>
      </c>
      <c r="E15" s="422" t="str">
        <f t="shared" si="0"/>
        <v/>
      </c>
      <c r="F15" s="236">
        <f t="shared" si="1"/>
        <v>0</v>
      </c>
      <c r="G15" s="237"/>
      <c r="H15" s="238"/>
      <c r="I15" s="350">
        <f t="shared" si="2"/>
        <v>0</v>
      </c>
      <c r="J15" s="237"/>
      <c r="K15" s="349"/>
      <c r="L15" s="423">
        <f t="shared" si="3"/>
        <v>0</v>
      </c>
      <c r="M15" s="237"/>
      <c r="N15" s="238"/>
      <c r="O15" s="771" t="str">
        <f>IF(OR(E7="**",E8="**",E9="**",E10="**",E11="**",E12="**",E13="**",E14="**",E15="**",E16="**",E17="**",E18="**",E19="**",E20="**",E21="**",E22="**",E23="**",E24="**",E25="**",E26="**",E27="**",E28="**",E29="**",E30="**",E31="**",E32="**",E33="**",E34="**",E35="**",),"** El dato indicado en Refugiados o en Solicitante de Asilo, es mayor a lo indicado en Extranjeros.","")</f>
        <v/>
      </c>
    </row>
    <row r="16" spans="2:15" ht="18" customHeight="1">
      <c r="B16" s="448">
        <v>13</v>
      </c>
      <c r="C16" s="420" t="s">
        <v>206</v>
      </c>
      <c r="D16" s="421" t="s">
        <v>232</v>
      </c>
      <c r="E16" s="422" t="str">
        <f t="shared" si="0"/>
        <v/>
      </c>
      <c r="F16" s="236">
        <f t="shared" si="1"/>
        <v>0</v>
      </c>
      <c r="G16" s="237"/>
      <c r="H16" s="238"/>
      <c r="I16" s="350">
        <f t="shared" si="2"/>
        <v>0</v>
      </c>
      <c r="J16" s="237"/>
      <c r="K16" s="349"/>
      <c r="L16" s="423">
        <f t="shared" si="3"/>
        <v>0</v>
      </c>
      <c r="M16" s="237"/>
      <c r="N16" s="238"/>
      <c r="O16" s="771"/>
    </row>
    <row r="17" spans="2:15" ht="18" customHeight="1">
      <c r="B17" s="448">
        <v>14</v>
      </c>
      <c r="C17" s="420" t="s">
        <v>207</v>
      </c>
      <c r="D17" s="421" t="s">
        <v>227</v>
      </c>
      <c r="E17" s="422" t="str">
        <f t="shared" si="0"/>
        <v/>
      </c>
      <c r="F17" s="236">
        <f t="shared" si="1"/>
        <v>0</v>
      </c>
      <c r="G17" s="237"/>
      <c r="H17" s="238"/>
      <c r="I17" s="350">
        <f t="shared" si="2"/>
        <v>0</v>
      </c>
      <c r="J17" s="237"/>
      <c r="K17" s="349"/>
      <c r="L17" s="423">
        <f t="shared" si="3"/>
        <v>0</v>
      </c>
      <c r="M17" s="237"/>
      <c r="N17" s="238"/>
      <c r="O17" s="771"/>
    </row>
    <row r="18" spans="2:15" ht="18" customHeight="1">
      <c r="B18" s="448">
        <v>15</v>
      </c>
      <c r="C18" s="420" t="s">
        <v>208</v>
      </c>
      <c r="D18" s="421" t="s">
        <v>230</v>
      </c>
      <c r="E18" s="422" t="str">
        <f t="shared" si="0"/>
        <v/>
      </c>
      <c r="F18" s="236">
        <f t="shared" si="1"/>
        <v>0</v>
      </c>
      <c r="G18" s="237"/>
      <c r="H18" s="238"/>
      <c r="I18" s="350">
        <f t="shared" si="2"/>
        <v>0</v>
      </c>
      <c r="J18" s="237"/>
      <c r="K18" s="349"/>
      <c r="L18" s="423">
        <f t="shared" si="3"/>
        <v>0</v>
      </c>
      <c r="M18" s="237"/>
      <c r="N18" s="238"/>
      <c r="O18" s="771"/>
    </row>
    <row r="19" spans="2:15" ht="18" customHeight="1">
      <c r="B19" s="448">
        <v>16</v>
      </c>
      <c r="C19" s="420" t="s">
        <v>209</v>
      </c>
      <c r="D19" s="421" t="s">
        <v>248</v>
      </c>
      <c r="E19" s="422" t="str">
        <f t="shared" si="0"/>
        <v/>
      </c>
      <c r="F19" s="236">
        <f t="shared" si="1"/>
        <v>0</v>
      </c>
      <c r="G19" s="237"/>
      <c r="H19" s="238"/>
      <c r="I19" s="350">
        <f t="shared" si="2"/>
        <v>0</v>
      </c>
      <c r="J19" s="237"/>
      <c r="K19" s="349"/>
      <c r="L19" s="423">
        <f t="shared" si="3"/>
        <v>0</v>
      </c>
      <c r="M19" s="237"/>
      <c r="N19" s="238"/>
      <c r="O19" s="771"/>
    </row>
    <row r="20" spans="2:15" ht="18" customHeight="1">
      <c r="B20" s="448">
        <v>17</v>
      </c>
      <c r="C20" s="420" t="s">
        <v>210</v>
      </c>
      <c r="D20" s="421" t="s">
        <v>237</v>
      </c>
      <c r="E20" s="422" t="str">
        <f t="shared" si="0"/>
        <v/>
      </c>
      <c r="F20" s="236">
        <f t="shared" si="1"/>
        <v>0</v>
      </c>
      <c r="G20" s="237"/>
      <c r="H20" s="238"/>
      <c r="I20" s="350">
        <f t="shared" si="2"/>
        <v>0</v>
      </c>
      <c r="J20" s="237"/>
      <c r="K20" s="349"/>
      <c r="L20" s="423">
        <f t="shared" si="3"/>
        <v>0</v>
      </c>
      <c r="M20" s="237"/>
      <c r="N20" s="238"/>
      <c r="O20" s="771"/>
    </row>
    <row r="21" spans="2:15" ht="18" customHeight="1">
      <c r="B21" s="448">
        <v>18</v>
      </c>
      <c r="C21" s="420" t="s">
        <v>211</v>
      </c>
      <c r="D21" s="421" t="s">
        <v>231</v>
      </c>
      <c r="E21" s="422" t="str">
        <f t="shared" si="0"/>
        <v/>
      </c>
      <c r="F21" s="236">
        <f t="shared" si="1"/>
        <v>0</v>
      </c>
      <c r="G21" s="237"/>
      <c r="H21" s="238"/>
      <c r="I21" s="350">
        <f t="shared" si="2"/>
        <v>0</v>
      </c>
      <c r="J21" s="237"/>
      <c r="K21" s="349"/>
      <c r="L21" s="423">
        <f t="shared" si="3"/>
        <v>0</v>
      </c>
      <c r="M21" s="237"/>
      <c r="N21" s="238"/>
      <c r="O21" s="771"/>
    </row>
    <row r="22" spans="2:15" ht="18" customHeight="1">
      <c r="B22" s="448">
        <v>19</v>
      </c>
      <c r="C22" s="420" t="s">
        <v>212</v>
      </c>
      <c r="D22" s="421" t="s">
        <v>228</v>
      </c>
      <c r="E22" s="422" t="str">
        <f t="shared" si="0"/>
        <v/>
      </c>
      <c r="F22" s="236">
        <f t="shared" si="1"/>
        <v>0</v>
      </c>
      <c r="G22" s="237"/>
      <c r="H22" s="238"/>
      <c r="I22" s="350">
        <f t="shared" si="2"/>
        <v>0</v>
      </c>
      <c r="J22" s="237"/>
      <c r="K22" s="349"/>
      <c r="L22" s="423">
        <f t="shared" si="3"/>
        <v>0</v>
      </c>
      <c r="M22" s="237"/>
      <c r="N22" s="238"/>
      <c r="O22" s="424"/>
    </row>
    <row r="23" spans="2:15" ht="18" customHeight="1">
      <c r="B23" s="448">
        <v>20</v>
      </c>
      <c r="C23" s="420" t="s">
        <v>213</v>
      </c>
      <c r="D23" s="421" t="s">
        <v>233</v>
      </c>
      <c r="E23" s="422" t="str">
        <f t="shared" si="0"/>
        <v/>
      </c>
      <c r="F23" s="236">
        <f t="shared" si="1"/>
        <v>0</v>
      </c>
      <c r="G23" s="237"/>
      <c r="H23" s="238"/>
      <c r="I23" s="350">
        <f t="shared" si="2"/>
        <v>0</v>
      </c>
      <c r="J23" s="237"/>
      <c r="K23" s="349"/>
      <c r="L23" s="423">
        <f t="shared" si="3"/>
        <v>0</v>
      </c>
      <c r="M23" s="237"/>
      <c r="N23" s="238"/>
    </row>
    <row r="24" spans="2:15" ht="18" customHeight="1">
      <c r="B24" s="448">
        <v>21</v>
      </c>
      <c r="C24" s="420" t="s">
        <v>214</v>
      </c>
      <c r="D24" s="421" t="s">
        <v>234</v>
      </c>
      <c r="E24" s="422" t="str">
        <f t="shared" si="0"/>
        <v/>
      </c>
      <c r="F24" s="236">
        <f t="shared" si="1"/>
        <v>0</v>
      </c>
      <c r="G24" s="237"/>
      <c r="H24" s="238"/>
      <c r="I24" s="350">
        <f t="shared" si="2"/>
        <v>0</v>
      </c>
      <c r="J24" s="237"/>
      <c r="K24" s="349"/>
      <c r="L24" s="423">
        <f t="shared" si="3"/>
        <v>0</v>
      </c>
      <c r="M24" s="237"/>
      <c r="N24" s="238"/>
    </row>
    <row r="25" spans="2:15" ht="18" customHeight="1">
      <c r="B25" s="448">
        <v>22</v>
      </c>
      <c r="C25" s="420" t="s">
        <v>215</v>
      </c>
      <c r="D25" s="421" t="s">
        <v>244</v>
      </c>
      <c r="E25" s="422" t="str">
        <f t="shared" si="0"/>
        <v/>
      </c>
      <c r="F25" s="236">
        <f t="shared" si="1"/>
        <v>0</v>
      </c>
      <c r="G25" s="237"/>
      <c r="H25" s="238"/>
      <c r="I25" s="350">
        <f t="shared" si="2"/>
        <v>0</v>
      </c>
      <c r="J25" s="237"/>
      <c r="K25" s="349"/>
      <c r="L25" s="423">
        <f t="shared" si="3"/>
        <v>0</v>
      </c>
      <c r="M25" s="237"/>
      <c r="N25" s="238"/>
    </row>
    <row r="26" spans="2:15" ht="18" customHeight="1">
      <c r="B26" s="448">
        <v>23</v>
      </c>
      <c r="C26" s="420" t="s">
        <v>216</v>
      </c>
      <c r="D26" s="421" t="s">
        <v>240</v>
      </c>
      <c r="E26" s="422" t="str">
        <f t="shared" si="0"/>
        <v/>
      </c>
      <c r="F26" s="236">
        <f t="shared" si="1"/>
        <v>0</v>
      </c>
      <c r="G26" s="237"/>
      <c r="H26" s="238"/>
      <c r="I26" s="350">
        <f t="shared" si="2"/>
        <v>0</v>
      </c>
      <c r="J26" s="237"/>
      <c r="K26" s="349"/>
      <c r="L26" s="423">
        <f t="shared" si="3"/>
        <v>0</v>
      </c>
      <c r="M26" s="237"/>
      <c r="N26" s="238"/>
    </row>
    <row r="27" spans="2:15" ht="18" customHeight="1">
      <c r="B27" s="448">
        <v>24</v>
      </c>
      <c r="C27" s="420" t="s">
        <v>217</v>
      </c>
      <c r="D27" s="421" t="s">
        <v>236</v>
      </c>
      <c r="E27" s="422" t="str">
        <f t="shared" si="0"/>
        <v/>
      </c>
      <c r="F27" s="236">
        <f t="shared" si="1"/>
        <v>0</v>
      </c>
      <c r="G27" s="237"/>
      <c r="H27" s="238"/>
      <c r="I27" s="350">
        <f t="shared" si="2"/>
        <v>0</v>
      </c>
      <c r="J27" s="237"/>
      <c r="K27" s="349"/>
      <c r="L27" s="423">
        <f t="shared" si="3"/>
        <v>0</v>
      </c>
      <c r="M27" s="237"/>
      <c r="N27" s="238"/>
    </row>
    <row r="28" spans="2:15" ht="18" customHeight="1">
      <c r="B28" s="448">
        <v>25</v>
      </c>
      <c r="C28" s="420" t="s">
        <v>218</v>
      </c>
      <c r="D28" s="421" t="s">
        <v>245</v>
      </c>
      <c r="E28" s="422" t="str">
        <f t="shared" si="0"/>
        <v/>
      </c>
      <c r="F28" s="236">
        <f t="shared" si="1"/>
        <v>0</v>
      </c>
      <c r="G28" s="237"/>
      <c r="H28" s="238"/>
      <c r="I28" s="350">
        <f t="shared" si="2"/>
        <v>0</v>
      </c>
      <c r="J28" s="237"/>
      <c r="K28" s="349"/>
      <c r="L28" s="423">
        <f t="shared" si="3"/>
        <v>0</v>
      </c>
      <c r="M28" s="237"/>
      <c r="N28" s="238"/>
    </row>
    <row r="29" spans="2:15" ht="18" customHeight="1">
      <c r="B29" s="448">
        <v>26</v>
      </c>
      <c r="C29" s="420" t="s">
        <v>219</v>
      </c>
      <c r="D29" s="421" t="s">
        <v>247</v>
      </c>
      <c r="E29" s="422" t="str">
        <f t="shared" si="0"/>
        <v/>
      </c>
      <c r="F29" s="236">
        <f t="shared" si="1"/>
        <v>0</v>
      </c>
      <c r="G29" s="237"/>
      <c r="H29" s="238"/>
      <c r="I29" s="350">
        <f t="shared" si="2"/>
        <v>0</v>
      </c>
      <c r="J29" s="237"/>
      <c r="K29" s="349"/>
      <c r="L29" s="423">
        <f t="shared" si="3"/>
        <v>0</v>
      </c>
      <c r="M29" s="237"/>
      <c r="N29" s="238"/>
    </row>
    <row r="30" spans="2:15" ht="18" customHeight="1">
      <c r="B30" s="448">
        <v>27</v>
      </c>
      <c r="C30" s="425" t="s">
        <v>220</v>
      </c>
      <c r="D30" s="426" t="s">
        <v>249</v>
      </c>
      <c r="E30" s="427" t="str">
        <f t="shared" si="0"/>
        <v/>
      </c>
      <c r="F30" s="428">
        <f t="shared" si="1"/>
        <v>0</v>
      </c>
      <c r="G30" s="429"/>
      <c r="H30" s="430"/>
      <c r="I30" s="431">
        <f t="shared" si="2"/>
        <v>0</v>
      </c>
      <c r="J30" s="429"/>
      <c r="K30" s="432"/>
      <c r="L30" s="433">
        <f t="shared" si="3"/>
        <v>0</v>
      </c>
      <c r="M30" s="429"/>
      <c r="N30" s="430"/>
    </row>
    <row r="31" spans="2:15" ht="18" customHeight="1">
      <c r="B31" s="448">
        <v>28</v>
      </c>
      <c r="C31" s="425" t="s">
        <v>221</v>
      </c>
      <c r="D31" s="426" t="s">
        <v>196</v>
      </c>
      <c r="E31" s="427" t="str">
        <f t="shared" si="0"/>
        <v/>
      </c>
      <c r="F31" s="428">
        <f t="shared" si="1"/>
        <v>0</v>
      </c>
      <c r="G31" s="429"/>
      <c r="H31" s="430"/>
      <c r="I31" s="431">
        <f t="shared" si="2"/>
        <v>0</v>
      </c>
      <c r="J31" s="429"/>
      <c r="K31" s="432"/>
      <c r="L31" s="433">
        <f t="shared" si="3"/>
        <v>0</v>
      </c>
      <c r="M31" s="429"/>
      <c r="N31" s="430"/>
    </row>
    <row r="32" spans="2:15" ht="18" customHeight="1">
      <c r="B32" s="448">
        <v>29</v>
      </c>
      <c r="C32" s="434" t="s">
        <v>222</v>
      </c>
      <c r="D32" s="435" t="s">
        <v>195</v>
      </c>
      <c r="E32" s="436" t="str">
        <f t="shared" si="0"/>
        <v/>
      </c>
      <c r="F32" s="437">
        <f t="shared" si="1"/>
        <v>0</v>
      </c>
      <c r="G32" s="438"/>
      <c r="H32" s="439"/>
      <c r="I32" s="440">
        <f t="shared" si="2"/>
        <v>0</v>
      </c>
      <c r="J32" s="438"/>
      <c r="K32" s="441"/>
      <c r="L32" s="442">
        <f t="shared" si="3"/>
        <v>0</v>
      </c>
      <c r="M32" s="438"/>
      <c r="N32" s="439"/>
    </row>
    <row r="33" spans="2:14" ht="18" customHeight="1">
      <c r="B33" s="448">
        <v>30</v>
      </c>
      <c r="C33" s="434" t="s">
        <v>223</v>
      </c>
      <c r="D33" s="435" t="s">
        <v>194</v>
      </c>
      <c r="E33" s="436" t="str">
        <f t="shared" si="0"/>
        <v/>
      </c>
      <c r="F33" s="437">
        <f t="shared" si="1"/>
        <v>0</v>
      </c>
      <c r="G33" s="438"/>
      <c r="H33" s="439"/>
      <c r="I33" s="440">
        <f t="shared" si="2"/>
        <v>0</v>
      </c>
      <c r="J33" s="438"/>
      <c r="K33" s="441"/>
      <c r="L33" s="442">
        <f t="shared" si="3"/>
        <v>0</v>
      </c>
      <c r="M33" s="438"/>
      <c r="N33" s="439"/>
    </row>
    <row r="34" spans="2:14" ht="18" customHeight="1">
      <c r="B34" s="448">
        <v>31</v>
      </c>
      <c r="C34" s="434" t="s">
        <v>224</v>
      </c>
      <c r="D34" s="435" t="s">
        <v>193</v>
      </c>
      <c r="E34" s="436" t="str">
        <f t="shared" si="0"/>
        <v/>
      </c>
      <c r="F34" s="437">
        <f t="shared" si="1"/>
        <v>0</v>
      </c>
      <c r="G34" s="438"/>
      <c r="H34" s="439"/>
      <c r="I34" s="440">
        <f t="shared" si="2"/>
        <v>0</v>
      </c>
      <c r="J34" s="438"/>
      <c r="K34" s="441"/>
      <c r="L34" s="442">
        <f t="shared" si="3"/>
        <v>0</v>
      </c>
      <c r="M34" s="438"/>
      <c r="N34" s="439"/>
    </row>
    <row r="35" spans="2:14" ht="18" customHeight="1" thickBot="1">
      <c r="B35" s="448">
        <v>32</v>
      </c>
      <c r="C35" s="443" t="s">
        <v>225</v>
      </c>
      <c r="D35" s="444" t="s">
        <v>192</v>
      </c>
      <c r="E35" s="445" t="str">
        <f t="shared" si="0"/>
        <v/>
      </c>
      <c r="F35" s="240">
        <f t="shared" si="1"/>
        <v>0</v>
      </c>
      <c r="G35" s="241"/>
      <c r="H35" s="242"/>
      <c r="I35" s="390">
        <f t="shared" si="2"/>
        <v>0</v>
      </c>
      <c r="J35" s="241"/>
      <c r="K35" s="389"/>
      <c r="L35" s="446">
        <f t="shared" si="3"/>
        <v>0</v>
      </c>
      <c r="M35" s="241"/>
      <c r="N35" s="242"/>
    </row>
    <row r="36" spans="2:14" ht="17.25" customHeight="1" thickTop="1">
      <c r="D36" s="148"/>
      <c r="E36" s="447"/>
      <c r="F36" s="85"/>
      <c r="G36" s="191"/>
      <c r="H36" s="191"/>
      <c r="I36" s="85"/>
      <c r="J36" s="191"/>
      <c r="K36" s="191"/>
      <c r="L36" s="85"/>
      <c r="M36" s="191"/>
      <c r="N36" s="191"/>
    </row>
    <row r="37" spans="2:14" ht="16.5" customHeight="1">
      <c r="C37" s="52" t="s">
        <v>273</v>
      </c>
      <c r="F37" s="793"/>
      <c r="G37" s="793"/>
      <c r="H37" s="793"/>
      <c r="I37" s="793"/>
      <c r="J37" s="793"/>
      <c r="K37" s="793"/>
      <c r="L37" s="793"/>
      <c r="M37" s="793"/>
      <c r="N37" s="793"/>
    </row>
    <row r="38" spans="2:14" ht="16.5" customHeight="1">
      <c r="B38" s="448">
        <v>33</v>
      </c>
      <c r="C38" s="723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5"/>
    </row>
    <row r="39" spans="2:14" ht="16.5" customHeight="1">
      <c r="C39" s="726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8"/>
    </row>
    <row r="40" spans="2:14" ht="16.5" customHeight="1">
      <c r="C40" s="726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8"/>
    </row>
    <row r="41" spans="2:14">
      <c r="C41" s="729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1"/>
    </row>
  </sheetData>
  <sheetProtection algorithmName="SHA-512" hashValue="Tgec3Yzx+Z4fJEgx6K8DKz+daT2t7iZcqzyHg09OTGxMQWcjYrJJAYX/YaQwa6VWW2ph4O2WUHeizfdBVjDwhQ==" saltValue="yjSsXVZ3a98N4x1rC0ox1w==" spinCount="100000" sheet="1" objects="1" scenarios="1"/>
  <mergeCells count="11">
    <mergeCell ref="O15:O21"/>
    <mergeCell ref="O6:O13"/>
    <mergeCell ref="C38:N41"/>
    <mergeCell ref="C4:D5"/>
    <mergeCell ref="F4:H4"/>
    <mergeCell ref="I4:K4"/>
    <mergeCell ref="L4:N4"/>
    <mergeCell ref="C6:D6"/>
    <mergeCell ref="F37:H37"/>
    <mergeCell ref="I37:K37"/>
    <mergeCell ref="L37:N37"/>
  </mergeCells>
  <conditionalFormatting sqref="F7:F36">
    <cfRule type="cellIs" dxfId="57" priority="4" operator="equal">
      <formula>0</formula>
    </cfRule>
  </conditionalFormatting>
  <conditionalFormatting sqref="F6:N6 L7:L36">
    <cfRule type="cellIs" dxfId="56" priority="2" operator="equal">
      <formula>0</formula>
    </cfRule>
  </conditionalFormatting>
  <conditionalFormatting sqref="I7:I36">
    <cfRule type="cellIs" dxfId="55" priority="3" operator="equal">
      <formula>0</formula>
    </cfRule>
  </conditionalFormatting>
  <conditionalFormatting sqref="O6:O13 O15:O21">
    <cfRule type="notContainsBlanks" dxfId="54" priority="1">
      <formula>LEN(TRIM(O6))&gt;0</formula>
    </cfRule>
  </conditionalFormatting>
  <dataValidations count="1">
    <dataValidation type="whole" operator="greaterThanOrEqual" allowBlank="1" showInputMessage="1" showErrorMessage="1" sqref="F6:N35" xr:uid="{00000000-0002-0000-09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77" orientation="landscape" r:id="rId1"/>
  <headerFooter scaleWithDoc="0">
    <oddFooter>&amp;R&amp;"Goudy,Negrita Cursiva"Técnica Diurna&amp;"Goudy,Cursiva",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7">
    <pageSetUpPr fitToPage="1"/>
  </sheetPr>
  <dimension ref="B1:V39"/>
  <sheetViews>
    <sheetView showGridLines="0" zoomScale="90" zoomScaleNormal="90" workbookViewId="0"/>
  </sheetViews>
  <sheetFormatPr baseColWidth="10" defaultColWidth="11.44140625" defaultRowHeight="13.8"/>
  <cols>
    <col min="1" max="1" width="6.109375" style="44" customWidth="1"/>
    <col min="2" max="2" width="6.109375" style="448" hidden="1" customWidth="1"/>
    <col min="3" max="3" width="50.21875" style="44" customWidth="1"/>
    <col min="4" max="21" width="8.33203125" style="44" customWidth="1"/>
    <col min="22" max="16384" width="11.44140625" style="44"/>
  </cols>
  <sheetData>
    <row r="1" spans="2:22" ht="18" customHeight="1">
      <c r="C1" s="144" t="s">
        <v>871</v>
      </c>
      <c r="P1" s="51"/>
      <c r="Q1" s="51"/>
      <c r="R1" s="51"/>
      <c r="S1" s="51"/>
      <c r="T1" s="51"/>
      <c r="U1" s="51"/>
      <c r="V1" s="51"/>
    </row>
    <row r="2" spans="2:22" ht="18" thickBot="1">
      <c r="C2" s="26" t="s">
        <v>874</v>
      </c>
      <c r="D2" s="143"/>
      <c r="E2" s="143"/>
      <c r="F2" s="143"/>
      <c r="G2" s="143"/>
      <c r="H2" s="143"/>
      <c r="I2" s="143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2:22" ht="21.75" customHeight="1" thickTop="1" thickBot="1">
      <c r="B3" s="448">
        <v>1</v>
      </c>
      <c r="C3" s="797" t="str">
        <f>IF(AND(Portada!D21="Sí",(G7+M7)=0),"En la portada se indicó que tienen Servicios de Apoyo Educativo, pero en este cuadro (Parte 2) no indica cuántos estudiantes se benefician.",(IF(AND(OR(Portada!D21="No",Portada!D21=""),(G7+M7)&gt;=1),"En la portada no indicó que tienen Servicios de Apoyo Educativo, pero en la Parte (2) de este cuadro se están indicando datos.","")))</f>
        <v/>
      </c>
      <c r="D3" s="794" t="s">
        <v>839</v>
      </c>
      <c r="E3" s="795"/>
      <c r="F3" s="795"/>
      <c r="G3" s="795"/>
      <c r="H3" s="795"/>
      <c r="I3" s="795"/>
      <c r="J3" s="796" t="s">
        <v>840</v>
      </c>
      <c r="K3" s="795"/>
      <c r="L3" s="795"/>
      <c r="M3" s="795"/>
      <c r="N3" s="795"/>
      <c r="O3" s="795"/>
      <c r="P3" s="799" t="s">
        <v>1680</v>
      </c>
      <c r="Q3" s="800"/>
      <c r="R3" s="800"/>
      <c r="S3" s="800"/>
      <c r="T3" s="800"/>
      <c r="U3" s="800"/>
    </row>
    <row r="4" spans="2:22" ht="53.4" customHeight="1" thickBot="1">
      <c r="B4" s="448">
        <v>2</v>
      </c>
      <c r="C4" s="798"/>
      <c r="D4" s="803" t="s">
        <v>2585</v>
      </c>
      <c r="E4" s="804"/>
      <c r="F4" s="804"/>
      <c r="G4" s="810" t="s">
        <v>2586</v>
      </c>
      <c r="H4" s="804"/>
      <c r="I4" s="811"/>
      <c r="J4" s="814" t="s">
        <v>2585</v>
      </c>
      <c r="K4" s="804"/>
      <c r="L4" s="804"/>
      <c r="M4" s="810" t="s">
        <v>2586</v>
      </c>
      <c r="N4" s="804"/>
      <c r="O4" s="804"/>
      <c r="P4" s="801"/>
      <c r="Q4" s="802"/>
      <c r="R4" s="802"/>
      <c r="S4" s="802"/>
      <c r="T4" s="802"/>
      <c r="U4" s="802"/>
    </row>
    <row r="5" spans="2:22" ht="45.75" customHeight="1">
      <c r="B5" s="448">
        <v>3</v>
      </c>
      <c r="C5" s="798"/>
      <c r="D5" s="805"/>
      <c r="E5" s="806"/>
      <c r="F5" s="806"/>
      <c r="G5" s="812"/>
      <c r="H5" s="806"/>
      <c r="I5" s="813"/>
      <c r="J5" s="815"/>
      <c r="K5" s="806"/>
      <c r="L5" s="806"/>
      <c r="M5" s="812"/>
      <c r="N5" s="806"/>
      <c r="O5" s="806"/>
      <c r="P5" s="816" t="s">
        <v>839</v>
      </c>
      <c r="Q5" s="817"/>
      <c r="R5" s="817"/>
      <c r="S5" s="818" t="s">
        <v>1681</v>
      </c>
      <c r="T5" s="817"/>
      <c r="U5" s="817"/>
    </row>
    <row r="6" spans="2:22" ht="31.5" customHeight="1" thickBot="1">
      <c r="B6" s="448">
        <v>4</v>
      </c>
      <c r="C6" s="613" t="s">
        <v>853</v>
      </c>
      <c r="D6" s="324" t="s">
        <v>0</v>
      </c>
      <c r="E6" s="325" t="s">
        <v>20</v>
      </c>
      <c r="F6" s="326" t="s">
        <v>19</v>
      </c>
      <c r="G6" s="327" t="s">
        <v>0</v>
      </c>
      <c r="H6" s="325" t="s">
        <v>20</v>
      </c>
      <c r="I6" s="328" t="s">
        <v>19</v>
      </c>
      <c r="J6" s="329" t="s">
        <v>0</v>
      </c>
      <c r="K6" s="325" t="s">
        <v>20</v>
      </c>
      <c r="L6" s="326" t="s">
        <v>19</v>
      </c>
      <c r="M6" s="327" t="s">
        <v>0</v>
      </c>
      <c r="N6" s="325" t="s">
        <v>20</v>
      </c>
      <c r="O6" s="330" t="s">
        <v>19</v>
      </c>
      <c r="P6" s="331" t="s">
        <v>0</v>
      </c>
      <c r="Q6" s="325" t="s">
        <v>20</v>
      </c>
      <c r="R6" s="326" t="s">
        <v>19</v>
      </c>
      <c r="S6" s="327" t="s">
        <v>0</v>
      </c>
      <c r="T6" s="325" t="s">
        <v>20</v>
      </c>
      <c r="U6" s="328" t="s">
        <v>19</v>
      </c>
    </row>
    <row r="7" spans="2:22" ht="23.25" customHeight="1" thickTop="1" thickBot="1">
      <c r="B7" s="448">
        <v>5</v>
      </c>
      <c r="C7" s="332" t="s">
        <v>873</v>
      </c>
      <c r="D7" s="333">
        <f>+E7+F7</f>
        <v>0</v>
      </c>
      <c r="E7" s="334">
        <f>+E8+E9+E10+E11+E12+E13+E14+E18+E22+E23+E24+E25+E26+E27+E28</f>
        <v>0</v>
      </c>
      <c r="F7" s="335">
        <f>+F8+F9+F10+F11+F12+F13+F14+F18+F22+F23+F24+F25+F26+F27+F28</f>
        <v>0</v>
      </c>
      <c r="G7" s="336">
        <f>+H7+I7</f>
        <v>0</v>
      </c>
      <c r="H7" s="334">
        <f>+H8+H9+H10+H11+H12+H13+H14+H18+H22+H23+H24+H25+H26+H27+H28</f>
        <v>0</v>
      </c>
      <c r="I7" s="335">
        <f>+I8+I9+I10+I11+I12+I13+I14+I18+I22+I23+I24+I25+I26+I27+I28</f>
        <v>0</v>
      </c>
      <c r="J7" s="337">
        <f>+K7+L7</f>
        <v>0</v>
      </c>
      <c r="K7" s="334">
        <f>+K8+K9+K10+K11+K12+K13+K14+K18+K22+K23+K24+K25+K26+K27+K28</f>
        <v>0</v>
      </c>
      <c r="L7" s="335">
        <f>+L8+L9+L10+L11+L12+L13+L14+L18+L22+L23+L24+L25+L26+L27+L28</f>
        <v>0</v>
      </c>
      <c r="M7" s="336">
        <f>+N7+O7</f>
        <v>0</v>
      </c>
      <c r="N7" s="334">
        <f>+N8+N9+N10+N11+N12+N13+N14+N18+N22+N23+N24+N25+N26+N27+N28</f>
        <v>0</v>
      </c>
      <c r="O7" s="338">
        <f>+O8+O9+O10+O11+O12+O13+O14+O18+O22+O23+O24+O25+O26+O27+O28</f>
        <v>0</v>
      </c>
      <c r="P7" s="339">
        <f>+Q7+R7</f>
        <v>0</v>
      </c>
      <c r="Q7" s="334">
        <f>+Q8+Q9+Q10+Q11+Q12+Q13+Q14+Q18+Q22+Q23+Q24+Q25+Q26+Q27+Q28</f>
        <v>0</v>
      </c>
      <c r="R7" s="335">
        <f>+R8+R9+R10+R11+R12+R13+R14+R18+R22+R23+R24+R25+R26+R27+R28</f>
        <v>0</v>
      </c>
      <c r="S7" s="336">
        <f>+T7+U7</f>
        <v>0</v>
      </c>
      <c r="T7" s="334">
        <f>+T8+T9+T10+T11+T12+T13+T14+T18+T22+T23+T24+T25+T26+T27+T28</f>
        <v>0</v>
      </c>
      <c r="U7" s="335">
        <f>+U8+U9+U10+U11+U12+U13+U14+U18+U22+U23+U24+U25+U26+U27+U28</f>
        <v>0</v>
      </c>
    </row>
    <row r="8" spans="2:22" ht="25.5" customHeight="1">
      <c r="B8" s="448">
        <v>6</v>
      </c>
      <c r="C8" s="340" t="s">
        <v>288</v>
      </c>
      <c r="D8" s="67">
        <f>+E8+F8</f>
        <v>0</v>
      </c>
      <c r="E8" s="233"/>
      <c r="F8" s="234"/>
      <c r="G8" s="341">
        <f>+H8+I8</f>
        <v>0</v>
      </c>
      <c r="H8" s="233"/>
      <c r="I8" s="234"/>
      <c r="J8" s="342">
        <f>+K8+L8</f>
        <v>0</v>
      </c>
      <c r="K8" s="233"/>
      <c r="L8" s="234"/>
      <c r="M8" s="341">
        <f>+N8+O8</f>
        <v>0</v>
      </c>
      <c r="N8" s="233"/>
      <c r="O8" s="343"/>
      <c r="P8" s="344">
        <f>+Q8+R8</f>
        <v>0</v>
      </c>
      <c r="Q8" s="345"/>
      <c r="R8" s="345"/>
      <c r="S8" s="341">
        <f>+T8+U8</f>
        <v>0</v>
      </c>
      <c r="T8" s="345"/>
      <c r="U8" s="346"/>
    </row>
    <row r="9" spans="2:22" ht="25.5" customHeight="1">
      <c r="B9" s="448">
        <v>7</v>
      </c>
      <c r="C9" s="340" t="s">
        <v>182</v>
      </c>
      <c r="D9" s="236">
        <f>+E9+F9</f>
        <v>0</v>
      </c>
      <c r="E9" s="237"/>
      <c r="F9" s="238"/>
      <c r="G9" s="347">
        <f>+H9+I9</f>
        <v>0</v>
      </c>
      <c r="H9" s="237"/>
      <c r="I9" s="238"/>
      <c r="J9" s="348">
        <f>+K9+L9</f>
        <v>0</v>
      </c>
      <c r="K9" s="237"/>
      <c r="L9" s="238"/>
      <c r="M9" s="347">
        <f>+N9+O9</f>
        <v>0</v>
      </c>
      <c r="N9" s="237"/>
      <c r="O9" s="349"/>
      <c r="P9" s="350">
        <f>+Q9+R9</f>
        <v>0</v>
      </c>
      <c r="Q9" s="237"/>
      <c r="R9" s="237"/>
      <c r="S9" s="347">
        <f>+T9+U9</f>
        <v>0</v>
      </c>
      <c r="T9" s="237"/>
      <c r="U9" s="71"/>
    </row>
    <row r="10" spans="2:22" ht="25.5" customHeight="1">
      <c r="B10" s="448">
        <v>8</v>
      </c>
      <c r="C10" s="340" t="s">
        <v>289</v>
      </c>
      <c r="D10" s="236">
        <f t="shared" ref="D10:D26" si="0">+E10+F10</f>
        <v>0</v>
      </c>
      <c r="E10" s="237"/>
      <c r="F10" s="238"/>
      <c r="G10" s="347">
        <f t="shared" ref="G10:G13" si="1">+H10+I10</f>
        <v>0</v>
      </c>
      <c r="H10" s="237"/>
      <c r="I10" s="238"/>
      <c r="J10" s="348">
        <f t="shared" ref="J10:J13" si="2">+K10+L10</f>
        <v>0</v>
      </c>
      <c r="K10" s="237"/>
      <c r="L10" s="238"/>
      <c r="M10" s="347">
        <f t="shared" ref="M10:M13" si="3">+N10+O10</f>
        <v>0</v>
      </c>
      <c r="N10" s="237"/>
      <c r="O10" s="349"/>
      <c r="P10" s="350">
        <f t="shared" ref="P10:P13" si="4">+Q10+R10</f>
        <v>0</v>
      </c>
      <c r="Q10" s="237"/>
      <c r="R10" s="237"/>
      <c r="S10" s="347">
        <f t="shared" ref="S10:S13" si="5">+T10+U10</f>
        <v>0</v>
      </c>
      <c r="T10" s="237"/>
      <c r="U10" s="71"/>
    </row>
    <row r="11" spans="2:22" ht="25.5" customHeight="1">
      <c r="B11" s="448">
        <v>9</v>
      </c>
      <c r="C11" s="340" t="s">
        <v>290</v>
      </c>
      <c r="D11" s="236">
        <f t="shared" si="0"/>
        <v>0</v>
      </c>
      <c r="E11" s="237"/>
      <c r="F11" s="238"/>
      <c r="G11" s="347">
        <f t="shared" si="1"/>
        <v>0</v>
      </c>
      <c r="H11" s="237"/>
      <c r="I11" s="238"/>
      <c r="J11" s="348">
        <f t="shared" si="2"/>
        <v>0</v>
      </c>
      <c r="K11" s="237"/>
      <c r="L11" s="238"/>
      <c r="M11" s="347">
        <f t="shared" si="3"/>
        <v>0</v>
      </c>
      <c r="N11" s="237"/>
      <c r="O11" s="349"/>
      <c r="P11" s="350">
        <f t="shared" si="4"/>
        <v>0</v>
      </c>
      <c r="Q11" s="237"/>
      <c r="R11" s="237"/>
      <c r="S11" s="347">
        <f t="shared" si="5"/>
        <v>0</v>
      </c>
      <c r="T11" s="237"/>
      <c r="U11" s="71"/>
    </row>
    <row r="12" spans="2:22" ht="25.5" customHeight="1">
      <c r="B12" s="448">
        <v>10</v>
      </c>
      <c r="C12" s="340" t="s">
        <v>2587</v>
      </c>
      <c r="D12" s="236">
        <f t="shared" si="0"/>
        <v>0</v>
      </c>
      <c r="E12" s="237"/>
      <c r="F12" s="238"/>
      <c r="G12" s="347">
        <f t="shared" si="1"/>
        <v>0</v>
      </c>
      <c r="H12" s="237"/>
      <c r="I12" s="238"/>
      <c r="J12" s="348">
        <f t="shared" si="2"/>
        <v>0</v>
      </c>
      <c r="K12" s="237"/>
      <c r="L12" s="238"/>
      <c r="M12" s="347">
        <f t="shared" si="3"/>
        <v>0</v>
      </c>
      <c r="N12" s="237"/>
      <c r="O12" s="349"/>
      <c r="P12" s="350">
        <f t="shared" si="4"/>
        <v>0</v>
      </c>
      <c r="Q12" s="237"/>
      <c r="R12" s="237"/>
      <c r="S12" s="347">
        <f t="shared" si="5"/>
        <v>0</v>
      </c>
      <c r="T12" s="237"/>
      <c r="U12" s="71"/>
    </row>
    <row r="13" spans="2:22" ht="25.5" customHeight="1">
      <c r="B13" s="448">
        <v>11</v>
      </c>
      <c r="C13" s="340" t="s">
        <v>1682</v>
      </c>
      <c r="D13" s="236">
        <f t="shared" si="0"/>
        <v>0</v>
      </c>
      <c r="E13" s="237"/>
      <c r="F13" s="238"/>
      <c r="G13" s="347">
        <f t="shared" si="1"/>
        <v>0</v>
      </c>
      <c r="H13" s="237"/>
      <c r="I13" s="238"/>
      <c r="J13" s="348">
        <f t="shared" si="2"/>
        <v>0</v>
      </c>
      <c r="K13" s="237"/>
      <c r="L13" s="238"/>
      <c r="M13" s="347">
        <f t="shared" si="3"/>
        <v>0</v>
      </c>
      <c r="N13" s="237"/>
      <c r="O13" s="349"/>
      <c r="P13" s="350">
        <f t="shared" si="4"/>
        <v>0</v>
      </c>
      <c r="Q13" s="233"/>
      <c r="R13" s="233"/>
      <c r="S13" s="351">
        <f t="shared" si="5"/>
        <v>0</v>
      </c>
      <c r="T13" s="237"/>
      <c r="U13" s="71"/>
    </row>
    <row r="14" spans="2:22" ht="25.5" customHeight="1">
      <c r="B14" s="448">
        <v>12</v>
      </c>
      <c r="C14" s="340" t="s">
        <v>185</v>
      </c>
      <c r="D14" s="352">
        <f>+E14+F14</f>
        <v>0</v>
      </c>
      <c r="E14" s="353">
        <f>SUM(E15:E17)</f>
        <v>0</v>
      </c>
      <c r="F14" s="354">
        <f>SUM(F15:F17)</f>
        <v>0</v>
      </c>
      <c r="G14" s="355">
        <f>+H14+I14</f>
        <v>0</v>
      </c>
      <c r="H14" s="353">
        <f>SUM(H15:H17)</f>
        <v>0</v>
      </c>
      <c r="I14" s="354">
        <f>SUM(I15:I17)</f>
        <v>0</v>
      </c>
      <c r="J14" s="356">
        <f>+K14+L14</f>
        <v>0</v>
      </c>
      <c r="K14" s="353">
        <f>SUM(K15:K17)</f>
        <v>0</v>
      </c>
      <c r="L14" s="354">
        <f>SUM(L15:L17)</f>
        <v>0</v>
      </c>
      <c r="M14" s="355">
        <f>+N14+O14</f>
        <v>0</v>
      </c>
      <c r="N14" s="353">
        <f>SUM(N15:N17)</f>
        <v>0</v>
      </c>
      <c r="O14" s="357">
        <f>SUM(O15:O17)</f>
        <v>0</v>
      </c>
      <c r="P14" s="358">
        <f>+Q14+R14</f>
        <v>0</v>
      </c>
      <c r="Q14" s="359">
        <f>SUM(Q15:Q17)</f>
        <v>0</v>
      </c>
      <c r="R14" s="359">
        <f>SUM(R15:R17)</f>
        <v>0</v>
      </c>
      <c r="S14" s="360">
        <f>+T14+U14</f>
        <v>0</v>
      </c>
      <c r="T14" s="359">
        <f>SUM(T15:T17)</f>
        <v>0</v>
      </c>
      <c r="U14" s="361">
        <f>SUM(U15:U17)</f>
        <v>0</v>
      </c>
    </row>
    <row r="15" spans="2:22" ht="25.5" customHeight="1">
      <c r="B15" s="448">
        <v>13</v>
      </c>
      <c r="C15" s="362" t="s">
        <v>1683</v>
      </c>
      <c r="D15" s="167">
        <f t="shared" si="0"/>
        <v>0</v>
      </c>
      <c r="E15" s="168"/>
      <c r="F15" s="213"/>
      <c r="G15" s="363">
        <f t="shared" ref="G15:G17" si="6">+H15+I15</f>
        <v>0</v>
      </c>
      <c r="H15" s="168"/>
      <c r="I15" s="213"/>
      <c r="J15" s="364">
        <f t="shared" ref="J15:J17" si="7">+K15+L15</f>
        <v>0</v>
      </c>
      <c r="K15" s="168"/>
      <c r="L15" s="213"/>
      <c r="M15" s="363">
        <f t="shared" ref="M15:M17" si="8">+N15+O15</f>
        <v>0</v>
      </c>
      <c r="N15" s="168"/>
      <c r="O15" s="365"/>
      <c r="P15" s="366">
        <f t="shared" ref="P15:P17" si="9">+Q15+R15</f>
        <v>0</v>
      </c>
      <c r="Q15" s="168"/>
      <c r="R15" s="168"/>
      <c r="S15" s="363">
        <f t="shared" ref="S15:S17" si="10">+T15+U15</f>
        <v>0</v>
      </c>
      <c r="T15" s="168"/>
      <c r="U15" s="65"/>
    </row>
    <row r="16" spans="2:22" ht="25.5" customHeight="1">
      <c r="B16" s="448">
        <v>14</v>
      </c>
      <c r="C16" s="367" t="s">
        <v>1684</v>
      </c>
      <c r="D16" s="167">
        <f t="shared" si="0"/>
        <v>0</v>
      </c>
      <c r="E16" s="168"/>
      <c r="F16" s="213"/>
      <c r="G16" s="363">
        <f t="shared" si="6"/>
        <v>0</v>
      </c>
      <c r="H16" s="168"/>
      <c r="I16" s="213"/>
      <c r="J16" s="364">
        <f t="shared" si="7"/>
        <v>0</v>
      </c>
      <c r="K16" s="168"/>
      <c r="L16" s="213"/>
      <c r="M16" s="363">
        <f t="shared" si="8"/>
        <v>0</v>
      </c>
      <c r="N16" s="168"/>
      <c r="O16" s="365"/>
      <c r="P16" s="366">
        <f t="shared" si="9"/>
        <v>0</v>
      </c>
      <c r="Q16" s="168"/>
      <c r="R16" s="168"/>
      <c r="S16" s="363">
        <f t="shared" si="10"/>
        <v>0</v>
      </c>
      <c r="T16" s="168"/>
      <c r="U16" s="65"/>
    </row>
    <row r="17" spans="2:21" ht="25.5" customHeight="1">
      <c r="B17" s="448">
        <v>15</v>
      </c>
      <c r="C17" s="368" t="s">
        <v>1685</v>
      </c>
      <c r="D17" s="67">
        <f t="shared" si="0"/>
        <v>0</v>
      </c>
      <c r="E17" s="233"/>
      <c r="F17" s="234"/>
      <c r="G17" s="341">
        <f t="shared" si="6"/>
        <v>0</v>
      </c>
      <c r="H17" s="233"/>
      <c r="I17" s="234"/>
      <c r="J17" s="342">
        <f t="shared" si="7"/>
        <v>0</v>
      </c>
      <c r="K17" s="233"/>
      <c r="L17" s="234"/>
      <c r="M17" s="341">
        <f t="shared" si="8"/>
        <v>0</v>
      </c>
      <c r="N17" s="233"/>
      <c r="O17" s="343"/>
      <c r="P17" s="344">
        <f t="shared" si="9"/>
        <v>0</v>
      </c>
      <c r="Q17" s="233"/>
      <c r="R17" s="233"/>
      <c r="S17" s="341">
        <f t="shared" si="10"/>
        <v>0</v>
      </c>
      <c r="T17" s="233"/>
      <c r="U17" s="142"/>
    </row>
    <row r="18" spans="2:21" ht="25.5" customHeight="1">
      <c r="B18" s="448">
        <v>16</v>
      </c>
      <c r="C18" s="369" t="s">
        <v>1783</v>
      </c>
      <c r="D18" s="352">
        <f>+E18+F18</f>
        <v>0</v>
      </c>
      <c r="E18" s="353">
        <f>SUM(E19:E21)</f>
        <v>0</v>
      </c>
      <c r="F18" s="354">
        <f>SUM(F19:F21)</f>
        <v>0</v>
      </c>
      <c r="G18" s="355">
        <f>+H18+I18</f>
        <v>0</v>
      </c>
      <c r="H18" s="353">
        <f>SUM(H19:H21)</f>
        <v>0</v>
      </c>
      <c r="I18" s="354">
        <f>SUM(I19:I21)</f>
        <v>0</v>
      </c>
      <c r="J18" s="356">
        <f>+K18+L18</f>
        <v>0</v>
      </c>
      <c r="K18" s="353">
        <f>SUM(K19:K21)</f>
        <v>0</v>
      </c>
      <c r="L18" s="354">
        <f>SUM(L19:L21)</f>
        <v>0</v>
      </c>
      <c r="M18" s="355">
        <f>+N18+O18</f>
        <v>0</v>
      </c>
      <c r="N18" s="353">
        <f>SUM(N19:N21)</f>
        <v>0</v>
      </c>
      <c r="O18" s="357">
        <f>SUM(O19:O21)</f>
        <v>0</v>
      </c>
      <c r="P18" s="358">
        <f>+Q18+R18</f>
        <v>0</v>
      </c>
      <c r="Q18" s="359">
        <f>SUM(Q19:Q21)</f>
        <v>0</v>
      </c>
      <c r="R18" s="359">
        <f>SUM(R19:R21)</f>
        <v>0</v>
      </c>
      <c r="S18" s="360">
        <f>+T18+U18</f>
        <v>0</v>
      </c>
      <c r="T18" s="359">
        <f>SUM(T19:T21)</f>
        <v>0</v>
      </c>
      <c r="U18" s="361">
        <f>SUM(U19:U21)</f>
        <v>0</v>
      </c>
    </row>
    <row r="19" spans="2:21" ht="25.5" customHeight="1">
      <c r="B19" s="448">
        <v>17</v>
      </c>
      <c r="C19" s="362" t="s">
        <v>1683</v>
      </c>
      <c r="D19" s="167">
        <f t="shared" ref="D19:D21" si="11">+E19+F19</f>
        <v>0</v>
      </c>
      <c r="E19" s="168"/>
      <c r="F19" s="213"/>
      <c r="G19" s="363">
        <f t="shared" ref="G19:G24" si="12">+H19+I19</f>
        <v>0</v>
      </c>
      <c r="H19" s="168"/>
      <c r="I19" s="213"/>
      <c r="J19" s="364">
        <f t="shared" ref="J19:J24" si="13">+K19+L19</f>
        <v>0</v>
      </c>
      <c r="K19" s="168"/>
      <c r="L19" s="213"/>
      <c r="M19" s="363">
        <f t="shared" ref="M19:M24" si="14">+N19+O19</f>
        <v>0</v>
      </c>
      <c r="N19" s="168"/>
      <c r="O19" s="365"/>
      <c r="P19" s="366">
        <f t="shared" ref="P19:P24" si="15">+Q19+R19</f>
        <v>0</v>
      </c>
      <c r="Q19" s="168"/>
      <c r="R19" s="168"/>
      <c r="S19" s="363">
        <f t="shared" ref="S19:S24" si="16">+T19+U19</f>
        <v>0</v>
      </c>
      <c r="T19" s="168"/>
      <c r="U19" s="65"/>
    </row>
    <row r="20" spans="2:21" ht="25.5" customHeight="1">
      <c r="B20" s="448">
        <v>18</v>
      </c>
      <c r="C20" s="367" t="s">
        <v>1684</v>
      </c>
      <c r="D20" s="167">
        <f t="shared" si="11"/>
        <v>0</v>
      </c>
      <c r="E20" s="168"/>
      <c r="F20" s="213"/>
      <c r="G20" s="363">
        <f t="shared" si="12"/>
        <v>0</v>
      </c>
      <c r="H20" s="168"/>
      <c r="I20" s="213"/>
      <c r="J20" s="364">
        <f t="shared" si="13"/>
        <v>0</v>
      </c>
      <c r="K20" s="168"/>
      <c r="L20" s="213"/>
      <c r="M20" s="363">
        <f t="shared" si="14"/>
        <v>0</v>
      </c>
      <c r="N20" s="168"/>
      <c r="O20" s="365"/>
      <c r="P20" s="366">
        <f t="shared" si="15"/>
        <v>0</v>
      </c>
      <c r="Q20" s="168"/>
      <c r="R20" s="168"/>
      <c r="S20" s="363">
        <f t="shared" si="16"/>
        <v>0</v>
      </c>
      <c r="T20" s="168"/>
      <c r="U20" s="65"/>
    </row>
    <row r="21" spans="2:21" ht="25.5" customHeight="1">
      <c r="B21" s="448">
        <v>19</v>
      </c>
      <c r="C21" s="370" t="s">
        <v>1685</v>
      </c>
      <c r="D21" s="67">
        <f t="shared" si="11"/>
        <v>0</v>
      </c>
      <c r="E21" s="233"/>
      <c r="F21" s="234"/>
      <c r="G21" s="341">
        <f t="shared" si="12"/>
        <v>0</v>
      </c>
      <c r="H21" s="233"/>
      <c r="I21" s="234"/>
      <c r="J21" s="342">
        <f t="shared" si="13"/>
        <v>0</v>
      </c>
      <c r="K21" s="233"/>
      <c r="L21" s="234"/>
      <c r="M21" s="341">
        <f t="shared" si="14"/>
        <v>0</v>
      </c>
      <c r="N21" s="233"/>
      <c r="O21" s="343"/>
      <c r="P21" s="344">
        <f t="shared" si="15"/>
        <v>0</v>
      </c>
      <c r="Q21" s="233"/>
      <c r="R21" s="233"/>
      <c r="S21" s="341">
        <f t="shared" si="16"/>
        <v>0</v>
      </c>
      <c r="T21" s="233"/>
      <c r="U21" s="142"/>
    </row>
    <row r="22" spans="2:21" ht="25.5" customHeight="1">
      <c r="B22" s="448">
        <v>20</v>
      </c>
      <c r="C22" s="340" t="s">
        <v>186</v>
      </c>
      <c r="D22" s="236">
        <f t="shared" si="0"/>
        <v>0</v>
      </c>
      <c r="E22" s="237"/>
      <c r="F22" s="238"/>
      <c r="G22" s="347">
        <f t="shared" si="12"/>
        <v>0</v>
      </c>
      <c r="H22" s="237"/>
      <c r="I22" s="238"/>
      <c r="J22" s="348">
        <f t="shared" si="13"/>
        <v>0</v>
      </c>
      <c r="K22" s="237"/>
      <c r="L22" s="238"/>
      <c r="M22" s="347">
        <f t="shared" si="14"/>
        <v>0</v>
      </c>
      <c r="N22" s="237"/>
      <c r="O22" s="349"/>
      <c r="P22" s="350">
        <f t="shared" si="15"/>
        <v>0</v>
      </c>
      <c r="Q22" s="237"/>
      <c r="R22" s="237"/>
      <c r="S22" s="347">
        <f t="shared" si="16"/>
        <v>0</v>
      </c>
      <c r="T22" s="237"/>
      <c r="U22" s="71"/>
    </row>
    <row r="23" spans="2:21" ht="25.5" customHeight="1" thickBot="1">
      <c r="B23" s="448">
        <v>21</v>
      </c>
      <c r="C23" s="340" t="s">
        <v>1817</v>
      </c>
      <c r="D23" s="236">
        <f t="shared" si="0"/>
        <v>0</v>
      </c>
      <c r="E23" s="237"/>
      <c r="F23" s="238"/>
      <c r="G23" s="347">
        <f t="shared" si="12"/>
        <v>0</v>
      </c>
      <c r="H23" s="237"/>
      <c r="I23" s="238"/>
      <c r="J23" s="348">
        <f t="shared" si="13"/>
        <v>0</v>
      </c>
      <c r="K23" s="237"/>
      <c r="L23" s="238"/>
      <c r="M23" s="347">
        <f t="shared" si="14"/>
        <v>0</v>
      </c>
      <c r="N23" s="237"/>
      <c r="O23" s="349"/>
      <c r="P23" s="350">
        <f t="shared" si="15"/>
        <v>0</v>
      </c>
      <c r="Q23" s="237"/>
      <c r="R23" s="237"/>
      <c r="S23" s="347">
        <f t="shared" si="16"/>
        <v>0</v>
      </c>
      <c r="T23" s="237"/>
      <c r="U23" s="71"/>
    </row>
    <row r="24" spans="2:21" ht="25.5" hidden="1" customHeight="1" thickBot="1">
      <c r="C24" s="340" t="s">
        <v>1686</v>
      </c>
      <c r="D24" s="236">
        <f t="shared" si="0"/>
        <v>0</v>
      </c>
      <c r="E24" s="237"/>
      <c r="F24" s="238"/>
      <c r="G24" s="347">
        <f t="shared" si="12"/>
        <v>0</v>
      </c>
      <c r="H24" s="237"/>
      <c r="I24" s="238"/>
      <c r="J24" s="348">
        <f t="shared" si="13"/>
        <v>0</v>
      </c>
      <c r="K24" s="237"/>
      <c r="L24" s="238"/>
      <c r="M24" s="347">
        <f t="shared" si="14"/>
        <v>0</v>
      </c>
      <c r="N24" s="237"/>
      <c r="O24" s="349"/>
      <c r="P24" s="371">
        <f t="shared" si="15"/>
        <v>0</v>
      </c>
      <c r="Q24" s="372"/>
      <c r="R24" s="372"/>
      <c r="S24" s="373">
        <f t="shared" si="16"/>
        <v>0</v>
      </c>
      <c r="T24" s="233"/>
      <c r="U24" s="142"/>
    </row>
    <row r="25" spans="2:21" ht="25.5" customHeight="1">
      <c r="B25" s="448">
        <v>22</v>
      </c>
      <c r="C25" s="374" t="s">
        <v>2588</v>
      </c>
      <c r="D25" s="375">
        <f>+E25+F25</f>
        <v>0</v>
      </c>
      <c r="E25" s="376"/>
      <c r="F25" s="377"/>
      <c r="G25" s="378">
        <f>+H25+I25</f>
        <v>0</v>
      </c>
      <c r="H25" s="376"/>
      <c r="I25" s="377"/>
      <c r="J25" s="379">
        <f>+K25+L25</f>
        <v>0</v>
      </c>
      <c r="K25" s="376"/>
      <c r="L25" s="377"/>
      <c r="M25" s="378">
        <f>+N25+O25</f>
        <v>0</v>
      </c>
      <c r="N25" s="376"/>
      <c r="O25" s="380"/>
      <c r="P25" s="381">
        <f>+Q25+R25</f>
        <v>0</v>
      </c>
      <c r="Q25" s="376"/>
      <c r="R25" s="376"/>
      <c r="S25" s="378">
        <f>+T25+U25</f>
        <v>0</v>
      </c>
      <c r="T25" s="382"/>
      <c r="U25" s="383"/>
    </row>
    <row r="26" spans="2:21" ht="25.5" customHeight="1">
      <c r="B26" s="448">
        <v>23</v>
      </c>
      <c r="C26" s="384" t="s">
        <v>2589</v>
      </c>
      <c r="D26" s="236">
        <f t="shared" si="0"/>
        <v>0</v>
      </c>
      <c r="E26" s="237"/>
      <c r="F26" s="238"/>
      <c r="G26" s="347">
        <f t="shared" ref="G26" si="17">+H26+I26</f>
        <v>0</v>
      </c>
      <c r="H26" s="237"/>
      <c r="I26" s="238"/>
      <c r="J26" s="348">
        <f t="shared" ref="J26" si="18">+K26+L26</f>
        <v>0</v>
      </c>
      <c r="K26" s="237"/>
      <c r="L26" s="238"/>
      <c r="M26" s="347">
        <f t="shared" ref="M26" si="19">+N26+O26</f>
        <v>0</v>
      </c>
      <c r="N26" s="237"/>
      <c r="O26" s="349"/>
      <c r="P26" s="350">
        <f t="shared" ref="P26" si="20">+Q26+R26</f>
        <v>0</v>
      </c>
      <c r="Q26" s="237"/>
      <c r="R26" s="237"/>
      <c r="S26" s="347">
        <f t="shared" ref="S26" si="21">+T26+U26</f>
        <v>0</v>
      </c>
      <c r="T26" s="237"/>
      <c r="U26" s="71"/>
    </row>
    <row r="27" spans="2:21" ht="25.5" customHeight="1">
      <c r="B27" s="448">
        <v>24</v>
      </c>
      <c r="C27" s="385" t="s">
        <v>1781</v>
      </c>
      <c r="D27" s="236">
        <f>+E27+F27</f>
        <v>0</v>
      </c>
      <c r="E27" s="237"/>
      <c r="F27" s="238"/>
      <c r="G27" s="347">
        <f>+H27+I27</f>
        <v>0</v>
      </c>
      <c r="H27" s="237"/>
      <c r="I27" s="238"/>
      <c r="J27" s="348">
        <f>+K27+L27</f>
        <v>0</v>
      </c>
      <c r="K27" s="237"/>
      <c r="L27" s="238"/>
      <c r="M27" s="347">
        <f>+N27+O27</f>
        <v>0</v>
      </c>
      <c r="N27" s="237"/>
      <c r="O27" s="349"/>
      <c r="P27" s="350">
        <f>+Q27+R27</f>
        <v>0</v>
      </c>
      <c r="Q27" s="237"/>
      <c r="R27" s="237"/>
      <c r="S27" s="347">
        <f>+T27+U27</f>
        <v>0</v>
      </c>
      <c r="T27" s="237"/>
      <c r="U27" s="71"/>
    </row>
    <row r="28" spans="2:21" ht="25.5" customHeight="1" thickBot="1">
      <c r="B28" s="448">
        <v>25</v>
      </c>
      <c r="C28" s="386" t="s">
        <v>2611</v>
      </c>
      <c r="D28" s="240">
        <f>+E28+F28</f>
        <v>0</v>
      </c>
      <c r="E28" s="241"/>
      <c r="F28" s="242"/>
      <c r="G28" s="387">
        <f>+H28+I28</f>
        <v>0</v>
      </c>
      <c r="H28" s="241"/>
      <c r="I28" s="242"/>
      <c r="J28" s="388">
        <f>+K28+L28</f>
        <v>0</v>
      </c>
      <c r="K28" s="241"/>
      <c r="L28" s="242"/>
      <c r="M28" s="387">
        <f>+N28+O28</f>
        <v>0</v>
      </c>
      <c r="N28" s="241"/>
      <c r="O28" s="389"/>
      <c r="P28" s="390">
        <f>+Q28+R28</f>
        <v>0</v>
      </c>
      <c r="Q28" s="391"/>
      <c r="R28" s="391"/>
      <c r="S28" s="392">
        <f>+T28+U28</f>
        <v>0</v>
      </c>
      <c r="T28" s="391"/>
      <c r="U28" s="393"/>
    </row>
    <row r="29" spans="2:21" ht="18" customHeight="1" thickTop="1">
      <c r="C29" s="394" t="s">
        <v>1687</v>
      </c>
      <c r="D29" s="32"/>
      <c r="E29" s="191" t="str">
        <f>IF(E7&lt;=('CUADRO 1'!F7+'CUADRO 1'!F8+'CUADRO 1'!F9),"","XX")</f>
        <v/>
      </c>
      <c r="F29" s="191" t="str">
        <f>IF(F7&lt;=('CUADRO 1'!G7+'CUADRO 1'!G8+'CUADRO 1'!G9),"","XX")</f>
        <v/>
      </c>
      <c r="G29" s="32"/>
      <c r="H29" s="395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395" t="str">
        <f>IF(OR(I8&gt;F8,I9&gt;F9,I10&gt;F10,I11&gt;F11,I12&gt;F12,I13&gt;F13,I15&gt;F15,I16&gt;F16,I17&gt;F17,I19&gt;F19,I20&gt;F20,I21&gt;F21,I22&gt;F22,I23&gt;F23,I24&gt;F24,I25&gt;F25,I26&gt;F26,I27&gt;F27,I28&gt;F28),"XXX","")</f>
        <v/>
      </c>
      <c r="J29" s="32"/>
      <c r="K29" s="191" t="str">
        <f>IF(K7&lt;=('CUADRO 1'!F10+'CUADRO 1'!F11+'CUADRO 1'!F12),"","XX")</f>
        <v/>
      </c>
      <c r="L29" s="191" t="str">
        <f>IF(L7&lt;=('CUADRO 1'!G10+'CUADRO 1'!G11+'CUADRO 1'!G12),"","XX")</f>
        <v/>
      </c>
      <c r="M29" s="32"/>
      <c r="N29" s="395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395" t="str">
        <f>IF(OR(O8&gt;L8,O9&gt;L9,O10&gt;L10,O11&gt;L11,O12&gt;L12,O13&gt;L13,O15&gt;L15,O16&gt;L16,O17&gt;L17,O19&gt;L19,O20&gt;L20,O21&gt;L21,O22&gt;L22,O23&gt;L23,O24&gt;L24,O25&gt;L25,O26&gt;L26,O27&gt;L27,O28&gt;L28),"XXX","")</f>
        <v/>
      </c>
      <c r="P29" s="32"/>
      <c r="Q29" s="396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396" t="str">
        <f>IF(OR(R8&gt;F8,R9&gt;F9,R10&gt;F10,R11&gt;F11,R12&gt;F12,R13&gt;F13,R15&gt;F15,R16&gt;F16,R17&gt;F17,R19&gt;F19,R20&gt;F20,R21&gt;F21,R22&gt;F22,R23&gt;F23,R24&gt;F24,R25&gt;F25,R26&gt;F26,R27&gt;F27,R28&gt;F28),"XXX","")</f>
        <v/>
      </c>
      <c r="S29" s="32"/>
      <c r="T29" s="396" t="str">
        <f>IF(OR(T8&gt;K8,T9&gt;K9,T10&gt;K10,T11&gt;K11,T12&gt;K12,T13&gt;K13,T15&gt;K15,T16&gt;K16,T17&gt;K17,T19&gt;K19,T20&gt;K20,T21&gt;K21,T22&gt;K22,T23&gt;K23,T24&gt;K24,T25&gt;K25,T26&gt;K26,T27&gt;K27,T28&gt;K28),"XXX","")</f>
        <v/>
      </c>
      <c r="U29" s="396" t="str">
        <f>IF(OR(U8&gt;L8,U9&gt;L9,U10&gt;L10,U11&gt;L11,U12&gt;L12,U13&gt;L13,U15&gt;L15,U16&gt;L16,U17&gt;L17,U19&gt;L19,U20&gt;L20,U21&gt;L21,U22&gt;L22,U23&gt;L23,U24&gt;L24,U25&gt;L25,U26&gt;L26,U27&gt;L27,U28&gt;L28),"XXX","")</f>
        <v/>
      </c>
    </row>
    <row r="30" spans="2:21" ht="18" customHeight="1">
      <c r="C30" s="394" t="s">
        <v>1818</v>
      </c>
      <c r="F30" s="397"/>
      <c r="G30" s="807" t="str">
        <f>IF(OR(E29="XX",F29="XX",K29="XX",L29="XX",),"XX = ¡VERIFICAR!.  El total de hombres o mujeres de la Parte 1 de este Cuadro, es mayor a lo reportado en el Cuadro 1.","")</f>
        <v/>
      </c>
      <c r="H30" s="807"/>
      <c r="I30" s="807"/>
      <c r="J30" s="807"/>
      <c r="K30" s="807"/>
      <c r="L30" s="807"/>
      <c r="M30" s="807"/>
      <c r="N30" s="807"/>
      <c r="O30" s="807"/>
      <c r="Q30" s="808" t="str">
        <f>IF(OR(Q29="XXX",R29="XXX",T29="XXX",U29="XXX"),"XXX = ¡VERIFICAR!.  En alguna Discapacidad o Condición se están indicando más estudiantes Alfabetizados que los reportados en la parte (1).","")</f>
        <v/>
      </c>
      <c r="R30" s="808"/>
      <c r="S30" s="808"/>
      <c r="T30" s="808"/>
      <c r="U30" s="808"/>
    </row>
    <row r="31" spans="2:21" ht="18" customHeight="1">
      <c r="C31" s="394" t="s">
        <v>1819</v>
      </c>
      <c r="E31" s="397"/>
      <c r="F31" s="397"/>
      <c r="G31" s="807"/>
      <c r="H31" s="807"/>
      <c r="I31" s="807"/>
      <c r="J31" s="807"/>
      <c r="K31" s="807"/>
      <c r="L31" s="807"/>
      <c r="M31" s="807"/>
      <c r="N31" s="807"/>
      <c r="O31" s="807"/>
      <c r="Q31" s="808"/>
      <c r="R31" s="808"/>
      <c r="S31" s="808"/>
      <c r="T31" s="808"/>
      <c r="U31" s="808"/>
    </row>
    <row r="32" spans="2:21" ht="18" customHeight="1">
      <c r="C32" s="398" t="s">
        <v>1820</v>
      </c>
      <c r="D32" s="293"/>
      <c r="G32" s="807" t="str">
        <f>IF(OR(H29="XXX",I29="XXX",N29="XXX",O29="XXX"),"XXX = ¡VERIFICAR!.  En alguna Discapacidad o Condición se están indicando más estudiantes con Servicios de Apoyo que el total indicado con la Discapacidad o Condición.","")</f>
        <v/>
      </c>
      <c r="H32" s="807"/>
      <c r="I32" s="807"/>
      <c r="J32" s="807"/>
      <c r="K32" s="807"/>
      <c r="L32" s="807"/>
      <c r="M32" s="807"/>
      <c r="N32" s="807"/>
      <c r="O32" s="807"/>
      <c r="P32" s="293"/>
      <c r="Q32" s="808"/>
      <c r="R32" s="808"/>
      <c r="S32" s="808"/>
      <c r="T32" s="808"/>
      <c r="U32" s="808"/>
    </row>
    <row r="33" spans="2:21" ht="18" customHeight="1">
      <c r="C33" s="399"/>
      <c r="D33" s="400"/>
      <c r="F33" s="397"/>
      <c r="G33" s="807"/>
      <c r="H33" s="807"/>
      <c r="I33" s="807"/>
      <c r="J33" s="807"/>
      <c r="K33" s="807"/>
      <c r="L33" s="807"/>
      <c r="M33" s="807"/>
      <c r="N33" s="807"/>
      <c r="O33" s="807"/>
      <c r="Q33" s="808"/>
      <c r="R33" s="808"/>
      <c r="S33" s="808"/>
      <c r="T33" s="808"/>
      <c r="U33" s="808"/>
    </row>
    <row r="34" spans="2:21" ht="18" customHeight="1">
      <c r="C34" s="195" t="s">
        <v>273</v>
      </c>
      <c r="D34" s="401"/>
      <c r="E34" s="402"/>
      <c r="F34" s="402"/>
      <c r="G34" s="809"/>
      <c r="H34" s="809"/>
      <c r="I34" s="809"/>
      <c r="J34" s="809"/>
      <c r="K34" s="809"/>
      <c r="L34" s="809"/>
      <c r="M34" s="809"/>
      <c r="N34" s="809"/>
      <c r="O34" s="809"/>
      <c r="Q34" s="808"/>
      <c r="R34" s="808"/>
      <c r="S34" s="808"/>
      <c r="T34" s="808"/>
      <c r="U34" s="808"/>
    </row>
    <row r="35" spans="2:21" ht="14.25" customHeight="1">
      <c r="B35" s="448">
        <v>26</v>
      </c>
      <c r="C35" s="723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5"/>
      <c r="Q35" s="403"/>
      <c r="R35" s="403"/>
    </row>
    <row r="36" spans="2:21" ht="14.25" customHeight="1">
      <c r="C36" s="726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8"/>
      <c r="Q36" s="403"/>
      <c r="R36" s="403"/>
    </row>
    <row r="37" spans="2:21" ht="14.25" customHeight="1">
      <c r="C37" s="726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8"/>
      <c r="Q37" s="403"/>
      <c r="R37" s="403"/>
    </row>
    <row r="38" spans="2:21" ht="14.25" customHeight="1">
      <c r="C38" s="729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1"/>
      <c r="Q38" s="403"/>
      <c r="R38" s="403"/>
    </row>
    <row r="39" spans="2:21" ht="8.25" customHeight="1"/>
  </sheetData>
  <sheetProtection algorithmName="SHA-512" hashValue="5lNV+ADy24n1SHDkXkfPHkonQySD6uefiMmkSvbi5twq3T6Q5zUsOzyfVCYyQhP76Y8SZ7cBIkiL8Uu/FqQpXg==" saltValue="dgw7KMThJ9AZYOIoR/r/WA==" spinCount="100000" sheet="1" objects="1" scenarios="1"/>
  <mergeCells count="14">
    <mergeCell ref="G30:O31"/>
    <mergeCell ref="Q30:U34"/>
    <mergeCell ref="G32:O34"/>
    <mergeCell ref="C35:O38"/>
    <mergeCell ref="G4:I5"/>
    <mergeCell ref="J4:L5"/>
    <mergeCell ref="M4:O5"/>
    <mergeCell ref="P5:R5"/>
    <mergeCell ref="S5:U5"/>
    <mergeCell ref="D3:I3"/>
    <mergeCell ref="J3:O3"/>
    <mergeCell ref="C3:C5"/>
    <mergeCell ref="P3:U4"/>
    <mergeCell ref="D4:F5"/>
  </mergeCells>
  <conditionalFormatting sqref="D8:D28">
    <cfRule type="cellIs" dxfId="53" priority="134" operator="equal">
      <formula>0</formula>
    </cfRule>
  </conditionalFormatting>
  <conditionalFormatting sqref="D14:R14">
    <cfRule type="cellIs" dxfId="52" priority="62" operator="equal">
      <formula>0</formula>
    </cfRule>
  </conditionalFormatting>
  <conditionalFormatting sqref="D18:R18">
    <cfRule type="cellIs" dxfId="51" priority="63" operator="equal">
      <formula>0</formula>
    </cfRule>
  </conditionalFormatting>
  <conditionalFormatting sqref="D7:U7">
    <cfRule type="cellIs" dxfId="50" priority="286" operator="equal">
      <formula>0</formula>
    </cfRule>
  </conditionalFormatting>
  <conditionalFormatting sqref="G8:G28">
    <cfRule type="cellIs" dxfId="49" priority="124" operator="equal">
      <formula>0</formula>
    </cfRule>
  </conditionalFormatting>
  <conditionalFormatting sqref="G32:O34">
    <cfRule type="notContainsBlanks" dxfId="48" priority="355">
      <formula>LEN(TRIM(G32))&gt;0</formula>
    </cfRule>
  </conditionalFormatting>
  <conditionalFormatting sqref="G30:P31">
    <cfRule type="notContainsBlanks" dxfId="47" priority="308">
      <formula>LEN(TRIM(G30))&gt;0</formula>
    </cfRule>
  </conditionalFormatting>
  <conditionalFormatting sqref="J8:J28">
    <cfRule type="cellIs" dxfId="46" priority="114" operator="equal">
      <formula>0</formula>
    </cfRule>
  </conditionalFormatting>
  <conditionalFormatting sqref="M8:M28">
    <cfRule type="cellIs" dxfId="45" priority="104" operator="equal">
      <formula>0</formula>
    </cfRule>
  </conditionalFormatting>
  <conditionalFormatting sqref="P8:P28">
    <cfRule type="cellIs" dxfId="44" priority="94" operator="equal">
      <formula>0</formula>
    </cfRule>
  </conditionalFormatting>
  <conditionalFormatting sqref="P33:P34">
    <cfRule type="notContainsBlanks" dxfId="43" priority="309">
      <formula>LEN(TRIM(P33))&gt;0</formula>
    </cfRule>
  </conditionalFormatting>
  <conditionalFormatting sqref="Q8:R13">
    <cfRule type="cellIs" dxfId="42" priority="56" operator="greaterThan">
      <formula>E8</formula>
    </cfRule>
  </conditionalFormatting>
  <conditionalFormatting sqref="Q15:R17">
    <cfRule type="cellIs" dxfId="41" priority="53" operator="greaterThan">
      <formula>E15</formula>
    </cfRule>
  </conditionalFormatting>
  <conditionalFormatting sqref="Q19:R28">
    <cfRule type="cellIs" dxfId="40" priority="43" operator="greaterThan">
      <formula>E19</formula>
    </cfRule>
  </conditionalFormatting>
  <conditionalFormatting sqref="Q30:U34">
    <cfRule type="notContainsBlanks" dxfId="39" priority="285">
      <formula>LEN(TRIM(Q30))&gt;0</formula>
    </cfRule>
  </conditionalFormatting>
  <conditionalFormatting sqref="S8:S28">
    <cfRule type="cellIs" dxfId="38" priority="83" operator="equal">
      <formula>0</formula>
    </cfRule>
  </conditionalFormatting>
  <conditionalFormatting sqref="T8:U13">
    <cfRule type="cellIs" dxfId="37" priority="14" operator="greaterThan">
      <formula>K8</formula>
    </cfRule>
  </conditionalFormatting>
  <conditionalFormatting sqref="T14:U14">
    <cfRule type="cellIs" dxfId="36" priority="20" operator="equal">
      <formula>0</formula>
    </cfRule>
  </conditionalFormatting>
  <conditionalFormatting sqref="T15:U17">
    <cfRule type="cellIs" dxfId="35" priority="11" operator="greaterThan">
      <formula>K15</formula>
    </cfRule>
  </conditionalFormatting>
  <conditionalFormatting sqref="T18:U18">
    <cfRule type="cellIs" dxfId="34" priority="21" operator="equal">
      <formula>0</formula>
    </cfRule>
  </conditionalFormatting>
  <conditionalFormatting sqref="T19:U28">
    <cfRule type="cellIs" dxfId="33" priority="1" operator="greaterThan">
      <formula>K19</formula>
    </cfRule>
  </conditionalFormatting>
  <dataValidations count="1">
    <dataValidation type="whole" operator="greaterThanOrEqual" allowBlank="1" showInputMessage="1" showErrorMessage="1" sqref="D7:U28" xr:uid="{00000000-0002-0000-0A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65" orientation="landscape" r:id="rId1"/>
  <headerFooter scaleWithDoc="0">
    <oddFooter>&amp;R&amp;"Goudy,Negrita Cursiva"Técnica Diurna&amp;"Goudy,Cursiva",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9">
    <tabColor rgb="FFFF0000"/>
  </sheetPr>
  <dimension ref="A1:AH137"/>
  <sheetViews>
    <sheetView topLeftCell="K1" zoomScale="80" zoomScaleNormal="80" workbookViewId="0">
      <pane ySplit="2" topLeftCell="A3" activePane="bottomLeft" state="frozen"/>
      <selection pane="bottomLeft" activeCell="K32" sqref="A32:XFD32"/>
    </sheetView>
  </sheetViews>
  <sheetFormatPr baseColWidth="10" defaultColWidth="11.44140625" defaultRowHeight="13.8"/>
  <cols>
    <col min="1" max="1" width="10.109375" style="10" bestFit="1" customWidth="1"/>
    <col min="2" max="2" width="10.5546875" style="10" bestFit="1" customWidth="1"/>
    <col min="3" max="3" width="8.6640625" style="10" bestFit="1" customWidth="1"/>
    <col min="4" max="4" width="8.109375" style="10" bestFit="1" customWidth="1"/>
    <col min="5" max="5" width="5.5546875" style="10" bestFit="1" customWidth="1"/>
    <col min="6" max="6" width="7.109375" style="10" bestFit="1" customWidth="1"/>
    <col min="7" max="7" width="6.109375" style="10" bestFit="1" customWidth="1"/>
    <col min="8" max="8" width="24.109375" style="10" bestFit="1" customWidth="1"/>
    <col min="9" max="9" width="10" style="10" bestFit="1" customWidth="1"/>
    <col min="10" max="10" width="8.44140625" style="10" bestFit="1" customWidth="1"/>
    <col min="11" max="11" width="10.44140625" style="10" bestFit="1" customWidth="1"/>
    <col min="12" max="12" width="8.44140625" style="10" bestFit="1" customWidth="1"/>
    <col min="13" max="13" width="40.33203125" style="10" bestFit="1" customWidth="1"/>
    <col min="14" max="14" width="8.5546875" style="10" bestFit="1" customWidth="1"/>
    <col min="15" max="15" width="8.6640625" style="10" bestFit="1" customWidth="1"/>
    <col min="16" max="16" width="8.88671875" style="10" bestFit="1" customWidth="1"/>
    <col min="17" max="17" width="9.88671875" style="10" bestFit="1" customWidth="1"/>
    <col min="18" max="18" width="10" style="10" bestFit="1" customWidth="1"/>
    <col min="19" max="19" width="9.88671875" style="10" bestFit="1" customWidth="1"/>
    <col min="20" max="20" width="10" style="10" bestFit="1" customWidth="1"/>
    <col min="21" max="21" width="9.88671875" style="10" bestFit="1" customWidth="1"/>
    <col min="22" max="22" width="10" style="10" bestFit="1" customWidth="1"/>
    <col min="23" max="23" width="9.88671875" style="10" bestFit="1" customWidth="1"/>
    <col min="24" max="24" width="10" style="10" bestFit="1" customWidth="1"/>
    <col min="25" max="25" width="9.88671875" style="10" bestFit="1" customWidth="1"/>
    <col min="26" max="26" width="10" style="10" bestFit="1" customWidth="1"/>
    <col min="27" max="27" width="9.88671875" style="10" bestFit="1" customWidth="1"/>
    <col min="28" max="28" width="10" style="10" bestFit="1" customWidth="1"/>
    <col min="29" max="34" width="7.33203125" style="10" bestFit="1" customWidth="1"/>
    <col min="35" max="16384" width="11.44140625" style="10"/>
  </cols>
  <sheetData>
    <row r="1" spans="1:34" s="12" customFormat="1">
      <c r="A1" s="12">
        <v>1</v>
      </c>
      <c r="B1" s="12">
        <v>2</v>
      </c>
      <c r="C1" s="12">
        <v>3</v>
      </c>
      <c r="D1" s="12">
        <v>4</v>
      </c>
      <c r="E1" s="12">
        <v>5</v>
      </c>
      <c r="F1" s="12">
        <v>6</v>
      </c>
      <c r="G1" s="12">
        <v>7</v>
      </c>
      <c r="H1" s="12">
        <v>8</v>
      </c>
      <c r="I1" s="12">
        <v>9</v>
      </c>
      <c r="J1" s="12">
        <v>10</v>
      </c>
      <c r="K1" s="12">
        <v>11</v>
      </c>
      <c r="L1" s="12">
        <v>12</v>
      </c>
      <c r="M1" s="12">
        <v>13</v>
      </c>
      <c r="N1" s="12">
        <v>14</v>
      </c>
      <c r="O1" s="12">
        <v>15</v>
      </c>
      <c r="P1" s="12">
        <v>16</v>
      </c>
      <c r="Q1" s="12">
        <v>17</v>
      </c>
      <c r="R1" s="12">
        <v>18</v>
      </c>
      <c r="S1" s="12">
        <v>19</v>
      </c>
      <c r="T1" s="12">
        <v>20</v>
      </c>
      <c r="U1" s="12">
        <v>21</v>
      </c>
      <c r="V1" s="12">
        <v>22</v>
      </c>
      <c r="W1" s="12">
        <v>23</v>
      </c>
      <c r="X1" s="12">
        <v>24</v>
      </c>
      <c r="Y1" s="12">
        <v>25</v>
      </c>
      <c r="Z1" s="12">
        <v>26</v>
      </c>
      <c r="AA1" s="12">
        <v>27</v>
      </c>
      <c r="AB1" s="12">
        <v>28</v>
      </c>
      <c r="AC1" s="13">
        <v>29</v>
      </c>
      <c r="AD1" s="13">
        <v>30</v>
      </c>
      <c r="AE1" s="13">
        <v>31</v>
      </c>
      <c r="AF1" s="13">
        <v>32</v>
      </c>
      <c r="AG1" s="13">
        <v>33</v>
      </c>
      <c r="AH1" s="13">
        <v>34</v>
      </c>
    </row>
    <row r="2" spans="1:34" s="17" customFormat="1">
      <c r="A2" s="14" t="s">
        <v>21</v>
      </c>
      <c r="B2" s="14" t="s">
        <v>22</v>
      </c>
      <c r="C2" s="14" t="s">
        <v>801</v>
      </c>
      <c r="D2" s="14" t="s">
        <v>25</v>
      </c>
      <c r="E2" s="14" t="s">
        <v>26</v>
      </c>
      <c r="F2" s="14" t="s">
        <v>27</v>
      </c>
      <c r="G2" s="14" t="s">
        <v>28</v>
      </c>
      <c r="H2" s="14" t="s">
        <v>32</v>
      </c>
      <c r="I2" s="14" t="s">
        <v>33</v>
      </c>
      <c r="J2" s="14" t="s">
        <v>802</v>
      </c>
      <c r="K2" s="14" t="s">
        <v>803</v>
      </c>
      <c r="L2" s="14" t="s">
        <v>804</v>
      </c>
      <c r="M2" s="14" t="s">
        <v>23</v>
      </c>
      <c r="N2" s="15" t="s">
        <v>805</v>
      </c>
      <c r="O2" s="15" t="s">
        <v>806</v>
      </c>
      <c r="P2" s="15" t="s">
        <v>807</v>
      </c>
      <c r="Q2" s="14" t="s">
        <v>808</v>
      </c>
      <c r="R2" s="14" t="s">
        <v>809</v>
      </c>
      <c r="S2" s="14" t="s">
        <v>810</v>
      </c>
      <c r="T2" s="14" t="s">
        <v>811</v>
      </c>
      <c r="U2" s="14" t="s">
        <v>812</v>
      </c>
      <c r="V2" s="14" t="s">
        <v>813</v>
      </c>
      <c r="W2" s="14" t="s">
        <v>814</v>
      </c>
      <c r="X2" s="14" t="s">
        <v>815</v>
      </c>
      <c r="Y2" s="14" t="s">
        <v>816</v>
      </c>
      <c r="Z2" s="14" t="s">
        <v>817</v>
      </c>
      <c r="AA2" s="14" t="s">
        <v>818</v>
      </c>
      <c r="AB2" s="14" t="s">
        <v>819</v>
      </c>
      <c r="AC2" s="16" t="s">
        <v>821</v>
      </c>
      <c r="AD2" s="16" t="s">
        <v>822</v>
      </c>
      <c r="AE2" s="16" t="s">
        <v>823</v>
      </c>
      <c r="AF2" s="16" t="s">
        <v>824</v>
      </c>
      <c r="AG2" s="16" t="s">
        <v>825</v>
      </c>
      <c r="AH2" s="16" t="s">
        <v>826</v>
      </c>
    </row>
    <row r="3" spans="1:34" ht="14.4">
      <c r="A3" s="8" t="s">
        <v>876</v>
      </c>
      <c r="B3" s="8" t="s">
        <v>1007</v>
      </c>
      <c r="C3" s="8" t="s">
        <v>2</v>
      </c>
      <c r="D3" s="8" t="s">
        <v>7</v>
      </c>
      <c r="E3" s="8" t="s">
        <v>40</v>
      </c>
      <c r="F3" s="8" t="s">
        <v>12</v>
      </c>
      <c r="G3" s="8" t="s">
        <v>5</v>
      </c>
      <c r="H3" s="8" t="s">
        <v>1258</v>
      </c>
      <c r="I3" s="8" t="s">
        <v>44</v>
      </c>
      <c r="J3" s="8" t="s">
        <v>40</v>
      </c>
      <c r="K3" s="19" t="s">
        <v>2316</v>
      </c>
      <c r="L3" s="19" t="s">
        <v>62</v>
      </c>
      <c r="M3" s="8" t="s">
        <v>1139</v>
      </c>
      <c r="N3" s="8">
        <v>323</v>
      </c>
      <c r="O3" s="8">
        <v>184</v>
      </c>
      <c r="P3" s="8">
        <v>139</v>
      </c>
      <c r="Q3" s="8">
        <v>52</v>
      </c>
      <c r="R3" s="8">
        <v>30</v>
      </c>
      <c r="S3" s="8">
        <v>67</v>
      </c>
      <c r="T3" s="8">
        <v>40</v>
      </c>
      <c r="U3" s="8">
        <v>75</v>
      </c>
      <c r="V3" s="8">
        <v>36</v>
      </c>
      <c r="W3" s="8">
        <v>80</v>
      </c>
      <c r="X3" s="8">
        <v>48</v>
      </c>
      <c r="Y3" s="8">
        <v>49</v>
      </c>
      <c r="Z3" s="8">
        <v>30</v>
      </c>
      <c r="AA3" s="8">
        <v>0</v>
      </c>
      <c r="AB3" s="8">
        <v>0</v>
      </c>
      <c r="AC3" s="18">
        <f t="shared" ref="AC3:AC34" si="0">+Q3-R3</f>
        <v>22</v>
      </c>
      <c r="AD3" s="18">
        <f t="shared" ref="AD3:AD34" si="1">+S3-T3</f>
        <v>27</v>
      </c>
      <c r="AE3" s="18">
        <f t="shared" ref="AE3:AE34" si="2">+U3-V3</f>
        <v>39</v>
      </c>
      <c r="AF3" s="18">
        <f t="shared" ref="AF3:AF34" si="3">+W3-X3</f>
        <v>32</v>
      </c>
      <c r="AG3" s="18">
        <f t="shared" ref="AG3:AG34" si="4">+Y3-Z3</f>
        <v>19</v>
      </c>
      <c r="AH3" s="18">
        <f t="shared" ref="AH3:AH34" si="5">+AA3-AB3</f>
        <v>0</v>
      </c>
    </row>
    <row r="4" spans="1:34" ht="14.4">
      <c r="A4" s="8" t="s">
        <v>877</v>
      </c>
      <c r="B4" s="8" t="s">
        <v>1008</v>
      </c>
      <c r="C4" s="8" t="s">
        <v>178</v>
      </c>
      <c r="D4" s="8" t="s">
        <v>2</v>
      </c>
      <c r="E4" s="8" t="s">
        <v>40</v>
      </c>
      <c r="F4" s="8" t="s">
        <v>2</v>
      </c>
      <c r="G4" s="8" t="s">
        <v>10</v>
      </c>
      <c r="H4" s="8" t="s">
        <v>58</v>
      </c>
      <c r="I4" s="8" t="s">
        <v>40</v>
      </c>
      <c r="J4" s="8" t="s">
        <v>40</v>
      </c>
      <c r="K4" s="19" t="s">
        <v>41</v>
      </c>
      <c r="L4" s="19" t="s">
        <v>62</v>
      </c>
      <c r="M4" s="8" t="s">
        <v>1586</v>
      </c>
      <c r="N4" s="8">
        <v>14</v>
      </c>
      <c r="O4" s="8">
        <v>6</v>
      </c>
      <c r="P4" s="8">
        <v>8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3</v>
      </c>
      <c r="X4" s="8">
        <v>1</v>
      </c>
      <c r="Y4" s="8">
        <v>10</v>
      </c>
      <c r="Z4" s="8">
        <v>4</v>
      </c>
      <c r="AA4" s="8">
        <v>1</v>
      </c>
      <c r="AB4" s="8">
        <v>1</v>
      </c>
      <c r="AC4" s="18">
        <f t="shared" si="0"/>
        <v>0</v>
      </c>
      <c r="AD4" s="18">
        <f t="shared" si="1"/>
        <v>0</v>
      </c>
      <c r="AE4" s="18">
        <f t="shared" si="2"/>
        <v>0</v>
      </c>
      <c r="AF4" s="18">
        <f t="shared" si="3"/>
        <v>2</v>
      </c>
      <c r="AG4" s="18">
        <f t="shared" si="4"/>
        <v>6</v>
      </c>
      <c r="AH4" s="18">
        <f t="shared" si="5"/>
        <v>0</v>
      </c>
    </row>
    <row r="5" spans="1:34" ht="14.4">
      <c r="A5" s="8" t="s">
        <v>878</v>
      </c>
      <c r="B5" s="8" t="s">
        <v>1009</v>
      </c>
      <c r="C5" s="8" t="s">
        <v>2</v>
      </c>
      <c r="D5" s="8" t="s">
        <v>2</v>
      </c>
      <c r="E5" s="8" t="s">
        <v>40</v>
      </c>
      <c r="F5" s="8" t="s">
        <v>2</v>
      </c>
      <c r="G5" s="8" t="s">
        <v>15</v>
      </c>
      <c r="H5" s="8" t="s">
        <v>784</v>
      </c>
      <c r="I5" s="8" t="s">
        <v>40</v>
      </c>
      <c r="J5" s="8" t="s">
        <v>40</v>
      </c>
      <c r="K5" s="19" t="s">
        <v>44</v>
      </c>
      <c r="L5" s="19" t="s">
        <v>62</v>
      </c>
      <c r="M5" s="8" t="s">
        <v>1140</v>
      </c>
      <c r="N5" s="8">
        <v>62</v>
      </c>
      <c r="O5" s="8">
        <v>32</v>
      </c>
      <c r="P5" s="8">
        <v>30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</v>
      </c>
      <c r="X5" s="8">
        <v>27</v>
      </c>
      <c r="Y5" s="8">
        <v>16</v>
      </c>
      <c r="Z5" s="8">
        <v>5</v>
      </c>
      <c r="AA5" s="8">
        <v>0</v>
      </c>
      <c r="AB5" s="8">
        <v>0</v>
      </c>
      <c r="AC5" s="18">
        <f t="shared" si="0"/>
        <v>0</v>
      </c>
      <c r="AD5" s="18">
        <f t="shared" si="1"/>
        <v>0</v>
      </c>
      <c r="AE5" s="18">
        <f t="shared" si="2"/>
        <v>0</v>
      </c>
      <c r="AF5" s="18">
        <f t="shared" si="3"/>
        <v>19</v>
      </c>
      <c r="AG5" s="18">
        <f t="shared" si="4"/>
        <v>11</v>
      </c>
      <c r="AH5" s="18">
        <f t="shared" si="5"/>
        <v>0</v>
      </c>
    </row>
    <row r="6" spans="1:34" ht="14.4">
      <c r="A6" s="8" t="s">
        <v>879</v>
      </c>
      <c r="B6" s="8" t="s">
        <v>1010</v>
      </c>
      <c r="C6" s="8" t="s">
        <v>140</v>
      </c>
      <c r="D6" s="8" t="s">
        <v>8</v>
      </c>
      <c r="E6" s="8" t="s">
        <v>40</v>
      </c>
      <c r="F6" s="8" t="s">
        <v>4</v>
      </c>
      <c r="G6" s="8" t="s">
        <v>2</v>
      </c>
      <c r="H6" s="8" t="s">
        <v>42</v>
      </c>
      <c r="I6" s="8" t="s">
        <v>40</v>
      </c>
      <c r="J6" s="8" t="s">
        <v>40</v>
      </c>
      <c r="K6" s="19" t="s">
        <v>41</v>
      </c>
      <c r="L6" s="19" t="s">
        <v>62</v>
      </c>
      <c r="M6" s="8" t="s">
        <v>1141</v>
      </c>
      <c r="N6" s="8">
        <v>77</v>
      </c>
      <c r="O6" s="8">
        <v>51</v>
      </c>
      <c r="P6" s="8">
        <v>26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</v>
      </c>
      <c r="X6" s="8">
        <v>13</v>
      </c>
      <c r="Y6" s="8">
        <v>38</v>
      </c>
      <c r="Z6" s="8">
        <v>28</v>
      </c>
      <c r="AA6" s="8">
        <v>17</v>
      </c>
      <c r="AB6" s="8">
        <v>10</v>
      </c>
      <c r="AC6" s="18">
        <f t="shared" si="0"/>
        <v>0</v>
      </c>
      <c r="AD6" s="18">
        <f t="shared" si="1"/>
        <v>0</v>
      </c>
      <c r="AE6" s="18">
        <f t="shared" si="2"/>
        <v>0</v>
      </c>
      <c r="AF6" s="18">
        <f t="shared" si="3"/>
        <v>9</v>
      </c>
      <c r="AG6" s="18">
        <f t="shared" si="4"/>
        <v>10</v>
      </c>
      <c r="AH6" s="18">
        <f t="shared" si="5"/>
        <v>7</v>
      </c>
    </row>
    <row r="7" spans="1:34" ht="14.4">
      <c r="A7" s="8" t="s">
        <v>880</v>
      </c>
      <c r="B7" s="8" t="s">
        <v>1011</v>
      </c>
      <c r="C7" s="8" t="s">
        <v>140</v>
      </c>
      <c r="D7" s="8" t="s">
        <v>5</v>
      </c>
      <c r="E7" s="8" t="s">
        <v>40</v>
      </c>
      <c r="F7" s="8" t="s">
        <v>4</v>
      </c>
      <c r="G7" s="8" t="s">
        <v>10</v>
      </c>
      <c r="H7" s="8" t="s">
        <v>77</v>
      </c>
      <c r="I7" s="8" t="s">
        <v>40</v>
      </c>
      <c r="J7" s="8" t="s">
        <v>41</v>
      </c>
      <c r="K7" s="19" t="s">
        <v>40</v>
      </c>
      <c r="L7" s="19" t="s">
        <v>62</v>
      </c>
      <c r="M7" s="8" t="s">
        <v>1142</v>
      </c>
      <c r="N7" s="8">
        <v>211</v>
      </c>
      <c r="O7" s="8">
        <v>124</v>
      </c>
      <c r="P7" s="8">
        <v>87</v>
      </c>
      <c r="Q7" s="8">
        <v>38</v>
      </c>
      <c r="R7" s="8">
        <v>22</v>
      </c>
      <c r="S7" s="8">
        <v>29</v>
      </c>
      <c r="T7" s="8">
        <v>17</v>
      </c>
      <c r="U7" s="8">
        <v>24</v>
      </c>
      <c r="V7" s="8">
        <v>16</v>
      </c>
      <c r="W7" s="8">
        <v>61</v>
      </c>
      <c r="X7" s="8">
        <v>36</v>
      </c>
      <c r="Y7" s="8">
        <v>55</v>
      </c>
      <c r="Z7" s="8">
        <v>29</v>
      </c>
      <c r="AA7" s="8">
        <v>4</v>
      </c>
      <c r="AB7" s="8">
        <v>4</v>
      </c>
      <c r="AC7" s="18">
        <f t="shared" si="0"/>
        <v>16</v>
      </c>
      <c r="AD7" s="18">
        <f t="shared" si="1"/>
        <v>12</v>
      </c>
      <c r="AE7" s="18">
        <f t="shared" si="2"/>
        <v>8</v>
      </c>
      <c r="AF7" s="18">
        <f t="shared" si="3"/>
        <v>25</v>
      </c>
      <c r="AG7" s="18">
        <f t="shared" si="4"/>
        <v>26</v>
      </c>
      <c r="AH7" s="18">
        <f t="shared" si="5"/>
        <v>0</v>
      </c>
    </row>
    <row r="8" spans="1:34" ht="14.4">
      <c r="A8" s="8" t="s">
        <v>881</v>
      </c>
      <c r="B8" s="8" t="s">
        <v>1012</v>
      </c>
      <c r="C8" s="8" t="s">
        <v>3</v>
      </c>
      <c r="D8" s="8" t="s">
        <v>2</v>
      </c>
      <c r="E8" s="8" t="s">
        <v>40</v>
      </c>
      <c r="F8" s="8" t="s">
        <v>5</v>
      </c>
      <c r="G8" s="8" t="s">
        <v>2</v>
      </c>
      <c r="H8" s="8" t="s">
        <v>2307</v>
      </c>
      <c r="I8" s="8" t="s">
        <v>40</v>
      </c>
      <c r="J8" s="8" t="s">
        <v>40</v>
      </c>
      <c r="K8" s="19" t="s">
        <v>44</v>
      </c>
      <c r="L8" s="19" t="s">
        <v>62</v>
      </c>
      <c r="M8" s="8" t="s">
        <v>1143</v>
      </c>
      <c r="N8" s="8">
        <v>467</v>
      </c>
      <c r="O8" s="8">
        <v>296</v>
      </c>
      <c r="P8" s="8">
        <v>171</v>
      </c>
      <c r="Q8" s="8">
        <v>87</v>
      </c>
      <c r="R8" s="8">
        <v>59</v>
      </c>
      <c r="S8" s="8">
        <v>180</v>
      </c>
      <c r="T8" s="8">
        <v>122</v>
      </c>
      <c r="U8" s="8">
        <v>36</v>
      </c>
      <c r="V8" s="8">
        <v>25</v>
      </c>
      <c r="W8" s="8">
        <v>103</v>
      </c>
      <c r="X8" s="8">
        <v>57</v>
      </c>
      <c r="Y8" s="8">
        <v>41</v>
      </c>
      <c r="Z8" s="8">
        <v>23</v>
      </c>
      <c r="AA8" s="8">
        <v>20</v>
      </c>
      <c r="AB8" s="8">
        <v>10</v>
      </c>
      <c r="AC8" s="18">
        <f t="shared" si="0"/>
        <v>28</v>
      </c>
      <c r="AD8" s="18">
        <f t="shared" si="1"/>
        <v>58</v>
      </c>
      <c r="AE8" s="18">
        <f t="shared" si="2"/>
        <v>11</v>
      </c>
      <c r="AF8" s="18">
        <f t="shared" si="3"/>
        <v>46</v>
      </c>
      <c r="AG8" s="18">
        <f t="shared" si="4"/>
        <v>18</v>
      </c>
      <c r="AH8" s="18">
        <f t="shared" si="5"/>
        <v>10</v>
      </c>
    </row>
    <row r="9" spans="1:34" ht="14.4">
      <c r="A9" s="8" t="s">
        <v>882</v>
      </c>
      <c r="B9" s="8" t="s">
        <v>1013</v>
      </c>
      <c r="C9" s="8" t="s">
        <v>3</v>
      </c>
      <c r="D9" s="8" t="s">
        <v>4</v>
      </c>
      <c r="E9" s="8" t="s">
        <v>40</v>
      </c>
      <c r="F9" s="8" t="s">
        <v>5</v>
      </c>
      <c r="G9" s="8" t="s">
        <v>11</v>
      </c>
      <c r="H9" s="8" t="s">
        <v>45</v>
      </c>
      <c r="I9" s="8" t="s">
        <v>40</v>
      </c>
      <c r="J9" s="8" t="s">
        <v>41</v>
      </c>
      <c r="K9" s="19" t="s">
        <v>40</v>
      </c>
      <c r="L9" s="19" t="s">
        <v>62</v>
      </c>
      <c r="M9" s="8" t="s">
        <v>1144</v>
      </c>
      <c r="N9" s="8">
        <v>11</v>
      </c>
      <c r="O9" s="8">
        <v>6</v>
      </c>
      <c r="P9" s="8">
        <v>5</v>
      </c>
      <c r="Q9" s="8">
        <v>1</v>
      </c>
      <c r="R9" s="8">
        <v>1</v>
      </c>
      <c r="S9" s="8">
        <v>1</v>
      </c>
      <c r="T9" s="8">
        <v>0</v>
      </c>
      <c r="U9" s="8">
        <v>0</v>
      </c>
      <c r="V9" s="8">
        <v>0</v>
      </c>
      <c r="W9" s="8">
        <v>3</v>
      </c>
      <c r="X9" s="8">
        <v>1</v>
      </c>
      <c r="Y9" s="8">
        <v>6</v>
      </c>
      <c r="Z9" s="8">
        <v>4</v>
      </c>
      <c r="AA9" s="8">
        <v>0</v>
      </c>
      <c r="AB9" s="8">
        <v>0</v>
      </c>
      <c r="AC9" s="18">
        <f t="shared" si="0"/>
        <v>0</v>
      </c>
      <c r="AD9" s="18">
        <f t="shared" si="1"/>
        <v>1</v>
      </c>
      <c r="AE9" s="18">
        <f t="shared" si="2"/>
        <v>0</v>
      </c>
      <c r="AF9" s="18">
        <f t="shared" si="3"/>
        <v>2</v>
      </c>
      <c r="AG9" s="18">
        <f t="shared" si="4"/>
        <v>2</v>
      </c>
      <c r="AH9" s="18">
        <f t="shared" si="5"/>
        <v>0</v>
      </c>
    </row>
    <row r="10" spans="1:34" ht="14.4">
      <c r="A10" s="8" t="s">
        <v>883</v>
      </c>
      <c r="B10" s="8" t="s">
        <v>1014</v>
      </c>
      <c r="C10" s="8" t="s">
        <v>177</v>
      </c>
      <c r="D10" s="8" t="s">
        <v>2</v>
      </c>
      <c r="E10" s="8" t="s">
        <v>40</v>
      </c>
      <c r="F10" s="8" t="s">
        <v>10</v>
      </c>
      <c r="G10" s="8" t="s">
        <v>4</v>
      </c>
      <c r="H10" s="8" t="s">
        <v>1260</v>
      </c>
      <c r="I10" s="8" t="s">
        <v>40</v>
      </c>
      <c r="J10" s="8" t="s">
        <v>40</v>
      </c>
      <c r="K10" s="19" t="s">
        <v>44</v>
      </c>
      <c r="L10" s="19" t="s">
        <v>62</v>
      </c>
      <c r="M10" s="8" t="s">
        <v>1145</v>
      </c>
      <c r="N10" s="8">
        <v>72</v>
      </c>
      <c r="O10" s="8">
        <v>40</v>
      </c>
      <c r="P10" s="8">
        <v>32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43</v>
      </c>
      <c r="X10" s="8">
        <v>27</v>
      </c>
      <c r="Y10" s="8">
        <v>24</v>
      </c>
      <c r="Z10" s="8">
        <v>10</v>
      </c>
      <c r="AA10" s="8">
        <v>5</v>
      </c>
      <c r="AB10" s="8">
        <v>3</v>
      </c>
      <c r="AC10" s="18">
        <f t="shared" si="0"/>
        <v>0</v>
      </c>
      <c r="AD10" s="18">
        <f t="shared" si="1"/>
        <v>0</v>
      </c>
      <c r="AE10" s="18">
        <f t="shared" si="2"/>
        <v>0</v>
      </c>
      <c r="AF10" s="18">
        <f t="shared" si="3"/>
        <v>16</v>
      </c>
      <c r="AG10" s="18">
        <f t="shared" si="4"/>
        <v>14</v>
      </c>
      <c r="AH10" s="18">
        <f t="shared" si="5"/>
        <v>2</v>
      </c>
    </row>
    <row r="11" spans="1:34" ht="14.4">
      <c r="A11" s="8" t="s">
        <v>884</v>
      </c>
      <c r="B11" s="8" t="s">
        <v>1015</v>
      </c>
      <c r="C11" s="8" t="s">
        <v>140</v>
      </c>
      <c r="D11" s="8" t="s">
        <v>6</v>
      </c>
      <c r="E11" s="8" t="s">
        <v>40</v>
      </c>
      <c r="F11" s="8" t="s">
        <v>16</v>
      </c>
      <c r="G11" s="8" t="s">
        <v>2</v>
      </c>
      <c r="H11" s="8" t="s">
        <v>89</v>
      </c>
      <c r="I11" s="8" t="s">
        <v>40</v>
      </c>
      <c r="J11" s="8" t="s">
        <v>41</v>
      </c>
      <c r="K11" s="19" t="s">
        <v>44</v>
      </c>
      <c r="L11" s="19" t="s">
        <v>62</v>
      </c>
      <c r="M11" s="8" t="s">
        <v>1146</v>
      </c>
      <c r="N11" s="8">
        <v>246</v>
      </c>
      <c r="O11" s="8">
        <v>158</v>
      </c>
      <c r="P11" s="8">
        <v>88</v>
      </c>
      <c r="Q11" s="8">
        <v>52</v>
      </c>
      <c r="R11" s="8">
        <v>34</v>
      </c>
      <c r="S11" s="8">
        <v>33</v>
      </c>
      <c r="T11" s="8">
        <v>20</v>
      </c>
      <c r="U11" s="8">
        <v>19</v>
      </c>
      <c r="V11" s="8">
        <v>15</v>
      </c>
      <c r="W11" s="8">
        <v>55</v>
      </c>
      <c r="X11" s="8">
        <v>33</v>
      </c>
      <c r="Y11" s="8">
        <v>47</v>
      </c>
      <c r="Z11" s="8">
        <v>29</v>
      </c>
      <c r="AA11" s="8">
        <v>40</v>
      </c>
      <c r="AB11" s="8">
        <v>27</v>
      </c>
      <c r="AC11" s="18">
        <f t="shared" si="0"/>
        <v>18</v>
      </c>
      <c r="AD11" s="18">
        <f t="shared" si="1"/>
        <v>13</v>
      </c>
      <c r="AE11" s="18">
        <f t="shared" si="2"/>
        <v>4</v>
      </c>
      <c r="AF11" s="18">
        <f t="shared" si="3"/>
        <v>22</v>
      </c>
      <c r="AG11" s="18">
        <f t="shared" si="4"/>
        <v>18</v>
      </c>
      <c r="AH11" s="18">
        <f t="shared" si="5"/>
        <v>13</v>
      </c>
    </row>
    <row r="12" spans="1:34" ht="14.4">
      <c r="A12" s="8" t="s">
        <v>885</v>
      </c>
      <c r="B12" s="8" t="s">
        <v>1016</v>
      </c>
      <c r="C12" s="8" t="s">
        <v>3</v>
      </c>
      <c r="D12" s="8" t="s">
        <v>7</v>
      </c>
      <c r="E12" s="8" t="s">
        <v>40</v>
      </c>
      <c r="F12" s="8" t="s">
        <v>99</v>
      </c>
      <c r="G12" s="8" t="s">
        <v>2</v>
      </c>
      <c r="H12" s="8" t="s">
        <v>102</v>
      </c>
      <c r="I12" s="8" t="s">
        <v>40</v>
      </c>
      <c r="J12" s="8" t="s">
        <v>40</v>
      </c>
      <c r="K12" s="19" t="s">
        <v>40</v>
      </c>
      <c r="L12" s="19" t="s">
        <v>62</v>
      </c>
      <c r="M12" s="8" t="s">
        <v>1147</v>
      </c>
      <c r="N12" s="8">
        <v>56</v>
      </c>
      <c r="O12" s="8">
        <v>36</v>
      </c>
      <c r="P12" s="8">
        <v>20</v>
      </c>
      <c r="Q12" s="8">
        <v>6</v>
      </c>
      <c r="R12" s="8">
        <v>5</v>
      </c>
      <c r="S12" s="8">
        <v>2</v>
      </c>
      <c r="T12" s="8">
        <v>1</v>
      </c>
      <c r="U12" s="8">
        <v>9</v>
      </c>
      <c r="V12" s="8">
        <v>5</v>
      </c>
      <c r="W12" s="8">
        <v>20</v>
      </c>
      <c r="X12" s="8">
        <v>13</v>
      </c>
      <c r="Y12" s="8">
        <v>9</v>
      </c>
      <c r="Z12" s="8">
        <v>4</v>
      </c>
      <c r="AA12" s="8">
        <v>10</v>
      </c>
      <c r="AB12" s="8">
        <v>8</v>
      </c>
      <c r="AC12" s="18">
        <f t="shared" si="0"/>
        <v>1</v>
      </c>
      <c r="AD12" s="18">
        <f t="shared" si="1"/>
        <v>1</v>
      </c>
      <c r="AE12" s="18">
        <f t="shared" si="2"/>
        <v>4</v>
      </c>
      <c r="AF12" s="18">
        <f t="shared" si="3"/>
        <v>7</v>
      </c>
      <c r="AG12" s="18">
        <f t="shared" si="4"/>
        <v>5</v>
      </c>
      <c r="AH12" s="18">
        <f t="shared" si="5"/>
        <v>2</v>
      </c>
    </row>
    <row r="13" spans="1:34" ht="14.4">
      <c r="A13" s="8" t="s">
        <v>886</v>
      </c>
      <c r="B13" s="8" t="s">
        <v>1017</v>
      </c>
      <c r="C13" s="8" t="s">
        <v>176</v>
      </c>
      <c r="D13" s="8" t="s">
        <v>3</v>
      </c>
      <c r="E13" s="8" t="s">
        <v>40</v>
      </c>
      <c r="F13" s="8" t="s">
        <v>141</v>
      </c>
      <c r="G13" s="8" t="s">
        <v>2</v>
      </c>
      <c r="H13" s="8" t="s">
        <v>134</v>
      </c>
      <c r="I13" s="8" t="s">
        <v>40</v>
      </c>
      <c r="J13" s="8" t="s">
        <v>41</v>
      </c>
      <c r="K13" s="19" t="s">
        <v>44</v>
      </c>
      <c r="L13" s="19" t="s">
        <v>62</v>
      </c>
      <c r="M13" s="8" t="s">
        <v>1148</v>
      </c>
      <c r="N13" s="8">
        <v>97</v>
      </c>
      <c r="O13" s="8">
        <v>60</v>
      </c>
      <c r="P13" s="8">
        <v>37</v>
      </c>
      <c r="Q13" s="8">
        <v>20</v>
      </c>
      <c r="R13" s="8">
        <v>4</v>
      </c>
      <c r="S13" s="8">
        <v>15</v>
      </c>
      <c r="T13" s="8">
        <v>11</v>
      </c>
      <c r="U13" s="8">
        <v>12</v>
      </c>
      <c r="V13" s="8">
        <v>11</v>
      </c>
      <c r="W13" s="8">
        <v>33</v>
      </c>
      <c r="X13" s="8">
        <v>22</v>
      </c>
      <c r="Y13" s="8">
        <v>10</v>
      </c>
      <c r="Z13" s="8">
        <v>7</v>
      </c>
      <c r="AA13" s="8">
        <v>7</v>
      </c>
      <c r="AB13" s="8">
        <v>5</v>
      </c>
      <c r="AC13" s="18">
        <f t="shared" si="0"/>
        <v>16</v>
      </c>
      <c r="AD13" s="18">
        <f t="shared" si="1"/>
        <v>4</v>
      </c>
      <c r="AE13" s="18">
        <f t="shared" si="2"/>
        <v>1</v>
      </c>
      <c r="AF13" s="18">
        <f t="shared" si="3"/>
        <v>11</v>
      </c>
      <c r="AG13" s="18">
        <f t="shared" si="4"/>
        <v>3</v>
      </c>
      <c r="AH13" s="18">
        <f t="shared" si="5"/>
        <v>2</v>
      </c>
    </row>
    <row r="14" spans="1:34" ht="14.4">
      <c r="A14" s="8" t="s">
        <v>887</v>
      </c>
      <c r="B14" s="8" t="s">
        <v>1018</v>
      </c>
      <c r="C14" s="8" t="s">
        <v>65</v>
      </c>
      <c r="D14" s="8" t="s">
        <v>6</v>
      </c>
      <c r="E14" s="8" t="s">
        <v>40</v>
      </c>
      <c r="F14" s="8" t="s">
        <v>104</v>
      </c>
      <c r="G14" s="8" t="s">
        <v>3</v>
      </c>
      <c r="H14" s="8" t="s">
        <v>1261</v>
      </c>
      <c r="I14" s="8" t="s">
        <v>40</v>
      </c>
      <c r="J14" s="8" t="s">
        <v>41</v>
      </c>
      <c r="K14" s="19" t="s">
        <v>40</v>
      </c>
      <c r="L14" s="19" t="s">
        <v>62</v>
      </c>
      <c r="M14" s="8" t="s">
        <v>1149</v>
      </c>
      <c r="N14" s="8">
        <v>84</v>
      </c>
      <c r="O14" s="8">
        <v>49</v>
      </c>
      <c r="P14" s="8">
        <v>35</v>
      </c>
      <c r="Q14" s="8">
        <v>12</v>
      </c>
      <c r="R14" s="8">
        <v>6</v>
      </c>
      <c r="S14" s="8">
        <v>21</v>
      </c>
      <c r="T14" s="8">
        <v>11</v>
      </c>
      <c r="U14" s="8">
        <v>12</v>
      </c>
      <c r="V14" s="8">
        <v>8</v>
      </c>
      <c r="W14" s="8">
        <v>29</v>
      </c>
      <c r="X14" s="8">
        <v>16</v>
      </c>
      <c r="Y14" s="8">
        <v>7</v>
      </c>
      <c r="Z14" s="8">
        <v>5</v>
      </c>
      <c r="AA14" s="8">
        <v>3</v>
      </c>
      <c r="AB14" s="8">
        <v>3</v>
      </c>
      <c r="AC14" s="18">
        <f t="shared" si="0"/>
        <v>6</v>
      </c>
      <c r="AD14" s="18">
        <f t="shared" si="1"/>
        <v>10</v>
      </c>
      <c r="AE14" s="18">
        <f t="shared" si="2"/>
        <v>4</v>
      </c>
      <c r="AF14" s="18">
        <f t="shared" si="3"/>
        <v>13</v>
      </c>
      <c r="AG14" s="18">
        <f t="shared" si="4"/>
        <v>2</v>
      </c>
      <c r="AH14" s="18">
        <f t="shared" si="5"/>
        <v>0</v>
      </c>
    </row>
    <row r="15" spans="1:34" ht="14.4">
      <c r="A15" s="8" t="s">
        <v>888</v>
      </c>
      <c r="B15" s="8" t="s">
        <v>1019</v>
      </c>
      <c r="C15" s="8" t="s">
        <v>65</v>
      </c>
      <c r="D15" s="8" t="s">
        <v>4</v>
      </c>
      <c r="E15" s="8" t="s">
        <v>40</v>
      </c>
      <c r="F15" s="8" t="s">
        <v>104</v>
      </c>
      <c r="G15" s="8" t="s">
        <v>4</v>
      </c>
      <c r="H15" s="8" t="s">
        <v>1262</v>
      </c>
      <c r="I15" s="8" t="s">
        <v>40</v>
      </c>
      <c r="J15" s="8" t="s">
        <v>40</v>
      </c>
      <c r="K15" s="19" t="s">
        <v>44</v>
      </c>
      <c r="L15" s="19" t="s">
        <v>62</v>
      </c>
      <c r="M15" s="8" t="s">
        <v>1150</v>
      </c>
      <c r="N15" s="8">
        <v>160</v>
      </c>
      <c r="O15" s="8">
        <v>86</v>
      </c>
      <c r="P15" s="8">
        <v>74</v>
      </c>
      <c r="Q15" s="8">
        <v>56</v>
      </c>
      <c r="R15" s="8">
        <v>30</v>
      </c>
      <c r="S15" s="8">
        <v>9</v>
      </c>
      <c r="T15" s="8">
        <v>7</v>
      </c>
      <c r="U15" s="8">
        <v>27</v>
      </c>
      <c r="V15" s="8">
        <v>10</v>
      </c>
      <c r="W15" s="8">
        <v>46</v>
      </c>
      <c r="X15" s="8">
        <v>25</v>
      </c>
      <c r="Y15" s="8">
        <v>14</v>
      </c>
      <c r="Z15" s="8">
        <v>9</v>
      </c>
      <c r="AA15" s="8">
        <v>8</v>
      </c>
      <c r="AB15" s="8">
        <v>5</v>
      </c>
      <c r="AC15" s="18">
        <f t="shared" si="0"/>
        <v>26</v>
      </c>
      <c r="AD15" s="18">
        <f t="shared" si="1"/>
        <v>2</v>
      </c>
      <c r="AE15" s="18">
        <f t="shared" si="2"/>
        <v>17</v>
      </c>
      <c r="AF15" s="18">
        <f t="shared" si="3"/>
        <v>21</v>
      </c>
      <c r="AG15" s="18">
        <f t="shared" si="4"/>
        <v>5</v>
      </c>
      <c r="AH15" s="18">
        <f t="shared" si="5"/>
        <v>3</v>
      </c>
    </row>
    <row r="16" spans="1:34" ht="14.4">
      <c r="A16" s="8" t="s">
        <v>889</v>
      </c>
      <c r="B16" s="8" t="s">
        <v>1020</v>
      </c>
      <c r="C16" s="8" t="s">
        <v>65</v>
      </c>
      <c r="D16" s="8" t="s">
        <v>8</v>
      </c>
      <c r="E16" s="8" t="s">
        <v>40</v>
      </c>
      <c r="F16" s="8" t="s">
        <v>104</v>
      </c>
      <c r="G16" s="8" t="s">
        <v>7</v>
      </c>
      <c r="H16" s="8" t="s">
        <v>57</v>
      </c>
      <c r="I16" s="8" t="s">
        <v>40</v>
      </c>
      <c r="J16" s="8" t="s">
        <v>41</v>
      </c>
      <c r="K16" s="19" t="s">
        <v>44</v>
      </c>
      <c r="L16" s="19" t="s">
        <v>62</v>
      </c>
      <c r="M16" s="8" t="s">
        <v>1151</v>
      </c>
      <c r="N16" s="8">
        <v>80</v>
      </c>
      <c r="O16" s="8">
        <v>50</v>
      </c>
      <c r="P16" s="8">
        <v>30</v>
      </c>
      <c r="Q16" s="8">
        <v>13</v>
      </c>
      <c r="R16" s="8">
        <v>8</v>
      </c>
      <c r="S16" s="8">
        <v>21</v>
      </c>
      <c r="T16" s="8">
        <v>15</v>
      </c>
      <c r="U16" s="8">
        <v>14</v>
      </c>
      <c r="V16" s="8">
        <v>7</v>
      </c>
      <c r="W16" s="8">
        <v>23</v>
      </c>
      <c r="X16" s="8">
        <v>13</v>
      </c>
      <c r="Y16" s="8">
        <v>8</v>
      </c>
      <c r="Z16" s="8">
        <v>6</v>
      </c>
      <c r="AA16" s="8">
        <v>1</v>
      </c>
      <c r="AB16" s="8">
        <v>1</v>
      </c>
      <c r="AC16" s="18">
        <f t="shared" si="0"/>
        <v>5</v>
      </c>
      <c r="AD16" s="18">
        <f t="shared" si="1"/>
        <v>6</v>
      </c>
      <c r="AE16" s="18">
        <f t="shared" si="2"/>
        <v>7</v>
      </c>
      <c r="AF16" s="18">
        <f t="shared" si="3"/>
        <v>10</v>
      </c>
      <c r="AG16" s="18">
        <f t="shared" si="4"/>
        <v>2</v>
      </c>
      <c r="AH16" s="18">
        <f t="shared" si="5"/>
        <v>0</v>
      </c>
    </row>
    <row r="17" spans="1:34" ht="14.4">
      <c r="A17" s="8" t="s">
        <v>269</v>
      </c>
      <c r="B17" s="8" t="s">
        <v>1021</v>
      </c>
      <c r="C17" s="8" t="s">
        <v>65</v>
      </c>
      <c r="D17" s="8" t="s">
        <v>10</v>
      </c>
      <c r="E17" s="8" t="s">
        <v>40</v>
      </c>
      <c r="F17" s="8" t="s">
        <v>104</v>
      </c>
      <c r="G17" s="8" t="s">
        <v>8</v>
      </c>
      <c r="H17" s="8" t="s">
        <v>1263</v>
      </c>
      <c r="I17" s="8" t="s">
        <v>40</v>
      </c>
      <c r="J17" s="8" t="s">
        <v>41</v>
      </c>
      <c r="K17" s="19" t="s">
        <v>44</v>
      </c>
      <c r="L17" s="19" t="s">
        <v>62</v>
      </c>
      <c r="M17" s="8" t="s">
        <v>1647</v>
      </c>
      <c r="N17" s="8">
        <v>45</v>
      </c>
      <c r="O17" s="8">
        <v>21</v>
      </c>
      <c r="P17" s="8">
        <v>24</v>
      </c>
      <c r="Q17" s="8">
        <v>9</v>
      </c>
      <c r="R17" s="8">
        <v>5</v>
      </c>
      <c r="S17" s="8">
        <v>3</v>
      </c>
      <c r="T17" s="8">
        <v>2</v>
      </c>
      <c r="U17" s="8">
        <v>6</v>
      </c>
      <c r="V17" s="8">
        <v>3</v>
      </c>
      <c r="W17" s="8">
        <v>20</v>
      </c>
      <c r="X17" s="8">
        <v>9</v>
      </c>
      <c r="Y17" s="8">
        <v>7</v>
      </c>
      <c r="Z17" s="8">
        <v>2</v>
      </c>
      <c r="AA17" s="8">
        <v>0</v>
      </c>
      <c r="AB17" s="8">
        <v>0</v>
      </c>
      <c r="AC17" s="18">
        <f t="shared" si="0"/>
        <v>4</v>
      </c>
      <c r="AD17" s="18">
        <f t="shared" si="1"/>
        <v>1</v>
      </c>
      <c r="AE17" s="18">
        <f t="shared" si="2"/>
        <v>3</v>
      </c>
      <c r="AF17" s="18">
        <f t="shared" si="3"/>
        <v>11</v>
      </c>
      <c r="AG17" s="18">
        <f t="shared" si="4"/>
        <v>5</v>
      </c>
      <c r="AH17" s="18">
        <f t="shared" si="5"/>
        <v>0</v>
      </c>
    </row>
    <row r="18" spans="1:34" ht="14.4">
      <c r="A18" s="8" t="s">
        <v>890</v>
      </c>
      <c r="B18" s="8" t="s">
        <v>1022</v>
      </c>
      <c r="C18" s="8" t="s">
        <v>176</v>
      </c>
      <c r="D18" s="8" t="s">
        <v>4</v>
      </c>
      <c r="E18" s="8" t="s">
        <v>40</v>
      </c>
      <c r="F18" s="8" t="s">
        <v>140</v>
      </c>
      <c r="G18" s="8" t="s">
        <v>2</v>
      </c>
      <c r="H18" s="8" t="s">
        <v>102</v>
      </c>
      <c r="I18" s="8" t="s">
        <v>40</v>
      </c>
      <c r="J18" s="8" t="s">
        <v>40</v>
      </c>
      <c r="K18" s="19" t="s">
        <v>41</v>
      </c>
      <c r="L18" s="19" t="s">
        <v>62</v>
      </c>
      <c r="M18" s="8" t="s">
        <v>1152</v>
      </c>
      <c r="N18" s="8">
        <v>103</v>
      </c>
      <c r="O18" s="8">
        <v>72</v>
      </c>
      <c r="P18" s="8">
        <v>31</v>
      </c>
      <c r="Q18" s="8">
        <v>24</v>
      </c>
      <c r="R18" s="8">
        <v>20</v>
      </c>
      <c r="S18" s="8">
        <v>13</v>
      </c>
      <c r="T18" s="8">
        <v>7</v>
      </c>
      <c r="U18" s="8">
        <v>11</v>
      </c>
      <c r="V18" s="8">
        <v>8</v>
      </c>
      <c r="W18" s="8">
        <v>21</v>
      </c>
      <c r="X18" s="8">
        <v>13</v>
      </c>
      <c r="Y18" s="8">
        <v>30</v>
      </c>
      <c r="Z18" s="8">
        <v>20</v>
      </c>
      <c r="AA18" s="8">
        <v>4</v>
      </c>
      <c r="AB18" s="8">
        <v>4</v>
      </c>
      <c r="AC18" s="18">
        <f t="shared" si="0"/>
        <v>4</v>
      </c>
      <c r="AD18" s="18">
        <f t="shared" si="1"/>
        <v>6</v>
      </c>
      <c r="AE18" s="18">
        <f t="shared" si="2"/>
        <v>3</v>
      </c>
      <c r="AF18" s="18">
        <f t="shared" si="3"/>
        <v>8</v>
      </c>
      <c r="AG18" s="18">
        <f t="shared" si="4"/>
        <v>10</v>
      </c>
      <c r="AH18" s="18">
        <f t="shared" si="5"/>
        <v>0</v>
      </c>
    </row>
    <row r="19" spans="1:34" ht="14.4">
      <c r="A19" s="8" t="s">
        <v>891</v>
      </c>
      <c r="B19" s="8" t="s">
        <v>1023</v>
      </c>
      <c r="C19" s="8" t="s">
        <v>4</v>
      </c>
      <c r="D19" s="8" t="s">
        <v>2</v>
      </c>
      <c r="E19" s="8" t="s">
        <v>41</v>
      </c>
      <c r="F19" s="8" t="s">
        <v>2</v>
      </c>
      <c r="G19" s="8" t="s">
        <v>2</v>
      </c>
      <c r="H19" s="8" t="s">
        <v>116</v>
      </c>
      <c r="I19" s="8" t="s">
        <v>40</v>
      </c>
      <c r="J19" s="8" t="s">
        <v>40</v>
      </c>
      <c r="K19" s="19" t="s">
        <v>44</v>
      </c>
      <c r="L19" s="19" t="s">
        <v>62</v>
      </c>
      <c r="M19" s="8" t="s">
        <v>1153</v>
      </c>
      <c r="N19" s="8">
        <v>22</v>
      </c>
      <c r="O19" s="8">
        <v>12</v>
      </c>
      <c r="P19" s="8">
        <v>10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</v>
      </c>
      <c r="X19" s="8">
        <v>5</v>
      </c>
      <c r="Y19" s="8">
        <v>12</v>
      </c>
      <c r="Z19" s="8">
        <v>7</v>
      </c>
      <c r="AA19" s="8">
        <v>0</v>
      </c>
      <c r="AB19" s="8">
        <v>0</v>
      </c>
      <c r="AC19" s="18">
        <f t="shared" si="0"/>
        <v>0</v>
      </c>
      <c r="AD19" s="18">
        <f t="shared" si="1"/>
        <v>0</v>
      </c>
      <c r="AE19" s="18">
        <f t="shared" si="2"/>
        <v>0</v>
      </c>
      <c r="AF19" s="18">
        <f t="shared" si="3"/>
        <v>5</v>
      </c>
      <c r="AG19" s="18">
        <f t="shared" si="4"/>
        <v>5</v>
      </c>
      <c r="AH19" s="18">
        <f t="shared" si="5"/>
        <v>0</v>
      </c>
    </row>
    <row r="20" spans="1:34" ht="14.4">
      <c r="A20" s="8" t="s">
        <v>892</v>
      </c>
      <c r="B20" s="8" t="s">
        <v>1024</v>
      </c>
      <c r="C20" s="8" t="s">
        <v>5</v>
      </c>
      <c r="D20" s="8" t="s">
        <v>4</v>
      </c>
      <c r="E20" s="8" t="s">
        <v>41</v>
      </c>
      <c r="F20" s="8" t="s">
        <v>3</v>
      </c>
      <c r="G20" s="8" t="s">
        <v>6</v>
      </c>
      <c r="H20" s="8" t="s">
        <v>128</v>
      </c>
      <c r="I20" s="8" t="s">
        <v>40</v>
      </c>
      <c r="J20" s="8" t="s">
        <v>41</v>
      </c>
      <c r="K20" s="19" t="s">
        <v>44</v>
      </c>
      <c r="L20" s="19" t="s">
        <v>62</v>
      </c>
      <c r="M20" s="8" t="s">
        <v>1154</v>
      </c>
      <c r="N20" s="8">
        <v>219</v>
      </c>
      <c r="O20" s="8">
        <v>132</v>
      </c>
      <c r="P20" s="8">
        <v>87</v>
      </c>
      <c r="Q20" s="8">
        <v>75</v>
      </c>
      <c r="R20" s="8">
        <v>43</v>
      </c>
      <c r="S20" s="8">
        <v>71</v>
      </c>
      <c r="T20" s="8">
        <v>39</v>
      </c>
      <c r="U20" s="8">
        <v>22</v>
      </c>
      <c r="V20" s="8">
        <v>13</v>
      </c>
      <c r="W20" s="8">
        <v>30</v>
      </c>
      <c r="X20" s="8">
        <v>22</v>
      </c>
      <c r="Y20" s="8">
        <v>19</v>
      </c>
      <c r="Z20" s="8">
        <v>14</v>
      </c>
      <c r="AA20" s="8">
        <v>2</v>
      </c>
      <c r="AB20" s="8">
        <v>1</v>
      </c>
      <c r="AC20" s="18">
        <f t="shared" si="0"/>
        <v>32</v>
      </c>
      <c r="AD20" s="18">
        <f t="shared" si="1"/>
        <v>32</v>
      </c>
      <c r="AE20" s="18">
        <f t="shared" si="2"/>
        <v>9</v>
      </c>
      <c r="AF20" s="18">
        <f t="shared" si="3"/>
        <v>8</v>
      </c>
      <c r="AG20" s="18">
        <f t="shared" si="4"/>
        <v>5</v>
      </c>
      <c r="AH20" s="18">
        <f t="shared" si="5"/>
        <v>1</v>
      </c>
    </row>
    <row r="21" spans="1:34" ht="14.4">
      <c r="A21" s="8" t="s">
        <v>893</v>
      </c>
      <c r="B21" s="8" t="s">
        <v>1025</v>
      </c>
      <c r="C21" s="8" t="s">
        <v>4</v>
      </c>
      <c r="D21" s="8" t="s">
        <v>11</v>
      </c>
      <c r="E21" s="8" t="s">
        <v>41</v>
      </c>
      <c r="F21" s="8" t="s">
        <v>5</v>
      </c>
      <c r="G21" s="8" t="s">
        <v>2</v>
      </c>
      <c r="H21" s="8" t="s">
        <v>121</v>
      </c>
      <c r="I21" s="8" t="s">
        <v>40</v>
      </c>
      <c r="J21" s="8" t="s">
        <v>41</v>
      </c>
      <c r="K21" s="19" t="s">
        <v>41</v>
      </c>
      <c r="L21" s="19" t="s">
        <v>62</v>
      </c>
      <c r="M21" s="8" t="s">
        <v>1155</v>
      </c>
      <c r="N21" s="8">
        <v>163</v>
      </c>
      <c r="O21" s="8">
        <v>97</v>
      </c>
      <c r="P21" s="8">
        <v>66</v>
      </c>
      <c r="Q21" s="8">
        <v>41</v>
      </c>
      <c r="R21" s="8">
        <v>22</v>
      </c>
      <c r="S21" s="8">
        <v>38</v>
      </c>
      <c r="T21" s="8">
        <v>19</v>
      </c>
      <c r="U21" s="8">
        <v>12</v>
      </c>
      <c r="V21" s="8">
        <v>7</v>
      </c>
      <c r="W21" s="8">
        <v>37</v>
      </c>
      <c r="X21" s="8">
        <v>24</v>
      </c>
      <c r="Y21" s="8">
        <v>17</v>
      </c>
      <c r="Z21" s="8">
        <v>12</v>
      </c>
      <c r="AA21" s="8">
        <v>18</v>
      </c>
      <c r="AB21" s="8">
        <v>13</v>
      </c>
      <c r="AC21" s="18">
        <f t="shared" si="0"/>
        <v>19</v>
      </c>
      <c r="AD21" s="18">
        <f t="shared" si="1"/>
        <v>19</v>
      </c>
      <c r="AE21" s="18">
        <f t="shared" si="2"/>
        <v>5</v>
      </c>
      <c r="AF21" s="18">
        <f t="shared" si="3"/>
        <v>13</v>
      </c>
      <c r="AG21" s="18">
        <f t="shared" si="4"/>
        <v>5</v>
      </c>
      <c r="AH21" s="18">
        <f t="shared" si="5"/>
        <v>5</v>
      </c>
    </row>
    <row r="22" spans="1:34" ht="14.4">
      <c r="A22" s="8" t="s">
        <v>894</v>
      </c>
      <c r="B22" s="8" t="s">
        <v>1026</v>
      </c>
      <c r="C22" s="8" t="s">
        <v>4</v>
      </c>
      <c r="D22" s="8" t="s">
        <v>11</v>
      </c>
      <c r="E22" s="8" t="s">
        <v>41</v>
      </c>
      <c r="F22" s="8" t="s">
        <v>11</v>
      </c>
      <c r="G22" s="8" t="s">
        <v>2</v>
      </c>
      <c r="H22" s="8" t="s">
        <v>787</v>
      </c>
      <c r="I22" s="8" t="s">
        <v>40</v>
      </c>
      <c r="J22" s="8" t="s">
        <v>40</v>
      </c>
      <c r="K22" s="19" t="s">
        <v>41</v>
      </c>
      <c r="L22" s="19" t="s">
        <v>62</v>
      </c>
      <c r="M22" s="8" t="s">
        <v>1156</v>
      </c>
      <c r="N22" s="8">
        <v>337</v>
      </c>
      <c r="O22" s="8">
        <v>179</v>
      </c>
      <c r="P22" s="8">
        <v>158</v>
      </c>
      <c r="Q22" s="8">
        <v>90</v>
      </c>
      <c r="R22" s="8">
        <v>43</v>
      </c>
      <c r="S22" s="8">
        <v>72</v>
      </c>
      <c r="T22" s="8">
        <v>41</v>
      </c>
      <c r="U22" s="8">
        <v>48</v>
      </c>
      <c r="V22" s="8">
        <v>25</v>
      </c>
      <c r="W22" s="8">
        <v>71</v>
      </c>
      <c r="X22" s="8">
        <v>33</v>
      </c>
      <c r="Y22" s="8">
        <v>42</v>
      </c>
      <c r="Z22" s="8">
        <v>27</v>
      </c>
      <c r="AA22" s="8">
        <v>14</v>
      </c>
      <c r="AB22" s="8">
        <v>10</v>
      </c>
      <c r="AC22" s="18">
        <f t="shared" si="0"/>
        <v>47</v>
      </c>
      <c r="AD22" s="18">
        <f t="shared" si="1"/>
        <v>31</v>
      </c>
      <c r="AE22" s="18">
        <f t="shared" si="2"/>
        <v>23</v>
      </c>
      <c r="AF22" s="18">
        <f t="shared" si="3"/>
        <v>38</v>
      </c>
      <c r="AG22" s="18">
        <f t="shared" si="4"/>
        <v>15</v>
      </c>
      <c r="AH22" s="18">
        <f t="shared" si="5"/>
        <v>4</v>
      </c>
    </row>
    <row r="23" spans="1:34" ht="14.4">
      <c r="A23" s="8" t="s">
        <v>895</v>
      </c>
      <c r="B23" s="8" t="s">
        <v>1027</v>
      </c>
      <c r="C23" s="8" t="s">
        <v>50</v>
      </c>
      <c r="D23" s="8" t="s">
        <v>4</v>
      </c>
      <c r="E23" s="8" t="s">
        <v>41</v>
      </c>
      <c r="F23" s="8" t="s">
        <v>12</v>
      </c>
      <c r="G23" s="8" t="s">
        <v>2</v>
      </c>
      <c r="H23" s="8" t="s">
        <v>75</v>
      </c>
      <c r="I23" s="8" t="s">
        <v>40</v>
      </c>
      <c r="J23" s="8" t="s">
        <v>40</v>
      </c>
      <c r="K23" s="19" t="s">
        <v>44</v>
      </c>
      <c r="L23" s="19" t="s">
        <v>62</v>
      </c>
      <c r="M23" s="8" t="s">
        <v>1157</v>
      </c>
      <c r="N23" s="8">
        <v>99</v>
      </c>
      <c r="O23" s="8">
        <v>77</v>
      </c>
      <c r="P23" s="8">
        <v>22</v>
      </c>
      <c r="Q23" s="8">
        <v>2</v>
      </c>
      <c r="R23" s="8">
        <v>0</v>
      </c>
      <c r="S23" s="8">
        <v>3</v>
      </c>
      <c r="T23" s="8">
        <v>3</v>
      </c>
      <c r="U23" s="8">
        <v>0</v>
      </c>
      <c r="V23" s="8">
        <v>0</v>
      </c>
      <c r="W23" s="8">
        <v>52</v>
      </c>
      <c r="X23" s="8">
        <v>39</v>
      </c>
      <c r="Y23" s="8">
        <v>42</v>
      </c>
      <c r="Z23" s="8">
        <v>35</v>
      </c>
      <c r="AA23" s="8">
        <v>0</v>
      </c>
      <c r="AB23" s="8">
        <v>0</v>
      </c>
      <c r="AC23" s="18">
        <f t="shared" si="0"/>
        <v>2</v>
      </c>
      <c r="AD23" s="18">
        <f t="shared" si="1"/>
        <v>0</v>
      </c>
      <c r="AE23" s="18">
        <f t="shared" si="2"/>
        <v>0</v>
      </c>
      <c r="AF23" s="18">
        <f t="shared" si="3"/>
        <v>13</v>
      </c>
      <c r="AG23" s="18">
        <f t="shared" si="4"/>
        <v>7</v>
      </c>
      <c r="AH23" s="18">
        <f t="shared" si="5"/>
        <v>0</v>
      </c>
    </row>
    <row r="24" spans="1:34" ht="14.4">
      <c r="A24" s="8" t="s">
        <v>861</v>
      </c>
      <c r="B24" s="8" t="s">
        <v>820</v>
      </c>
      <c r="C24" s="8" t="s">
        <v>50</v>
      </c>
      <c r="D24" s="8" t="s">
        <v>3</v>
      </c>
      <c r="E24" s="8" t="s">
        <v>41</v>
      </c>
      <c r="F24" s="8" t="s">
        <v>12</v>
      </c>
      <c r="G24" s="8" t="s">
        <v>3</v>
      </c>
      <c r="H24" s="8" t="s">
        <v>129</v>
      </c>
      <c r="I24" s="8" t="s">
        <v>41</v>
      </c>
      <c r="J24" s="8" t="s">
        <v>40</v>
      </c>
      <c r="K24" s="19" t="s">
        <v>40</v>
      </c>
      <c r="L24" s="19" t="s">
        <v>62</v>
      </c>
      <c r="M24" s="8" t="s">
        <v>862</v>
      </c>
      <c r="N24" s="8">
        <v>35</v>
      </c>
      <c r="O24" s="8">
        <v>27</v>
      </c>
      <c r="P24" s="8">
        <v>8</v>
      </c>
      <c r="Q24" s="8">
        <v>12</v>
      </c>
      <c r="R24" s="8">
        <v>10</v>
      </c>
      <c r="S24" s="8">
        <v>6</v>
      </c>
      <c r="T24" s="8">
        <v>5</v>
      </c>
      <c r="U24" s="8">
        <v>7</v>
      </c>
      <c r="V24" s="8">
        <v>5</v>
      </c>
      <c r="W24" s="8">
        <v>4</v>
      </c>
      <c r="X24" s="8">
        <v>4</v>
      </c>
      <c r="Y24" s="8">
        <v>4</v>
      </c>
      <c r="Z24" s="8">
        <v>1</v>
      </c>
      <c r="AA24" s="8">
        <v>2</v>
      </c>
      <c r="AB24" s="8">
        <v>2</v>
      </c>
      <c r="AC24" s="18">
        <f t="shared" si="0"/>
        <v>2</v>
      </c>
      <c r="AD24" s="18">
        <f t="shared" si="1"/>
        <v>1</v>
      </c>
      <c r="AE24" s="18">
        <f t="shared" si="2"/>
        <v>2</v>
      </c>
      <c r="AF24" s="18">
        <f t="shared" si="3"/>
        <v>0</v>
      </c>
      <c r="AG24" s="18">
        <f t="shared" si="4"/>
        <v>3</v>
      </c>
      <c r="AH24" s="18">
        <f t="shared" si="5"/>
        <v>0</v>
      </c>
    </row>
    <row r="25" spans="1:34" ht="14.4">
      <c r="A25" s="8" t="s">
        <v>896</v>
      </c>
      <c r="B25" s="8" t="s">
        <v>1028</v>
      </c>
      <c r="C25" s="8" t="s">
        <v>50</v>
      </c>
      <c r="D25" s="8" t="s">
        <v>5</v>
      </c>
      <c r="E25" s="8" t="s">
        <v>41</v>
      </c>
      <c r="F25" s="8" t="s">
        <v>12</v>
      </c>
      <c r="G25" s="8" t="s">
        <v>5</v>
      </c>
      <c r="H25" s="8" t="s">
        <v>130</v>
      </c>
      <c r="I25" s="8" t="s">
        <v>40</v>
      </c>
      <c r="J25" s="8" t="s">
        <v>41</v>
      </c>
      <c r="K25" s="19" t="s">
        <v>44</v>
      </c>
      <c r="L25" s="19" t="s">
        <v>62</v>
      </c>
      <c r="M25" s="8" t="s">
        <v>1158</v>
      </c>
      <c r="N25" s="8">
        <v>318</v>
      </c>
      <c r="O25" s="8">
        <v>192</v>
      </c>
      <c r="P25" s="8">
        <v>126</v>
      </c>
      <c r="Q25" s="8">
        <v>91</v>
      </c>
      <c r="R25" s="8">
        <v>46</v>
      </c>
      <c r="S25" s="8">
        <v>95</v>
      </c>
      <c r="T25" s="8">
        <v>58</v>
      </c>
      <c r="U25" s="8">
        <v>34</v>
      </c>
      <c r="V25" s="8">
        <v>25</v>
      </c>
      <c r="W25" s="8">
        <v>79</v>
      </c>
      <c r="X25" s="8">
        <v>48</v>
      </c>
      <c r="Y25" s="8">
        <v>12</v>
      </c>
      <c r="Z25" s="8">
        <v>10</v>
      </c>
      <c r="AA25" s="8">
        <v>7</v>
      </c>
      <c r="AB25" s="8">
        <v>5</v>
      </c>
      <c r="AC25" s="18">
        <f t="shared" si="0"/>
        <v>45</v>
      </c>
      <c r="AD25" s="18">
        <f t="shared" si="1"/>
        <v>37</v>
      </c>
      <c r="AE25" s="18">
        <f t="shared" si="2"/>
        <v>9</v>
      </c>
      <c r="AF25" s="18">
        <f t="shared" si="3"/>
        <v>31</v>
      </c>
      <c r="AG25" s="18">
        <f t="shared" si="4"/>
        <v>2</v>
      </c>
      <c r="AH25" s="18">
        <f t="shared" si="5"/>
        <v>2</v>
      </c>
    </row>
    <row r="26" spans="1:34" ht="14.4">
      <c r="A26" s="8" t="s">
        <v>897</v>
      </c>
      <c r="B26" s="8" t="s">
        <v>1029</v>
      </c>
      <c r="C26" s="8" t="s">
        <v>50</v>
      </c>
      <c r="D26" s="8" t="s">
        <v>2</v>
      </c>
      <c r="E26" s="8" t="s">
        <v>41</v>
      </c>
      <c r="F26" s="8" t="s">
        <v>12</v>
      </c>
      <c r="G26" s="8" t="s">
        <v>6</v>
      </c>
      <c r="H26" s="8" t="s">
        <v>100</v>
      </c>
      <c r="I26" s="8" t="s">
        <v>40</v>
      </c>
      <c r="J26" s="8" t="s">
        <v>41</v>
      </c>
      <c r="K26" s="19" t="s">
        <v>40</v>
      </c>
      <c r="L26" s="19" t="s">
        <v>62</v>
      </c>
      <c r="M26" s="8" t="s">
        <v>1159</v>
      </c>
      <c r="N26" s="8">
        <v>271</v>
      </c>
      <c r="O26" s="8">
        <v>156</v>
      </c>
      <c r="P26" s="8">
        <v>115</v>
      </c>
      <c r="Q26" s="8">
        <v>66</v>
      </c>
      <c r="R26" s="8">
        <v>36</v>
      </c>
      <c r="S26" s="8">
        <v>74</v>
      </c>
      <c r="T26" s="8">
        <v>47</v>
      </c>
      <c r="U26" s="8">
        <v>20</v>
      </c>
      <c r="V26" s="8">
        <v>11</v>
      </c>
      <c r="W26" s="8">
        <v>50</v>
      </c>
      <c r="X26" s="8">
        <v>29</v>
      </c>
      <c r="Y26" s="8">
        <v>33</v>
      </c>
      <c r="Z26" s="8">
        <v>18</v>
      </c>
      <c r="AA26" s="8">
        <v>28</v>
      </c>
      <c r="AB26" s="8">
        <v>15</v>
      </c>
      <c r="AC26" s="18">
        <f t="shared" si="0"/>
        <v>30</v>
      </c>
      <c r="AD26" s="18">
        <f t="shared" si="1"/>
        <v>27</v>
      </c>
      <c r="AE26" s="18">
        <f t="shared" si="2"/>
        <v>9</v>
      </c>
      <c r="AF26" s="18">
        <f t="shared" si="3"/>
        <v>21</v>
      </c>
      <c r="AG26" s="18">
        <f t="shared" si="4"/>
        <v>15</v>
      </c>
      <c r="AH26" s="18">
        <f t="shared" si="5"/>
        <v>13</v>
      </c>
    </row>
    <row r="27" spans="1:34" ht="14.4">
      <c r="A27" s="8" t="s">
        <v>898</v>
      </c>
      <c r="B27" s="8" t="s">
        <v>1030</v>
      </c>
      <c r="C27" s="8" t="s">
        <v>50</v>
      </c>
      <c r="D27" s="8" t="s">
        <v>6</v>
      </c>
      <c r="E27" s="8" t="s">
        <v>41</v>
      </c>
      <c r="F27" s="8" t="s">
        <v>12</v>
      </c>
      <c r="G27" s="8" t="s">
        <v>7</v>
      </c>
      <c r="H27" s="8" t="s">
        <v>131</v>
      </c>
      <c r="I27" s="8" t="s">
        <v>40</v>
      </c>
      <c r="J27" s="8" t="s">
        <v>41</v>
      </c>
      <c r="K27" s="19" t="s">
        <v>44</v>
      </c>
      <c r="L27" s="19" t="s">
        <v>62</v>
      </c>
      <c r="M27" s="8" t="s">
        <v>1160</v>
      </c>
      <c r="N27" s="8">
        <v>342</v>
      </c>
      <c r="O27" s="8">
        <v>198</v>
      </c>
      <c r="P27" s="8">
        <v>144</v>
      </c>
      <c r="Q27" s="8">
        <v>127</v>
      </c>
      <c r="R27" s="8">
        <v>74</v>
      </c>
      <c r="S27" s="8">
        <v>62</v>
      </c>
      <c r="T27" s="8">
        <v>34</v>
      </c>
      <c r="U27" s="8">
        <v>51</v>
      </c>
      <c r="V27" s="8">
        <v>36</v>
      </c>
      <c r="W27" s="8">
        <v>59</v>
      </c>
      <c r="X27" s="8">
        <v>30</v>
      </c>
      <c r="Y27" s="8">
        <v>26</v>
      </c>
      <c r="Z27" s="8">
        <v>16</v>
      </c>
      <c r="AA27" s="8">
        <v>17</v>
      </c>
      <c r="AB27" s="8">
        <v>8</v>
      </c>
      <c r="AC27" s="18">
        <f t="shared" si="0"/>
        <v>53</v>
      </c>
      <c r="AD27" s="18">
        <f t="shared" si="1"/>
        <v>28</v>
      </c>
      <c r="AE27" s="18">
        <f t="shared" si="2"/>
        <v>15</v>
      </c>
      <c r="AF27" s="18">
        <f t="shared" si="3"/>
        <v>29</v>
      </c>
      <c r="AG27" s="18">
        <f t="shared" si="4"/>
        <v>10</v>
      </c>
      <c r="AH27" s="18">
        <f t="shared" si="5"/>
        <v>9</v>
      </c>
    </row>
    <row r="28" spans="1:34" ht="14.4">
      <c r="A28" s="8" t="s">
        <v>899</v>
      </c>
      <c r="B28" s="8" t="s">
        <v>1031</v>
      </c>
      <c r="C28" s="8" t="s">
        <v>50</v>
      </c>
      <c r="D28" s="8" t="s">
        <v>7</v>
      </c>
      <c r="E28" s="8" t="s">
        <v>41</v>
      </c>
      <c r="F28" s="8" t="s">
        <v>12</v>
      </c>
      <c r="G28" s="8" t="s">
        <v>8</v>
      </c>
      <c r="H28" s="8" t="s">
        <v>1264</v>
      </c>
      <c r="I28" s="8" t="s">
        <v>40</v>
      </c>
      <c r="J28" s="8" t="s">
        <v>40</v>
      </c>
      <c r="K28" s="19" t="s">
        <v>44</v>
      </c>
      <c r="L28" s="19" t="s">
        <v>62</v>
      </c>
      <c r="M28" s="8" t="s">
        <v>1161</v>
      </c>
      <c r="N28" s="8">
        <v>378</v>
      </c>
      <c r="O28" s="8">
        <v>210</v>
      </c>
      <c r="P28" s="8">
        <v>168</v>
      </c>
      <c r="Q28" s="8">
        <v>118</v>
      </c>
      <c r="R28" s="8">
        <v>71</v>
      </c>
      <c r="S28" s="8">
        <v>106</v>
      </c>
      <c r="T28" s="8">
        <v>56</v>
      </c>
      <c r="U28" s="8">
        <v>65</v>
      </c>
      <c r="V28" s="8">
        <v>37</v>
      </c>
      <c r="W28" s="8">
        <v>52</v>
      </c>
      <c r="X28" s="8">
        <v>29</v>
      </c>
      <c r="Y28" s="8">
        <v>26</v>
      </c>
      <c r="Z28" s="8">
        <v>10</v>
      </c>
      <c r="AA28" s="8">
        <v>11</v>
      </c>
      <c r="AB28" s="8">
        <v>7</v>
      </c>
      <c r="AC28" s="18">
        <f t="shared" si="0"/>
        <v>47</v>
      </c>
      <c r="AD28" s="18">
        <f t="shared" si="1"/>
        <v>50</v>
      </c>
      <c r="AE28" s="18">
        <f t="shared" si="2"/>
        <v>28</v>
      </c>
      <c r="AF28" s="18">
        <f t="shared" si="3"/>
        <v>23</v>
      </c>
      <c r="AG28" s="18">
        <f t="shared" si="4"/>
        <v>16</v>
      </c>
      <c r="AH28" s="18">
        <f t="shared" si="5"/>
        <v>4</v>
      </c>
    </row>
    <row r="29" spans="1:34" ht="14.4">
      <c r="A29" s="8" t="s">
        <v>900</v>
      </c>
      <c r="B29" s="8" t="s">
        <v>1032</v>
      </c>
      <c r="C29" s="8" t="s">
        <v>50</v>
      </c>
      <c r="D29" s="8" t="s">
        <v>10</v>
      </c>
      <c r="E29" s="8" t="s">
        <v>41</v>
      </c>
      <c r="F29" s="8" t="s">
        <v>12</v>
      </c>
      <c r="G29" s="8" t="s">
        <v>17</v>
      </c>
      <c r="H29" s="8" t="s">
        <v>106</v>
      </c>
      <c r="I29" s="8" t="s">
        <v>40</v>
      </c>
      <c r="J29" s="8" t="s">
        <v>41</v>
      </c>
      <c r="K29" s="19" t="s">
        <v>44</v>
      </c>
      <c r="L29" s="19" t="s">
        <v>62</v>
      </c>
      <c r="M29" s="8" t="s">
        <v>1162</v>
      </c>
      <c r="N29" s="8">
        <v>233</v>
      </c>
      <c r="O29" s="8">
        <v>141</v>
      </c>
      <c r="P29" s="8">
        <v>92</v>
      </c>
      <c r="Q29" s="8">
        <v>64</v>
      </c>
      <c r="R29" s="8">
        <v>30</v>
      </c>
      <c r="S29" s="8">
        <v>80</v>
      </c>
      <c r="T29" s="8">
        <v>46</v>
      </c>
      <c r="U29" s="8">
        <v>32</v>
      </c>
      <c r="V29" s="8">
        <v>24</v>
      </c>
      <c r="W29" s="8">
        <v>44</v>
      </c>
      <c r="X29" s="8">
        <v>32</v>
      </c>
      <c r="Y29" s="8">
        <v>13</v>
      </c>
      <c r="Z29" s="8">
        <v>9</v>
      </c>
      <c r="AA29" s="8">
        <v>0</v>
      </c>
      <c r="AB29" s="8">
        <v>0</v>
      </c>
      <c r="AC29" s="18">
        <f t="shared" si="0"/>
        <v>34</v>
      </c>
      <c r="AD29" s="18">
        <f t="shared" si="1"/>
        <v>34</v>
      </c>
      <c r="AE29" s="18">
        <f t="shared" si="2"/>
        <v>8</v>
      </c>
      <c r="AF29" s="18">
        <f t="shared" si="3"/>
        <v>12</v>
      </c>
      <c r="AG29" s="18">
        <f t="shared" si="4"/>
        <v>4</v>
      </c>
      <c r="AH29" s="18">
        <f t="shared" si="5"/>
        <v>0</v>
      </c>
    </row>
    <row r="30" spans="1:34" ht="14.4">
      <c r="A30" s="8" t="s">
        <v>901</v>
      </c>
      <c r="B30" s="8" t="s">
        <v>1033</v>
      </c>
      <c r="C30" s="8" t="s">
        <v>5</v>
      </c>
      <c r="D30" s="8" t="s">
        <v>5</v>
      </c>
      <c r="E30" s="8" t="s">
        <v>41</v>
      </c>
      <c r="F30" s="8" t="s">
        <v>16</v>
      </c>
      <c r="G30" s="8" t="s">
        <v>2</v>
      </c>
      <c r="H30" s="8" t="s">
        <v>1265</v>
      </c>
      <c r="I30" s="8" t="s">
        <v>40</v>
      </c>
      <c r="J30" s="8" t="s">
        <v>41</v>
      </c>
      <c r="K30" s="19" t="s">
        <v>44</v>
      </c>
      <c r="L30" s="19" t="s">
        <v>62</v>
      </c>
      <c r="M30" s="8" t="s">
        <v>1163</v>
      </c>
      <c r="N30" s="8">
        <v>358</v>
      </c>
      <c r="O30" s="8">
        <v>198</v>
      </c>
      <c r="P30" s="8">
        <v>160</v>
      </c>
      <c r="Q30" s="8">
        <v>71</v>
      </c>
      <c r="R30" s="8">
        <v>39</v>
      </c>
      <c r="S30" s="8">
        <v>82</v>
      </c>
      <c r="T30" s="8">
        <v>51</v>
      </c>
      <c r="U30" s="8">
        <v>50</v>
      </c>
      <c r="V30" s="8">
        <v>30</v>
      </c>
      <c r="W30" s="8">
        <v>90</v>
      </c>
      <c r="X30" s="8">
        <v>43</v>
      </c>
      <c r="Y30" s="8">
        <v>45</v>
      </c>
      <c r="Z30" s="8">
        <v>22</v>
      </c>
      <c r="AA30" s="8">
        <v>20</v>
      </c>
      <c r="AB30" s="8">
        <v>13</v>
      </c>
      <c r="AC30" s="18">
        <f t="shared" si="0"/>
        <v>32</v>
      </c>
      <c r="AD30" s="18">
        <f t="shared" si="1"/>
        <v>31</v>
      </c>
      <c r="AE30" s="18">
        <f t="shared" si="2"/>
        <v>20</v>
      </c>
      <c r="AF30" s="18">
        <f t="shared" si="3"/>
        <v>47</v>
      </c>
      <c r="AG30" s="18">
        <f t="shared" si="4"/>
        <v>23</v>
      </c>
      <c r="AH30" s="18">
        <f t="shared" si="5"/>
        <v>7</v>
      </c>
    </row>
    <row r="31" spans="1:34" ht="14.4">
      <c r="A31" s="8" t="s">
        <v>902</v>
      </c>
      <c r="B31" s="8" t="s">
        <v>1034</v>
      </c>
      <c r="C31" s="8" t="s">
        <v>104</v>
      </c>
      <c r="D31" s="8" t="s">
        <v>2</v>
      </c>
      <c r="E31" s="8" t="s">
        <v>41</v>
      </c>
      <c r="F31" s="8" t="s">
        <v>17</v>
      </c>
      <c r="G31" s="8" t="s">
        <v>2</v>
      </c>
      <c r="H31" s="8" t="s">
        <v>59</v>
      </c>
      <c r="I31" s="8" t="s">
        <v>40</v>
      </c>
      <c r="J31" s="8" t="s">
        <v>41</v>
      </c>
      <c r="K31" s="19" t="s">
        <v>44</v>
      </c>
      <c r="L31" s="19" t="s">
        <v>62</v>
      </c>
      <c r="M31" s="8" t="s">
        <v>1164</v>
      </c>
      <c r="N31" s="8">
        <v>524</v>
      </c>
      <c r="O31" s="8">
        <v>288</v>
      </c>
      <c r="P31" s="8">
        <v>236</v>
      </c>
      <c r="Q31" s="8">
        <v>99</v>
      </c>
      <c r="R31" s="8">
        <v>61</v>
      </c>
      <c r="S31" s="8">
        <v>114</v>
      </c>
      <c r="T31" s="8">
        <v>62</v>
      </c>
      <c r="U31" s="8">
        <v>83</v>
      </c>
      <c r="V31" s="8">
        <v>45</v>
      </c>
      <c r="W31" s="8">
        <v>147</v>
      </c>
      <c r="X31" s="8">
        <v>77</v>
      </c>
      <c r="Y31" s="8">
        <v>43</v>
      </c>
      <c r="Z31" s="8">
        <v>22</v>
      </c>
      <c r="AA31" s="8">
        <v>38</v>
      </c>
      <c r="AB31" s="8">
        <v>21</v>
      </c>
      <c r="AC31" s="18">
        <f t="shared" si="0"/>
        <v>38</v>
      </c>
      <c r="AD31" s="18">
        <f t="shared" si="1"/>
        <v>52</v>
      </c>
      <c r="AE31" s="18">
        <f t="shared" si="2"/>
        <v>38</v>
      </c>
      <c r="AF31" s="18">
        <f t="shared" si="3"/>
        <v>70</v>
      </c>
      <c r="AG31" s="18">
        <f t="shared" si="4"/>
        <v>21</v>
      </c>
      <c r="AH31" s="18">
        <f t="shared" si="5"/>
        <v>17</v>
      </c>
    </row>
    <row r="32" spans="1:34" ht="14.4">
      <c r="A32" s="8" t="s">
        <v>903</v>
      </c>
      <c r="B32" s="8" t="s">
        <v>1035</v>
      </c>
      <c r="C32" s="8" t="s">
        <v>50</v>
      </c>
      <c r="D32" s="8" t="s">
        <v>11</v>
      </c>
      <c r="E32" s="8" t="s">
        <v>41</v>
      </c>
      <c r="F32" s="8" t="s">
        <v>65</v>
      </c>
      <c r="G32" s="8" t="s">
        <v>2</v>
      </c>
      <c r="H32" s="8" t="s">
        <v>66</v>
      </c>
      <c r="I32" s="8" t="s">
        <v>40</v>
      </c>
      <c r="J32" s="8" t="s">
        <v>41</v>
      </c>
      <c r="K32" s="19" t="s">
        <v>44</v>
      </c>
      <c r="L32" s="19" t="s">
        <v>62</v>
      </c>
      <c r="M32" s="8" t="s">
        <v>1165</v>
      </c>
      <c r="N32" s="8">
        <v>272</v>
      </c>
      <c r="O32" s="8">
        <v>148</v>
      </c>
      <c r="P32" s="8">
        <v>124</v>
      </c>
      <c r="Q32" s="8">
        <v>50</v>
      </c>
      <c r="R32" s="8">
        <v>30</v>
      </c>
      <c r="S32" s="8">
        <v>52</v>
      </c>
      <c r="T32" s="8">
        <v>24</v>
      </c>
      <c r="U32" s="8">
        <v>33</v>
      </c>
      <c r="V32" s="8">
        <v>16</v>
      </c>
      <c r="W32" s="8">
        <v>69</v>
      </c>
      <c r="X32" s="8">
        <v>36</v>
      </c>
      <c r="Y32" s="8">
        <v>39</v>
      </c>
      <c r="Z32" s="8">
        <v>25</v>
      </c>
      <c r="AA32" s="8">
        <v>29</v>
      </c>
      <c r="AB32" s="8">
        <v>17</v>
      </c>
      <c r="AC32" s="18">
        <f t="shared" si="0"/>
        <v>20</v>
      </c>
      <c r="AD32" s="18">
        <f t="shared" si="1"/>
        <v>28</v>
      </c>
      <c r="AE32" s="18">
        <f t="shared" si="2"/>
        <v>17</v>
      </c>
      <c r="AF32" s="18">
        <f t="shared" si="3"/>
        <v>33</v>
      </c>
      <c r="AG32" s="18">
        <f t="shared" si="4"/>
        <v>14</v>
      </c>
      <c r="AH32" s="18">
        <f t="shared" si="5"/>
        <v>12</v>
      </c>
    </row>
    <row r="33" spans="1:34" ht="14.4">
      <c r="A33" s="8" t="s">
        <v>904</v>
      </c>
      <c r="B33" s="8" t="s">
        <v>1036</v>
      </c>
      <c r="C33" s="8" t="s">
        <v>104</v>
      </c>
      <c r="D33" s="8" t="s">
        <v>6</v>
      </c>
      <c r="E33" s="8" t="s">
        <v>41</v>
      </c>
      <c r="F33" s="8" t="s">
        <v>60</v>
      </c>
      <c r="G33" s="8" t="s">
        <v>2</v>
      </c>
      <c r="H33" s="8" t="s">
        <v>57</v>
      </c>
      <c r="I33" s="8" t="s">
        <v>40</v>
      </c>
      <c r="J33" s="8" t="s">
        <v>41</v>
      </c>
      <c r="K33" s="19" t="s">
        <v>40</v>
      </c>
      <c r="L33" s="19" t="s">
        <v>62</v>
      </c>
      <c r="M33" s="8" t="s">
        <v>1166</v>
      </c>
      <c r="N33" s="8">
        <v>114</v>
      </c>
      <c r="O33" s="8">
        <v>67</v>
      </c>
      <c r="P33" s="8">
        <v>47</v>
      </c>
      <c r="Q33" s="8">
        <v>14</v>
      </c>
      <c r="R33" s="8">
        <v>8</v>
      </c>
      <c r="S33" s="8">
        <v>42</v>
      </c>
      <c r="T33" s="8">
        <v>25</v>
      </c>
      <c r="U33" s="8">
        <v>4</v>
      </c>
      <c r="V33" s="8">
        <v>4</v>
      </c>
      <c r="W33" s="8">
        <v>34</v>
      </c>
      <c r="X33" s="8">
        <v>18</v>
      </c>
      <c r="Y33" s="8">
        <v>20</v>
      </c>
      <c r="Z33" s="8">
        <v>12</v>
      </c>
      <c r="AA33" s="8">
        <v>0</v>
      </c>
      <c r="AB33" s="8">
        <v>0</v>
      </c>
      <c r="AC33" s="18">
        <f t="shared" si="0"/>
        <v>6</v>
      </c>
      <c r="AD33" s="18">
        <f t="shared" si="1"/>
        <v>17</v>
      </c>
      <c r="AE33" s="18">
        <f t="shared" si="2"/>
        <v>0</v>
      </c>
      <c r="AF33" s="18">
        <f t="shared" si="3"/>
        <v>16</v>
      </c>
      <c r="AG33" s="18">
        <f t="shared" si="4"/>
        <v>8</v>
      </c>
      <c r="AH33" s="18">
        <f t="shared" si="5"/>
        <v>0</v>
      </c>
    </row>
    <row r="34" spans="1:34" ht="14.4">
      <c r="A34" s="8" t="s">
        <v>905</v>
      </c>
      <c r="B34" s="8" t="s">
        <v>1037</v>
      </c>
      <c r="C34" s="8" t="s">
        <v>6</v>
      </c>
      <c r="D34" s="8" t="s">
        <v>3</v>
      </c>
      <c r="E34" s="8" t="s">
        <v>44</v>
      </c>
      <c r="F34" s="8" t="s">
        <v>2</v>
      </c>
      <c r="G34" s="8" t="s">
        <v>5</v>
      </c>
      <c r="H34" s="8" t="s">
        <v>1266</v>
      </c>
      <c r="I34" s="8" t="s">
        <v>44</v>
      </c>
      <c r="J34" s="8" t="s">
        <v>40</v>
      </c>
      <c r="K34" s="19" t="s">
        <v>2316</v>
      </c>
      <c r="L34" s="19" t="s">
        <v>62</v>
      </c>
      <c r="M34" s="8" t="s">
        <v>1167</v>
      </c>
      <c r="N34" s="8">
        <v>200</v>
      </c>
      <c r="O34" s="8">
        <v>114</v>
      </c>
      <c r="P34" s="8">
        <v>86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122</v>
      </c>
      <c r="X34" s="8">
        <v>74</v>
      </c>
      <c r="Y34" s="8">
        <v>76</v>
      </c>
      <c r="Z34" s="8">
        <v>39</v>
      </c>
      <c r="AA34" s="8">
        <v>2</v>
      </c>
      <c r="AB34" s="8">
        <v>1</v>
      </c>
      <c r="AC34" s="18">
        <f t="shared" si="0"/>
        <v>0</v>
      </c>
      <c r="AD34" s="18">
        <f t="shared" si="1"/>
        <v>0</v>
      </c>
      <c r="AE34" s="18">
        <f t="shared" si="2"/>
        <v>0</v>
      </c>
      <c r="AF34" s="18">
        <f t="shared" si="3"/>
        <v>48</v>
      </c>
      <c r="AG34" s="18">
        <f t="shared" si="4"/>
        <v>37</v>
      </c>
      <c r="AH34" s="18">
        <f t="shared" si="5"/>
        <v>1</v>
      </c>
    </row>
    <row r="35" spans="1:34" ht="14.4">
      <c r="A35" s="8" t="s">
        <v>906</v>
      </c>
      <c r="B35" s="8" t="s">
        <v>1038</v>
      </c>
      <c r="C35" s="8" t="s">
        <v>140</v>
      </c>
      <c r="D35" s="8" t="s">
        <v>5</v>
      </c>
      <c r="E35" s="8" t="s">
        <v>44</v>
      </c>
      <c r="F35" s="8" t="s">
        <v>2</v>
      </c>
      <c r="G35" s="8" t="s">
        <v>8</v>
      </c>
      <c r="H35" s="8" t="s">
        <v>1267</v>
      </c>
      <c r="I35" s="8" t="s">
        <v>40</v>
      </c>
      <c r="J35" s="8" t="s">
        <v>41</v>
      </c>
      <c r="K35" s="19" t="s">
        <v>40</v>
      </c>
      <c r="L35" s="19" t="s">
        <v>62</v>
      </c>
      <c r="M35" s="8" t="s">
        <v>1168</v>
      </c>
      <c r="N35" s="8">
        <v>127</v>
      </c>
      <c r="O35" s="8">
        <v>93</v>
      </c>
      <c r="P35" s="8">
        <v>34</v>
      </c>
      <c r="Q35" s="8">
        <v>13</v>
      </c>
      <c r="R35" s="8">
        <v>9</v>
      </c>
      <c r="S35" s="8">
        <v>55</v>
      </c>
      <c r="T35" s="8">
        <v>31</v>
      </c>
      <c r="U35" s="8">
        <v>33</v>
      </c>
      <c r="V35" s="8">
        <v>29</v>
      </c>
      <c r="W35" s="8">
        <v>21</v>
      </c>
      <c r="X35" s="8">
        <v>20</v>
      </c>
      <c r="Y35" s="8">
        <v>3</v>
      </c>
      <c r="Z35" s="8">
        <v>3</v>
      </c>
      <c r="AA35" s="8">
        <v>2</v>
      </c>
      <c r="AB35" s="8">
        <v>1</v>
      </c>
      <c r="AC35" s="18">
        <f t="shared" ref="AC35:AC66" si="6">+Q35-R35</f>
        <v>4</v>
      </c>
      <c r="AD35" s="18">
        <f t="shared" ref="AD35:AD66" si="7">+S35-T35</f>
        <v>24</v>
      </c>
      <c r="AE35" s="18">
        <f t="shared" ref="AE35:AE66" si="8">+U35-V35</f>
        <v>4</v>
      </c>
      <c r="AF35" s="18">
        <f t="shared" ref="AF35:AF66" si="9">+W35-X35</f>
        <v>1</v>
      </c>
      <c r="AG35" s="18">
        <f t="shared" ref="AG35:AG66" si="10">+Y35-Z35</f>
        <v>0</v>
      </c>
      <c r="AH35" s="18">
        <f t="shared" ref="AH35:AH66" si="11">+AA35-AB35</f>
        <v>1</v>
      </c>
    </row>
    <row r="36" spans="1:34" ht="14.4">
      <c r="A36" s="8" t="s">
        <v>907</v>
      </c>
      <c r="B36" s="8" t="s">
        <v>1039</v>
      </c>
      <c r="C36" s="8" t="s">
        <v>6</v>
      </c>
      <c r="D36" s="8" t="s">
        <v>7</v>
      </c>
      <c r="E36" s="8" t="s">
        <v>44</v>
      </c>
      <c r="F36" s="8" t="s">
        <v>4</v>
      </c>
      <c r="G36" s="8" t="s">
        <v>3</v>
      </c>
      <c r="H36" s="8" t="s">
        <v>133</v>
      </c>
      <c r="I36" s="8" t="s">
        <v>40</v>
      </c>
      <c r="J36" s="8" t="s">
        <v>40</v>
      </c>
      <c r="K36" s="19" t="s">
        <v>44</v>
      </c>
      <c r="L36" s="19" t="s">
        <v>62</v>
      </c>
      <c r="M36" s="8" t="s">
        <v>1169</v>
      </c>
      <c r="N36" s="8">
        <v>382</v>
      </c>
      <c r="O36" s="8">
        <v>191</v>
      </c>
      <c r="P36" s="8">
        <v>191</v>
      </c>
      <c r="Q36" s="8">
        <v>74</v>
      </c>
      <c r="R36" s="8">
        <v>30</v>
      </c>
      <c r="S36" s="8">
        <v>86</v>
      </c>
      <c r="T36" s="8">
        <v>46</v>
      </c>
      <c r="U36" s="8">
        <v>17</v>
      </c>
      <c r="V36" s="8">
        <v>5</v>
      </c>
      <c r="W36" s="8">
        <v>125</v>
      </c>
      <c r="X36" s="8">
        <v>65</v>
      </c>
      <c r="Y36" s="8">
        <v>51</v>
      </c>
      <c r="Z36" s="8">
        <v>30</v>
      </c>
      <c r="AA36" s="8">
        <v>29</v>
      </c>
      <c r="AB36" s="8">
        <v>15</v>
      </c>
      <c r="AC36" s="18">
        <f t="shared" si="6"/>
        <v>44</v>
      </c>
      <c r="AD36" s="18">
        <f t="shared" si="7"/>
        <v>40</v>
      </c>
      <c r="AE36" s="18">
        <f t="shared" si="8"/>
        <v>12</v>
      </c>
      <c r="AF36" s="18">
        <f t="shared" si="9"/>
        <v>60</v>
      </c>
      <c r="AG36" s="18">
        <f t="shared" si="10"/>
        <v>21</v>
      </c>
      <c r="AH36" s="18">
        <f t="shared" si="11"/>
        <v>14</v>
      </c>
    </row>
    <row r="37" spans="1:34" ht="14.4">
      <c r="A37" s="8" t="s">
        <v>908</v>
      </c>
      <c r="B37" s="8" t="s">
        <v>1040</v>
      </c>
      <c r="C37" s="8" t="s">
        <v>7</v>
      </c>
      <c r="D37" s="8" t="s">
        <v>4</v>
      </c>
      <c r="E37" s="8" t="s">
        <v>44</v>
      </c>
      <c r="F37" s="8" t="s">
        <v>6</v>
      </c>
      <c r="G37" s="8" t="s">
        <v>3</v>
      </c>
      <c r="H37" s="8" t="s">
        <v>112</v>
      </c>
      <c r="I37" s="8" t="s">
        <v>40</v>
      </c>
      <c r="J37" s="8" t="s">
        <v>40</v>
      </c>
      <c r="K37" s="19" t="s">
        <v>44</v>
      </c>
      <c r="L37" s="19" t="s">
        <v>62</v>
      </c>
      <c r="M37" s="8" t="s">
        <v>1170</v>
      </c>
      <c r="N37" s="8">
        <v>232</v>
      </c>
      <c r="O37" s="8">
        <v>158</v>
      </c>
      <c r="P37" s="8">
        <v>74</v>
      </c>
      <c r="Q37" s="8">
        <v>40</v>
      </c>
      <c r="R37" s="8">
        <v>25</v>
      </c>
      <c r="S37" s="8">
        <v>50</v>
      </c>
      <c r="T37" s="8">
        <v>32</v>
      </c>
      <c r="U37" s="8">
        <v>36</v>
      </c>
      <c r="V37" s="8">
        <v>27</v>
      </c>
      <c r="W37" s="8">
        <v>56</v>
      </c>
      <c r="X37" s="8">
        <v>40</v>
      </c>
      <c r="Y37" s="8">
        <v>26</v>
      </c>
      <c r="Z37" s="8">
        <v>17</v>
      </c>
      <c r="AA37" s="8">
        <v>24</v>
      </c>
      <c r="AB37" s="8">
        <v>17</v>
      </c>
      <c r="AC37" s="18">
        <f t="shared" si="6"/>
        <v>15</v>
      </c>
      <c r="AD37" s="18">
        <f t="shared" si="7"/>
        <v>18</v>
      </c>
      <c r="AE37" s="18">
        <f t="shared" si="8"/>
        <v>9</v>
      </c>
      <c r="AF37" s="18">
        <f t="shared" si="9"/>
        <v>16</v>
      </c>
      <c r="AG37" s="18">
        <f t="shared" si="10"/>
        <v>9</v>
      </c>
      <c r="AH37" s="18">
        <f t="shared" si="11"/>
        <v>7</v>
      </c>
    </row>
    <row r="38" spans="1:34" ht="14.4">
      <c r="A38" s="8" t="s">
        <v>909</v>
      </c>
      <c r="B38" s="8" t="s">
        <v>1041</v>
      </c>
      <c r="C38" s="8" t="s">
        <v>6</v>
      </c>
      <c r="D38" s="8" t="s">
        <v>5</v>
      </c>
      <c r="E38" s="8" t="s">
        <v>44</v>
      </c>
      <c r="F38" s="8" t="s">
        <v>7</v>
      </c>
      <c r="G38" s="8" t="s">
        <v>2</v>
      </c>
      <c r="H38" s="8" t="s">
        <v>145</v>
      </c>
      <c r="I38" s="8" t="s">
        <v>40</v>
      </c>
      <c r="J38" s="8" t="s">
        <v>40</v>
      </c>
      <c r="K38" s="19" t="s">
        <v>44</v>
      </c>
      <c r="L38" s="19" t="s">
        <v>62</v>
      </c>
      <c r="M38" s="8" t="s">
        <v>1171</v>
      </c>
      <c r="N38" s="8">
        <v>432</v>
      </c>
      <c r="O38" s="8">
        <v>203</v>
      </c>
      <c r="P38" s="8">
        <v>229</v>
      </c>
      <c r="Q38" s="8">
        <v>130</v>
      </c>
      <c r="R38" s="8">
        <v>55</v>
      </c>
      <c r="S38" s="8">
        <v>84</v>
      </c>
      <c r="T38" s="8">
        <v>34</v>
      </c>
      <c r="U38" s="8">
        <v>45</v>
      </c>
      <c r="V38" s="8">
        <v>24</v>
      </c>
      <c r="W38" s="8">
        <v>114</v>
      </c>
      <c r="X38" s="8">
        <v>52</v>
      </c>
      <c r="Y38" s="8">
        <v>59</v>
      </c>
      <c r="Z38" s="8">
        <v>38</v>
      </c>
      <c r="AA38" s="8">
        <v>0</v>
      </c>
      <c r="AB38" s="8">
        <v>0</v>
      </c>
      <c r="AC38" s="18">
        <f t="shared" si="6"/>
        <v>75</v>
      </c>
      <c r="AD38" s="18">
        <f t="shared" si="7"/>
        <v>50</v>
      </c>
      <c r="AE38" s="18">
        <f t="shared" si="8"/>
        <v>21</v>
      </c>
      <c r="AF38" s="18">
        <f t="shared" si="9"/>
        <v>62</v>
      </c>
      <c r="AG38" s="18">
        <f t="shared" si="10"/>
        <v>21</v>
      </c>
      <c r="AH38" s="18">
        <f t="shared" si="11"/>
        <v>0</v>
      </c>
    </row>
    <row r="39" spans="1:34" ht="14.4">
      <c r="A39" s="8" t="s">
        <v>910</v>
      </c>
      <c r="B39" s="8" t="s">
        <v>1042</v>
      </c>
      <c r="C39" s="8" t="s">
        <v>8</v>
      </c>
      <c r="D39" s="8" t="s">
        <v>2</v>
      </c>
      <c r="E39" s="8" t="s">
        <v>62</v>
      </c>
      <c r="F39" s="8" t="s">
        <v>2</v>
      </c>
      <c r="G39" s="8" t="s">
        <v>2</v>
      </c>
      <c r="H39" s="8" t="s">
        <v>2317</v>
      </c>
      <c r="I39" s="8" t="s">
        <v>40</v>
      </c>
      <c r="J39" s="8" t="s">
        <v>40</v>
      </c>
      <c r="K39" s="19" t="s">
        <v>44</v>
      </c>
      <c r="L39" s="19" t="s">
        <v>62</v>
      </c>
      <c r="M39" s="8" t="s">
        <v>1172</v>
      </c>
      <c r="N39" s="8">
        <v>33</v>
      </c>
      <c r="O39" s="8">
        <v>20</v>
      </c>
      <c r="P39" s="8">
        <v>13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</v>
      </c>
      <c r="X39" s="8">
        <v>9</v>
      </c>
      <c r="Y39" s="8">
        <v>13</v>
      </c>
      <c r="Z39" s="8">
        <v>9</v>
      </c>
      <c r="AA39" s="8">
        <v>3</v>
      </c>
      <c r="AB39" s="8">
        <v>2</v>
      </c>
      <c r="AC39" s="18">
        <f t="shared" si="6"/>
        <v>0</v>
      </c>
      <c r="AD39" s="18">
        <f t="shared" si="7"/>
        <v>0</v>
      </c>
      <c r="AE39" s="18">
        <f t="shared" si="8"/>
        <v>0</v>
      </c>
      <c r="AF39" s="18">
        <f t="shared" si="9"/>
        <v>8</v>
      </c>
      <c r="AG39" s="18">
        <f t="shared" si="10"/>
        <v>4</v>
      </c>
      <c r="AH39" s="18">
        <f t="shared" si="11"/>
        <v>1</v>
      </c>
    </row>
    <row r="40" spans="1:34" ht="14.4">
      <c r="A40" s="8" t="s">
        <v>911</v>
      </c>
      <c r="B40" s="8" t="s">
        <v>1043</v>
      </c>
      <c r="C40" s="8" t="s">
        <v>8</v>
      </c>
      <c r="D40" s="8" t="s">
        <v>8</v>
      </c>
      <c r="E40" s="8" t="s">
        <v>62</v>
      </c>
      <c r="F40" s="8" t="s">
        <v>2</v>
      </c>
      <c r="G40" s="8" t="s">
        <v>5</v>
      </c>
      <c r="H40" s="8" t="s">
        <v>148</v>
      </c>
      <c r="I40" s="8" t="s">
        <v>40</v>
      </c>
      <c r="J40" s="8" t="s">
        <v>40</v>
      </c>
      <c r="K40" s="19" t="s">
        <v>44</v>
      </c>
      <c r="L40" s="19" t="s">
        <v>62</v>
      </c>
      <c r="M40" s="8" t="s">
        <v>1173</v>
      </c>
      <c r="N40" s="8">
        <v>55</v>
      </c>
      <c r="O40" s="8">
        <v>32</v>
      </c>
      <c r="P40" s="8">
        <v>23</v>
      </c>
      <c r="Q40" s="8">
        <v>3</v>
      </c>
      <c r="R40" s="8">
        <v>1</v>
      </c>
      <c r="S40" s="8">
        <v>29</v>
      </c>
      <c r="T40" s="8">
        <v>15</v>
      </c>
      <c r="U40" s="8">
        <v>2</v>
      </c>
      <c r="V40" s="8">
        <v>2</v>
      </c>
      <c r="W40" s="8">
        <v>5</v>
      </c>
      <c r="X40" s="8">
        <v>4</v>
      </c>
      <c r="Y40" s="8">
        <v>10</v>
      </c>
      <c r="Z40" s="8">
        <v>4</v>
      </c>
      <c r="AA40" s="8">
        <v>6</v>
      </c>
      <c r="AB40" s="8">
        <v>6</v>
      </c>
      <c r="AC40" s="18">
        <f t="shared" si="6"/>
        <v>2</v>
      </c>
      <c r="AD40" s="18">
        <f t="shared" si="7"/>
        <v>14</v>
      </c>
      <c r="AE40" s="18">
        <f t="shared" si="8"/>
        <v>0</v>
      </c>
      <c r="AF40" s="18">
        <f t="shared" si="9"/>
        <v>1</v>
      </c>
      <c r="AG40" s="18">
        <f t="shared" si="10"/>
        <v>6</v>
      </c>
      <c r="AH40" s="18">
        <f t="shared" si="11"/>
        <v>0</v>
      </c>
    </row>
    <row r="41" spans="1:34" ht="14.4">
      <c r="A41" s="8" t="s">
        <v>912</v>
      </c>
      <c r="B41" s="8" t="s">
        <v>1044</v>
      </c>
      <c r="C41" s="8" t="s">
        <v>174</v>
      </c>
      <c r="D41" s="8" t="s">
        <v>4</v>
      </c>
      <c r="E41" s="8" t="s">
        <v>62</v>
      </c>
      <c r="F41" s="8" t="s">
        <v>12</v>
      </c>
      <c r="G41" s="8" t="s">
        <v>2</v>
      </c>
      <c r="H41" s="8" t="s">
        <v>139</v>
      </c>
      <c r="I41" s="8" t="s">
        <v>40</v>
      </c>
      <c r="J41" s="8" t="s">
        <v>41</v>
      </c>
      <c r="K41" s="19" t="s">
        <v>44</v>
      </c>
      <c r="L41" s="19" t="s">
        <v>62</v>
      </c>
      <c r="M41" s="8" t="s">
        <v>1174</v>
      </c>
      <c r="N41" s="8">
        <v>467</v>
      </c>
      <c r="O41" s="8">
        <v>260</v>
      </c>
      <c r="P41" s="8">
        <v>207</v>
      </c>
      <c r="Q41" s="8">
        <v>215</v>
      </c>
      <c r="R41" s="8">
        <v>113</v>
      </c>
      <c r="S41" s="8">
        <v>113</v>
      </c>
      <c r="T41" s="8">
        <v>57</v>
      </c>
      <c r="U41" s="8">
        <v>53</v>
      </c>
      <c r="V41" s="8">
        <v>32</v>
      </c>
      <c r="W41" s="8">
        <v>42</v>
      </c>
      <c r="X41" s="8">
        <v>29</v>
      </c>
      <c r="Y41" s="8">
        <v>36</v>
      </c>
      <c r="Z41" s="8">
        <v>23</v>
      </c>
      <c r="AA41" s="8">
        <v>8</v>
      </c>
      <c r="AB41" s="8">
        <v>6</v>
      </c>
      <c r="AC41" s="18">
        <f t="shared" si="6"/>
        <v>102</v>
      </c>
      <c r="AD41" s="18">
        <f t="shared" si="7"/>
        <v>56</v>
      </c>
      <c r="AE41" s="18">
        <f t="shared" si="8"/>
        <v>21</v>
      </c>
      <c r="AF41" s="18">
        <f t="shared" si="9"/>
        <v>13</v>
      </c>
      <c r="AG41" s="18">
        <f t="shared" si="10"/>
        <v>13</v>
      </c>
      <c r="AH41" s="18">
        <f t="shared" si="11"/>
        <v>2</v>
      </c>
    </row>
    <row r="42" spans="1:34" ht="14.4">
      <c r="A42" s="8" t="s">
        <v>913</v>
      </c>
      <c r="B42" s="8" t="s">
        <v>1045</v>
      </c>
      <c r="C42" s="8" t="s">
        <v>10</v>
      </c>
      <c r="D42" s="8" t="s">
        <v>3</v>
      </c>
      <c r="E42" s="8" t="s">
        <v>68</v>
      </c>
      <c r="F42" s="8" t="s">
        <v>2</v>
      </c>
      <c r="G42" s="8" t="s">
        <v>2</v>
      </c>
      <c r="H42" s="8" t="s">
        <v>2318</v>
      </c>
      <c r="I42" s="8" t="s">
        <v>40</v>
      </c>
      <c r="J42" s="8" t="s">
        <v>40</v>
      </c>
      <c r="K42" s="19" t="s">
        <v>44</v>
      </c>
      <c r="L42" s="19" t="s">
        <v>62</v>
      </c>
      <c r="M42" s="8" t="s">
        <v>1175</v>
      </c>
      <c r="N42" s="8">
        <v>518</v>
      </c>
      <c r="O42" s="8">
        <v>296</v>
      </c>
      <c r="P42" s="8">
        <v>222</v>
      </c>
      <c r="Q42" s="8">
        <v>150</v>
      </c>
      <c r="R42" s="8">
        <v>78</v>
      </c>
      <c r="S42" s="8">
        <v>142</v>
      </c>
      <c r="T42" s="8">
        <v>79</v>
      </c>
      <c r="U42" s="8">
        <v>98</v>
      </c>
      <c r="V42" s="8">
        <v>59</v>
      </c>
      <c r="W42" s="8">
        <v>62</v>
      </c>
      <c r="X42" s="8">
        <v>41</v>
      </c>
      <c r="Y42" s="8">
        <v>37</v>
      </c>
      <c r="Z42" s="8">
        <v>21</v>
      </c>
      <c r="AA42" s="8">
        <v>29</v>
      </c>
      <c r="AB42" s="8">
        <v>18</v>
      </c>
      <c r="AC42" s="18">
        <f t="shared" si="6"/>
        <v>72</v>
      </c>
      <c r="AD42" s="18">
        <f t="shared" si="7"/>
        <v>63</v>
      </c>
      <c r="AE42" s="18">
        <f t="shared" si="8"/>
        <v>39</v>
      </c>
      <c r="AF42" s="18">
        <f t="shared" si="9"/>
        <v>21</v>
      </c>
      <c r="AG42" s="18">
        <f t="shared" si="10"/>
        <v>16</v>
      </c>
      <c r="AH42" s="18">
        <f t="shared" si="11"/>
        <v>11</v>
      </c>
    </row>
    <row r="43" spans="1:34" ht="14.4">
      <c r="A43" s="8" t="s">
        <v>914</v>
      </c>
      <c r="B43" s="8" t="s">
        <v>1046</v>
      </c>
      <c r="C43" s="8" t="s">
        <v>11</v>
      </c>
      <c r="D43" s="8" t="s">
        <v>2</v>
      </c>
      <c r="E43" s="8" t="s">
        <v>68</v>
      </c>
      <c r="F43" s="8" t="s">
        <v>3</v>
      </c>
      <c r="G43" s="8" t="s">
        <v>2</v>
      </c>
      <c r="H43" s="8" t="s">
        <v>1268</v>
      </c>
      <c r="I43" s="8" t="s">
        <v>40</v>
      </c>
      <c r="J43" s="8" t="s">
        <v>40</v>
      </c>
      <c r="K43" s="19" t="s">
        <v>41</v>
      </c>
      <c r="L43" s="19" t="s">
        <v>62</v>
      </c>
      <c r="M43" s="8" t="s">
        <v>1176</v>
      </c>
      <c r="N43" s="8">
        <v>158</v>
      </c>
      <c r="O43" s="8">
        <v>97</v>
      </c>
      <c r="P43" s="8">
        <v>61</v>
      </c>
      <c r="Q43" s="8">
        <v>23</v>
      </c>
      <c r="R43" s="8">
        <v>13</v>
      </c>
      <c r="S43" s="8">
        <v>65</v>
      </c>
      <c r="T43" s="8">
        <v>38</v>
      </c>
      <c r="U43" s="8">
        <v>16</v>
      </c>
      <c r="V43" s="8">
        <v>12</v>
      </c>
      <c r="W43" s="8">
        <v>21</v>
      </c>
      <c r="X43" s="8">
        <v>17</v>
      </c>
      <c r="Y43" s="8">
        <v>19</v>
      </c>
      <c r="Z43" s="8">
        <v>11</v>
      </c>
      <c r="AA43" s="8">
        <v>14</v>
      </c>
      <c r="AB43" s="8">
        <v>6</v>
      </c>
      <c r="AC43" s="18">
        <f t="shared" si="6"/>
        <v>10</v>
      </c>
      <c r="AD43" s="18">
        <f t="shared" si="7"/>
        <v>27</v>
      </c>
      <c r="AE43" s="18">
        <f t="shared" si="8"/>
        <v>4</v>
      </c>
      <c r="AF43" s="18">
        <f t="shared" si="9"/>
        <v>4</v>
      </c>
      <c r="AG43" s="18">
        <f t="shared" si="10"/>
        <v>8</v>
      </c>
      <c r="AH43" s="18">
        <f t="shared" si="11"/>
        <v>8</v>
      </c>
    </row>
    <row r="44" spans="1:34" ht="14.4">
      <c r="A44" s="8" t="s">
        <v>915</v>
      </c>
      <c r="B44" s="8" t="s">
        <v>1047</v>
      </c>
      <c r="C44" s="8" t="s">
        <v>11</v>
      </c>
      <c r="D44" s="8" t="s">
        <v>4</v>
      </c>
      <c r="E44" s="8" t="s">
        <v>68</v>
      </c>
      <c r="F44" s="8" t="s">
        <v>3</v>
      </c>
      <c r="G44" s="8" t="s">
        <v>3</v>
      </c>
      <c r="H44" s="8" t="s">
        <v>1269</v>
      </c>
      <c r="I44" s="8" t="s">
        <v>40</v>
      </c>
      <c r="J44" s="8" t="s">
        <v>41</v>
      </c>
      <c r="K44" s="19" t="s">
        <v>41</v>
      </c>
      <c r="L44" s="19" t="s">
        <v>62</v>
      </c>
      <c r="M44" s="8" t="s">
        <v>1177</v>
      </c>
      <c r="N44" s="8">
        <v>151</v>
      </c>
      <c r="O44" s="8">
        <v>99</v>
      </c>
      <c r="P44" s="8">
        <v>52</v>
      </c>
      <c r="Q44" s="8">
        <v>28</v>
      </c>
      <c r="R44" s="8">
        <v>16</v>
      </c>
      <c r="S44" s="8">
        <v>28</v>
      </c>
      <c r="T44" s="8">
        <v>14</v>
      </c>
      <c r="U44" s="8">
        <v>29</v>
      </c>
      <c r="V44" s="8">
        <v>23</v>
      </c>
      <c r="W44" s="8">
        <v>34</v>
      </c>
      <c r="X44" s="8">
        <v>24</v>
      </c>
      <c r="Y44" s="8">
        <v>26</v>
      </c>
      <c r="Z44" s="8">
        <v>17</v>
      </c>
      <c r="AA44" s="8">
        <v>6</v>
      </c>
      <c r="AB44" s="8">
        <v>5</v>
      </c>
      <c r="AC44" s="18">
        <f t="shared" si="6"/>
        <v>12</v>
      </c>
      <c r="AD44" s="18">
        <f t="shared" si="7"/>
        <v>14</v>
      </c>
      <c r="AE44" s="18">
        <f t="shared" si="8"/>
        <v>6</v>
      </c>
      <c r="AF44" s="18">
        <f t="shared" si="9"/>
        <v>10</v>
      </c>
      <c r="AG44" s="18">
        <f t="shared" si="10"/>
        <v>9</v>
      </c>
      <c r="AH44" s="18">
        <f t="shared" si="11"/>
        <v>1</v>
      </c>
    </row>
    <row r="45" spans="1:34" ht="14.4">
      <c r="A45" s="8" t="s">
        <v>916</v>
      </c>
      <c r="B45" s="8" t="s">
        <v>1048</v>
      </c>
      <c r="C45" s="8" t="s">
        <v>11</v>
      </c>
      <c r="D45" s="8" t="s">
        <v>5</v>
      </c>
      <c r="E45" s="8" t="s">
        <v>68</v>
      </c>
      <c r="F45" s="8" t="s">
        <v>3</v>
      </c>
      <c r="G45" s="8" t="s">
        <v>4</v>
      </c>
      <c r="H45" s="8" t="s">
        <v>79</v>
      </c>
      <c r="I45" s="8" t="s">
        <v>40</v>
      </c>
      <c r="J45" s="8" t="s">
        <v>41</v>
      </c>
      <c r="K45" s="19" t="s">
        <v>40</v>
      </c>
      <c r="L45" s="19" t="s">
        <v>62</v>
      </c>
      <c r="M45" s="8" t="s">
        <v>1178</v>
      </c>
      <c r="N45" s="8">
        <v>112</v>
      </c>
      <c r="O45" s="8">
        <v>84</v>
      </c>
      <c r="P45" s="8">
        <v>28</v>
      </c>
      <c r="Q45" s="8">
        <v>7</v>
      </c>
      <c r="R45" s="8">
        <v>5</v>
      </c>
      <c r="S45" s="8">
        <v>14</v>
      </c>
      <c r="T45" s="8">
        <v>12</v>
      </c>
      <c r="U45" s="8">
        <v>36</v>
      </c>
      <c r="V45" s="8">
        <v>23</v>
      </c>
      <c r="W45" s="8">
        <v>27</v>
      </c>
      <c r="X45" s="8">
        <v>22</v>
      </c>
      <c r="Y45" s="8">
        <v>20</v>
      </c>
      <c r="Z45" s="8">
        <v>14</v>
      </c>
      <c r="AA45" s="8">
        <v>8</v>
      </c>
      <c r="AB45" s="8">
        <v>8</v>
      </c>
      <c r="AC45" s="18">
        <f t="shared" si="6"/>
        <v>2</v>
      </c>
      <c r="AD45" s="18">
        <f t="shared" si="7"/>
        <v>2</v>
      </c>
      <c r="AE45" s="18">
        <f t="shared" si="8"/>
        <v>13</v>
      </c>
      <c r="AF45" s="18">
        <f t="shared" si="9"/>
        <v>5</v>
      </c>
      <c r="AG45" s="18">
        <f t="shared" si="10"/>
        <v>6</v>
      </c>
      <c r="AH45" s="18">
        <f t="shared" si="11"/>
        <v>0</v>
      </c>
    </row>
    <row r="46" spans="1:34" ht="14.4">
      <c r="A46" s="8" t="s">
        <v>917</v>
      </c>
      <c r="B46" s="8" t="s">
        <v>1049</v>
      </c>
      <c r="C46" s="8" t="s">
        <v>12</v>
      </c>
      <c r="D46" s="8" t="s">
        <v>8</v>
      </c>
      <c r="E46" s="8" t="s">
        <v>68</v>
      </c>
      <c r="F46" s="8" t="s">
        <v>4</v>
      </c>
      <c r="G46" s="8" t="s">
        <v>2</v>
      </c>
      <c r="H46" s="8" t="s">
        <v>1270</v>
      </c>
      <c r="I46" s="8" t="s">
        <v>40</v>
      </c>
      <c r="J46" s="8" t="s">
        <v>40</v>
      </c>
      <c r="K46" s="19" t="s">
        <v>41</v>
      </c>
      <c r="L46" s="19" t="s">
        <v>62</v>
      </c>
      <c r="M46" s="8" t="s">
        <v>1179</v>
      </c>
      <c r="N46" s="8">
        <v>76</v>
      </c>
      <c r="O46" s="8">
        <v>38</v>
      </c>
      <c r="P46" s="8">
        <v>38</v>
      </c>
      <c r="Q46" s="8">
        <v>22</v>
      </c>
      <c r="R46" s="8">
        <v>10</v>
      </c>
      <c r="S46" s="8">
        <v>15</v>
      </c>
      <c r="T46" s="8">
        <v>5</v>
      </c>
      <c r="U46" s="8">
        <v>2</v>
      </c>
      <c r="V46" s="8">
        <v>2</v>
      </c>
      <c r="W46" s="8">
        <v>24</v>
      </c>
      <c r="X46" s="8">
        <v>14</v>
      </c>
      <c r="Y46" s="8">
        <v>13</v>
      </c>
      <c r="Z46" s="8">
        <v>7</v>
      </c>
      <c r="AA46" s="8">
        <v>0</v>
      </c>
      <c r="AB46" s="8">
        <v>0</v>
      </c>
      <c r="AC46" s="18">
        <f t="shared" si="6"/>
        <v>12</v>
      </c>
      <c r="AD46" s="18">
        <f t="shared" si="7"/>
        <v>10</v>
      </c>
      <c r="AE46" s="18">
        <f t="shared" si="8"/>
        <v>0</v>
      </c>
      <c r="AF46" s="18">
        <f t="shared" si="9"/>
        <v>10</v>
      </c>
      <c r="AG46" s="18">
        <f t="shared" si="10"/>
        <v>6</v>
      </c>
      <c r="AH46" s="18">
        <f t="shared" si="11"/>
        <v>0</v>
      </c>
    </row>
    <row r="47" spans="1:34" ht="14.4">
      <c r="A47" s="8" t="s">
        <v>918</v>
      </c>
      <c r="B47" s="8" t="s">
        <v>1050</v>
      </c>
      <c r="C47" s="8" t="s">
        <v>12</v>
      </c>
      <c r="D47" s="8" t="s">
        <v>3</v>
      </c>
      <c r="E47" s="8" t="s">
        <v>68</v>
      </c>
      <c r="F47" s="8" t="s">
        <v>4</v>
      </c>
      <c r="G47" s="8" t="s">
        <v>4</v>
      </c>
      <c r="H47" s="8" t="s">
        <v>1271</v>
      </c>
      <c r="I47" s="8" t="s">
        <v>40</v>
      </c>
      <c r="J47" s="8" t="s">
        <v>41</v>
      </c>
      <c r="K47" s="19" t="s">
        <v>41</v>
      </c>
      <c r="L47" s="19" t="s">
        <v>62</v>
      </c>
      <c r="M47" s="8" t="s">
        <v>1180</v>
      </c>
      <c r="N47" s="8">
        <v>190</v>
      </c>
      <c r="O47" s="8">
        <v>115</v>
      </c>
      <c r="P47" s="8">
        <v>75</v>
      </c>
      <c r="Q47" s="8">
        <v>29</v>
      </c>
      <c r="R47" s="8">
        <v>19</v>
      </c>
      <c r="S47" s="8">
        <v>43</v>
      </c>
      <c r="T47" s="8">
        <v>21</v>
      </c>
      <c r="U47" s="8">
        <v>27</v>
      </c>
      <c r="V47" s="8">
        <v>15</v>
      </c>
      <c r="W47" s="8">
        <v>20</v>
      </c>
      <c r="X47" s="8">
        <v>15</v>
      </c>
      <c r="Y47" s="8">
        <v>53</v>
      </c>
      <c r="Z47" s="8">
        <v>33</v>
      </c>
      <c r="AA47" s="8">
        <v>18</v>
      </c>
      <c r="AB47" s="8">
        <v>12</v>
      </c>
      <c r="AC47" s="18">
        <f t="shared" si="6"/>
        <v>10</v>
      </c>
      <c r="AD47" s="18">
        <f t="shared" si="7"/>
        <v>22</v>
      </c>
      <c r="AE47" s="18">
        <f t="shared" si="8"/>
        <v>12</v>
      </c>
      <c r="AF47" s="18">
        <f t="shared" si="9"/>
        <v>5</v>
      </c>
      <c r="AG47" s="18">
        <f t="shared" si="10"/>
        <v>20</v>
      </c>
      <c r="AH47" s="18">
        <f t="shared" si="11"/>
        <v>6</v>
      </c>
    </row>
    <row r="48" spans="1:34" ht="14.4">
      <c r="A48" s="8" t="s">
        <v>919</v>
      </c>
      <c r="B48" s="8" t="s">
        <v>1051</v>
      </c>
      <c r="C48" s="8" t="s">
        <v>12</v>
      </c>
      <c r="D48" s="8" t="s">
        <v>4</v>
      </c>
      <c r="E48" s="8" t="s">
        <v>68</v>
      </c>
      <c r="F48" s="8" t="s">
        <v>4</v>
      </c>
      <c r="G48" s="8" t="s">
        <v>6</v>
      </c>
      <c r="H48" s="8" t="s">
        <v>151</v>
      </c>
      <c r="I48" s="8" t="s">
        <v>40</v>
      </c>
      <c r="J48" s="8" t="s">
        <v>40</v>
      </c>
      <c r="K48" s="19" t="s">
        <v>44</v>
      </c>
      <c r="L48" s="19" t="s">
        <v>62</v>
      </c>
      <c r="M48" s="8" t="s">
        <v>1181</v>
      </c>
      <c r="N48" s="8">
        <v>284</v>
      </c>
      <c r="O48" s="8">
        <v>169</v>
      </c>
      <c r="P48" s="8">
        <v>115</v>
      </c>
      <c r="Q48" s="8">
        <v>65</v>
      </c>
      <c r="R48" s="8">
        <v>40</v>
      </c>
      <c r="S48" s="8">
        <v>88</v>
      </c>
      <c r="T48" s="8">
        <v>51</v>
      </c>
      <c r="U48" s="8">
        <v>50</v>
      </c>
      <c r="V48" s="8">
        <v>32</v>
      </c>
      <c r="W48" s="8">
        <v>39</v>
      </c>
      <c r="X48" s="8">
        <v>22</v>
      </c>
      <c r="Y48" s="8">
        <v>38</v>
      </c>
      <c r="Z48" s="8">
        <v>23</v>
      </c>
      <c r="AA48" s="8">
        <v>4</v>
      </c>
      <c r="AB48" s="8">
        <v>1</v>
      </c>
      <c r="AC48" s="18">
        <f t="shared" si="6"/>
        <v>25</v>
      </c>
      <c r="AD48" s="18">
        <f t="shared" si="7"/>
        <v>37</v>
      </c>
      <c r="AE48" s="18">
        <f t="shared" si="8"/>
        <v>18</v>
      </c>
      <c r="AF48" s="18">
        <f t="shared" si="9"/>
        <v>17</v>
      </c>
      <c r="AG48" s="18">
        <f t="shared" si="10"/>
        <v>15</v>
      </c>
      <c r="AH48" s="18">
        <f t="shared" si="11"/>
        <v>3</v>
      </c>
    </row>
    <row r="49" spans="1:34" ht="14.4">
      <c r="A49" s="8" t="s">
        <v>920</v>
      </c>
      <c r="B49" s="8" t="s">
        <v>1052</v>
      </c>
      <c r="C49" s="8" t="s">
        <v>12</v>
      </c>
      <c r="D49" s="8" t="s">
        <v>8</v>
      </c>
      <c r="E49" s="8" t="s">
        <v>68</v>
      </c>
      <c r="F49" s="8" t="s">
        <v>4</v>
      </c>
      <c r="G49" s="8" t="s">
        <v>8</v>
      </c>
      <c r="H49" s="8" t="s">
        <v>2319</v>
      </c>
      <c r="I49" s="8" t="s">
        <v>40</v>
      </c>
      <c r="J49" s="8" t="s">
        <v>40</v>
      </c>
      <c r="K49" s="19" t="s">
        <v>40</v>
      </c>
      <c r="L49" s="19" t="s">
        <v>62</v>
      </c>
      <c r="M49" s="8" t="s">
        <v>1182</v>
      </c>
      <c r="N49" s="8">
        <v>91</v>
      </c>
      <c r="O49" s="8">
        <v>56</v>
      </c>
      <c r="P49" s="8">
        <v>35</v>
      </c>
      <c r="Q49" s="8">
        <v>20</v>
      </c>
      <c r="R49" s="8">
        <v>16</v>
      </c>
      <c r="S49" s="8">
        <v>26</v>
      </c>
      <c r="T49" s="8">
        <v>10</v>
      </c>
      <c r="U49" s="8">
        <v>8</v>
      </c>
      <c r="V49" s="8">
        <v>4</v>
      </c>
      <c r="W49" s="8">
        <v>26</v>
      </c>
      <c r="X49" s="8">
        <v>18</v>
      </c>
      <c r="Y49" s="8">
        <v>11</v>
      </c>
      <c r="Z49" s="8">
        <v>8</v>
      </c>
      <c r="AA49" s="8">
        <v>0</v>
      </c>
      <c r="AB49" s="8">
        <v>0</v>
      </c>
      <c r="AC49" s="18">
        <f t="shared" si="6"/>
        <v>4</v>
      </c>
      <c r="AD49" s="18">
        <f t="shared" si="7"/>
        <v>16</v>
      </c>
      <c r="AE49" s="18">
        <f t="shared" si="8"/>
        <v>4</v>
      </c>
      <c r="AF49" s="18">
        <f t="shared" si="9"/>
        <v>8</v>
      </c>
      <c r="AG49" s="18">
        <f t="shared" si="10"/>
        <v>3</v>
      </c>
      <c r="AH49" s="18">
        <f t="shared" si="11"/>
        <v>0</v>
      </c>
    </row>
    <row r="50" spans="1:34" ht="14.4">
      <c r="A50" s="8" t="s">
        <v>921</v>
      </c>
      <c r="B50" s="8" t="s">
        <v>1053</v>
      </c>
      <c r="C50" s="8" t="s">
        <v>10</v>
      </c>
      <c r="D50" s="8" t="s">
        <v>4</v>
      </c>
      <c r="E50" s="8" t="s">
        <v>68</v>
      </c>
      <c r="F50" s="8" t="s">
        <v>5</v>
      </c>
      <c r="G50" s="8" t="s">
        <v>3</v>
      </c>
      <c r="H50" s="8" t="s">
        <v>132</v>
      </c>
      <c r="I50" s="8" t="s">
        <v>40</v>
      </c>
      <c r="J50" s="8" t="s">
        <v>41</v>
      </c>
      <c r="K50" s="19" t="s">
        <v>40</v>
      </c>
      <c r="L50" s="19" t="s">
        <v>62</v>
      </c>
      <c r="M50" s="8" t="s">
        <v>1183</v>
      </c>
      <c r="N50" s="8">
        <v>111</v>
      </c>
      <c r="O50" s="8">
        <v>71</v>
      </c>
      <c r="P50" s="8">
        <v>40</v>
      </c>
      <c r="Q50" s="8">
        <v>21</v>
      </c>
      <c r="R50" s="8">
        <v>16</v>
      </c>
      <c r="S50" s="8">
        <v>12</v>
      </c>
      <c r="T50" s="8">
        <v>6</v>
      </c>
      <c r="U50" s="8">
        <v>20</v>
      </c>
      <c r="V50" s="8">
        <v>14</v>
      </c>
      <c r="W50" s="8">
        <v>38</v>
      </c>
      <c r="X50" s="8">
        <v>22</v>
      </c>
      <c r="Y50" s="8">
        <v>17</v>
      </c>
      <c r="Z50" s="8">
        <v>10</v>
      </c>
      <c r="AA50" s="8">
        <v>3</v>
      </c>
      <c r="AB50" s="8">
        <v>3</v>
      </c>
      <c r="AC50" s="18">
        <f t="shared" si="6"/>
        <v>5</v>
      </c>
      <c r="AD50" s="18">
        <f t="shared" si="7"/>
        <v>6</v>
      </c>
      <c r="AE50" s="18">
        <f t="shared" si="8"/>
        <v>6</v>
      </c>
      <c r="AF50" s="18">
        <f t="shared" si="9"/>
        <v>16</v>
      </c>
      <c r="AG50" s="18">
        <f t="shared" si="10"/>
        <v>7</v>
      </c>
      <c r="AH50" s="18">
        <f t="shared" si="11"/>
        <v>0</v>
      </c>
    </row>
    <row r="51" spans="1:34" ht="14.4">
      <c r="A51" s="8" t="s">
        <v>922</v>
      </c>
      <c r="B51" s="8" t="s">
        <v>1054</v>
      </c>
      <c r="C51" s="8" t="s">
        <v>12</v>
      </c>
      <c r="D51" s="8" t="s">
        <v>6</v>
      </c>
      <c r="E51" s="8" t="s">
        <v>68</v>
      </c>
      <c r="F51" s="8" t="s">
        <v>6</v>
      </c>
      <c r="G51" s="8" t="s">
        <v>2</v>
      </c>
      <c r="H51" s="8" t="s">
        <v>1272</v>
      </c>
      <c r="I51" s="8" t="s">
        <v>40</v>
      </c>
      <c r="J51" s="8" t="s">
        <v>40</v>
      </c>
      <c r="K51" s="19" t="s">
        <v>44</v>
      </c>
      <c r="L51" s="19" t="s">
        <v>62</v>
      </c>
      <c r="M51" s="8" t="s">
        <v>1184</v>
      </c>
      <c r="N51" s="8">
        <v>110</v>
      </c>
      <c r="O51" s="8">
        <v>56</v>
      </c>
      <c r="P51" s="8">
        <v>54</v>
      </c>
      <c r="Q51" s="8">
        <v>33</v>
      </c>
      <c r="R51" s="8">
        <v>17</v>
      </c>
      <c r="S51" s="8">
        <v>14</v>
      </c>
      <c r="T51" s="8">
        <v>9</v>
      </c>
      <c r="U51" s="8">
        <v>13</v>
      </c>
      <c r="V51" s="8">
        <v>9</v>
      </c>
      <c r="W51" s="8">
        <v>14</v>
      </c>
      <c r="X51" s="8">
        <v>5</v>
      </c>
      <c r="Y51" s="8">
        <v>16</v>
      </c>
      <c r="Z51" s="8">
        <v>9</v>
      </c>
      <c r="AA51" s="8">
        <v>20</v>
      </c>
      <c r="AB51" s="8">
        <v>7</v>
      </c>
      <c r="AC51" s="18">
        <f t="shared" si="6"/>
        <v>16</v>
      </c>
      <c r="AD51" s="18">
        <f t="shared" si="7"/>
        <v>5</v>
      </c>
      <c r="AE51" s="18">
        <f t="shared" si="8"/>
        <v>4</v>
      </c>
      <c r="AF51" s="18">
        <f t="shared" si="9"/>
        <v>9</v>
      </c>
      <c r="AG51" s="18">
        <f t="shared" si="10"/>
        <v>7</v>
      </c>
      <c r="AH51" s="18">
        <f t="shared" si="11"/>
        <v>13</v>
      </c>
    </row>
    <row r="52" spans="1:34" ht="14.4">
      <c r="A52" s="8" t="s">
        <v>923</v>
      </c>
      <c r="B52" s="8" t="s">
        <v>1055</v>
      </c>
      <c r="C52" s="8" t="s">
        <v>12</v>
      </c>
      <c r="D52" s="8" t="s">
        <v>7</v>
      </c>
      <c r="E52" s="8" t="s">
        <v>68</v>
      </c>
      <c r="F52" s="8" t="s">
        <v>6</v>
      </c>
      <c r="G52" s="8" t="s">
        <v>4</v>
      </c>
      <c r="H52" s="8" t="s">
        <v>153</v>
      </c>
      <c r="I52" s="8" t="s">
        <v>40</v>
      </c>
      <c r="J52" s="8" t="s">
        <v>40</v>
      </c>
      <c r="K52" s="19" t="s">
        <v>44</v>
      </c>
      <c r="L52" s="19" t="s">
        <v>62</v>
      </c>
      <c r="M52" s="8" t="s">
        <v>1185</v>
      </c>
      <c r="N52" s="8">
        <v>463</v>
      </c>
      <c r="O52" s="8">
        <v>258</v>
      </c>
      <c r="P52" s="8">
        <v>205</v>
      </c>
      <c r="Q52" s="8">
        <v>136</v>
      </c>
      <c r="R52" s="8">
        <v>76</v>
      </c>
      <c r="S52" s="8">
        <v>97</v>
      </c>
      <c r="T52" s="8">
        <v>53</v>
      </c>
      <c r="U52" s="8">
        <v>70</v>
      </c>
      <c r="V52" s="8">
        <v>47</v>
      </c>
      <c r="W52" s="8">
        <v>89</v>
      </c>
      <c r="X52" s="8">
        <v>48</v>
      </c>
      <c r="Y52" s="8">
        <v>71</v>
      </c>
      <c r="Z52" s="8">
        <v>34</v>
      </c>
      <c r="AA52" s="8">
        <v>0</v>
      </c>
      <c r="AB52" s="8">
        <v>0</v>
      </c>
      <c r="AC52" s="18">
        <f t="shared" si="6"/>
        <v>60</v>
      </c>
      <c r="AD52" s="18">
        <f t="shared" si="7"/>
        <v>44</v>
      </c>
      <c r="AE52" s="18">
        <f t="shared" si="8"/>
        <v>23</v>
      </c>
      <c r="AF52" s="18">
        <f t="shared" si="9"/>
        <v>41</v>
      </c>
      <c r="AG52" s="18">
        <f t="shared" si="10"/>
        <v>37</v>
      </c>
      <c r="AH52" s="18">
        <f t="shared" si="11"/>
        <v>0</v>
      </c>
    </row>
    <row r="53" spans="1:34" ht="14.4">
      <c r="A53" s="8" t="s">
        <v>924</v>
      </c>
      <c r="B53" s="8" t="s">
        <v>1056</v>
      </c>
      <c r="C53" s="8" t="s">
        <v>11</v>
      </c>
      <c r="D53" s="8" t="s">
        <v>8</v>
      </c>
      <c r="E53" s="8" t="s">
        <v>68</v>
      </c>
      <c r="F53" s="8" t="s">
        <v>11</v>
      </c>
      <c r="G53" s="8" t="s">
        <v>2</v>
      </c>
      <c r="H53" s="8" t="s">
        <v>150</v>
      </c>
      <c r="I53" s="8" t="s">
        <v>40</v>
      </c>
      <c r="J53" s="8" t="s">
        <v>40</v>
      </c>
      <c r="K53" s="19" t="s">
        <v>44</v>
      </c>
      <c r="L53" s="19" t="s">
        <v>62</v>
      </c>
      <c r="M53" s="8" t="s">
        <v>1186</v>
      </c>
      <c r="N53" s="8">
        <v>167</v>
      </c>
      <c r="O53" s="8">
        <v>108</v>
      </c>
      <c r="P53" s="8">
        <v>59</v>
      </c>
      <c r="Q53" s="8">
        <v>49</v>
      </c>
      <c r="R53" s="8">
        <v>29</v>
      </c>
      <c r="S53" s="8">
        <v>55</v>
      </c>
      <c r="T53" s="8">
        <v>42</v>
      </c>
      <c r="U53" s="8">
        <v>24</v>
      </c>
      <c r="V53" s="8">
        <v>16</v>
      </c>
      <c r="W53" s="8">
        <v>26</v>
      </c>
      <c r="X53" s="8">
        <v>16</v>
      </c>
      <c r="Y53" s="8">
        <v>9</v>
      </c>
      <c r="Z53" s="8">
        <v>4</v>
      </c>
      <c r="AA53" s="8">
        <v>4</v>
      </c>
      <c r="AB53" s="8">
        <v>1</v>
      </c>
      <c r="AC53" s="18">
        <f t="shared" si="6"/>
        <v>20</v>
      </c>
      <c r="AD53" s="18">
        <f t="shared" si="7"/>
        <v>13</v>
      </c>
      <c r="AE53" s="18">
        <f t="shared" si="8"/>
        <v>8</v>
      </c>
      <c r="AF53" s="18">
        <f t="shared" si="9"/>
        <v>10</v>
      </c>
      <c r="AG53" s="18">
        <f t="shared" si="10"/>
        <v>5</v>
      </c>
      <c r="AH53" s="18">
        <f t="shared" si="11"/>
        <v>3</v>
      </c>
    </row>
    <row r="54" spans="1:34" ht="14.4">
      <c r="A54" s="8" t="s">
        <v>925</v>
      </c>
      <c r="B54" s="8" t="s">
        <v>1057</v>
      </c>
      <c r="C54" s="8" t="s">
        <v>11</v>
      </c>
      <c r="D54" s="8" t="s">
        <v>6</v>
      </c>
      <c r="E54" s="8" t="s">
        <v>68</v>
      </c>
      <c r="F54" s="8" t="s">
        <v>15</v>
      </c>
      <c r="G54" s="8" t="s">
        <v>2</v>
      </c>
      <c r="H54" s="8" t="s">
        <v>1273</v>
      </c>
      <c r="I54" s="8" t="s">
        <v>40</v>
      </c>
      <c r="J54" s="8" t="s">
        <v>41</v>
      </c>
      <c r="K54" s="19" t="s">
        <v>44</v>
      </c>
      <c r="L54" s="19" t="s">
        <v>62</v>
      </c>
      <c r="M54" s="8" t="s">
        <v>1187</v>
      </c>
      <c r="N54" s="8">
        <v>27</v>
      </c>
      <c r="O54" s="8">
        <v>18</v>
      </c>
      <c r="P54" s="8">
        <v>9</v>
      </c>
      <c r="Q54" s="8">
        <v>9</v>
      </c>
      <c r="R54" s="8">
        <v>5</v>
      </c>
      <c r="S54" s="8">
        <v>6</v>
      </c>
      <c r="T54" s="8">
        <v>4</v>
      </c>
      <c r="U54" s="8">
        <v>4</v>
      </c>
      <c r="V54" s="8">
        <v>4</v>
      </c>
      <c r="W54" s="8">
        <v>0</v>
      </c>
      <c r="X54" s="8">
        <v>0</v>
      </c>
      <c r="Y54" s="8">
        <v>8</v>
      </c>
      <c r="Z54" s="8">
        <v>5</v>
      </c>
      <c r="AA54" s="8">
        <v>0</v>
      </c>
      <c r="AB54" s="8">
        <v>0</v>
      </c>
      <c r="AC54" s="18">
        <f t="shared" si="6"/>
        <v>4</v>
      </c>
      <c r="AD54" s="18">
        <f t="shared" si="7"/>
        <v>2</v>
      </c>
      <c r="AE54" s="18">
        <f t="shared" si="8"/>
        <v>0</v>
      </c>
      <c r="AF54" s="18">
        <f t="shared" si="9"/>
        <v>0</v>
      </c>
      <c r="AG54" s="18">
        <f t="shared" si="10"/>
        <v>3</v>
      </c>
      <c r="AH54" s="18">
        <f t="shared" si="11"/>
        <v>0</v>
      </c>
    </row>
    <row r="55" spans="1:34" ht="14.4">
      <c r="A55" s="8" t="s">
        <v>926</v>
      </c>
      <c r="B55" s="8" t="s">
        <v>1058</v>
      </c>
      <c r="C55" s="8" t="s">
        <v>16</v>
      </c>
      <c r="D55" s="8" t="s">
        <v>2</v>
      </c>
      <c r="E55" s="8" t="s">
        <v>53</v>
      </c>
      <c r="F55" s="8" t="s">
        <v>2</v>
      </c>
      <c r="G55" s="8" t="s">
        <v>10</v>
      </c>
      <c r="H55" s="8" t="s">
        <v>1274</v>
      </c>
      <c r="I55" s="8" t="s">
        <v>40</v>
      </c>
      <c r="J55" s="8" t="s">
        <v>40</v>
      </c>
      <c r="K55" s="19" t="s">
        <v>44</v>
      </c>
      <c r="L55" s="19" t="s">
        <v>62</v>
      </c>
      <c r="M55" s="8" t="s">
        <v>1188</v>
      </c>
      <c r="N55" s="8">
        <v>341</v>
      </c>
      <c r="O55" s="8">
        <v>198</v>
      </c>
      <c r="P55" s="8">
        <v>143</v>
      </c>
      <c r="Q55" s="8">
        <v>110</v>
      </c>
      <c r="R55" s="8">
        <v>58</v>
      </c>
      <c r="S55" s="8">
        <v>65</v>
      </c>
      <c r="T55" s="8">
        <v>42</v>
      </c>
      <c r="U55" s="8">
        <v>76</v>
      </c>
      <c r="V55" s="8">
        <v>51</v>
      </c>
      <c r="W55" s="8">
        <v>57</v>
      </c>
      <c r="X55" s="8">
        <v>25</v>
      </c>
      <c r="Y55" s="8">
        <v>19</v>
      </c>
      <c r="Z55" s="8">
        <v>12</v>
      </c>
      <c r="AA55" s="8">
        <v>14</v>
      </c>
      <c r="AB55" s="8">
        <v>10</v>
      </c>
      <c r="AC55" s="18">
        <f t="shared" si="6"/>
        <v>52</v>
      </c>
      <c r="AD55" s="18">
        <f t="shared" si="7"/>
        <v>23</v>
      </c>
      <c r="AE55" s="18">
        <f t="shared" si="8"/>
        <v>25</v>
      </c>
      <c r="AF55" s="18">
        <f t="shared" si="9"/>
        <v>32</v>
      </c>
      <c r="AG55" s="18">
        <f t="shared" si="10"/>
        <v>7</v>
      </c>
      <c r="AH55" s="18">
        <f t="shared" si="11"/>
        <v>4</v>
      </c>
    </row>
    <row r="56" spans="1:34" ht="14.4">
      <c r="A56" s="8" t="s">
        <v>927</v>
      </c>
      <c r="B56" s="8" t="s">
        <v>1059</v>
      </c>
      <c r="C56" s="8" t="s">
        <v>179</v>
      </c>
      <c r="D56" s="8" t="s">
        <v>5</v>
      </c>
      <c r="E56" s="8" t="s">
        <v>53</v>
      </c>
      <c r="F56" s="8" t="s">
        <v>2</v>
      </c>
      <c r="G56" s="8" t="s">
        <v>5</v>
      </c>
      <c r="H56" s="8" t="s">
        <v>1275</v>
      </c>
      <c r="I56" s="8" t="s">
        <v>40</v>
      </c>
      <c r="J56" s="8" t="s">
        <v>41</v>
      </c>
      <c r="K56" s="19" t="s">
        <v>44</v>
      </c>
      <c r="L56" s="19" t="s">
        <v>62</v>
      </c>
      <c r="M56" s="8" t="s">
        <v>1189</v>
      </c>
      <c r="N56" s="8">
        <v>189</v>
      </c>
      <c r="O56" s="8">
        <v>113</v>
      </c>
      <c r="P56" s="8">
        <v>76</v>
      </c>
      <c r="Q56" s="8">
        <v>61</v>
      </c>
      <c r="R56" s="8">
        <v>34</v>
      </c>
      <c r="S56" s="8">
        <v>27</v>
      </c>
      <c r="T56" s="8">
        <v>18</v>
      </c>
      <c r="U56" s="8">
        <v>24</v>
      </c>
      <c r="V56" s="8">
        <v>13</v>
      </c>
      <c r="W56" s="8">
        <v>67</v>
      </c>
      <c r="X56" s="8">
        <v>43</v>
      </c>
      <c r="Y56" s="8">
        <v>10</v>
      </c>
      <c r="Z56" s="8">
        <v>5</v>
      </c>
      <c r="AA56" s="8">
        <v>0</v>
      </c>
      <c r="AB56" s="8">
        <v>0</v>
      </c>
      <c r="AC56" s="18">
        <f t="shared" si="6"/>
        <v>27</v>
      </c>
      <c r="AD56" s="18">
        <f t="shared" si="7"/>
        <v>9</v>
      </c>
      <c r="AE56" s="18">
        <f t="shared" si="8"/>
        <v>11</v>
      </c>
      <c r="AF56" s="18">
        <f t="shared" si="9"/>
        <v>24</v>
      </c>
      <c r="AG56" s="18">
        <f t="shared" si="10"/>
        <v>5</v>
      </c>
      <c r="AH56" s="18">
        <f t="shared" si="11"/>
        <v>0</v>
      </c>
    </row>
    <row r="57" spans="1:34" ht="14.4">
      <c r="A57" s="8" t="s">
        <v>928</v>
      </c>
      <c r="B57" s="8" t="s">
        <v>1060</v>
      </c>
      <c r="C57" s="8" t="s">
        <v>179</v>
      </c>
      <c r="D57" s="8" t="s">
        <v>2</v>
      </c>
      <c r="E57" s="8" t="s">
        <v>53</v>
      </c>
      <c r="F57" s="8" t="s">
        <v>2</v>
      </c>
      <c r="G57" s="8" t="s">
        <v>6</v>
      </c>
      <c r="H57" s="8" t="s">
        <v>155</v>
      </c>
      <c r="I57" s="8" t="s">
        <v>40</v>
      </c>
      <c r="J57" s="8" t="s">
        <v>41</v>
      </c>
      <c r="K57" s="19" t="s">
        <v>40</v>
      </c>
      <c r="L57" s="19" t="s">
        <v>62</v>
      </c>
      <c r="M57" s="8" t="s">
        <v>1190</v>
      </c>
      <c r="N57" s="8">
        <v>110</v>
      </c>
      <c r="O57" s="8">
        <v>76</v>
      </c>
      <c r="P57" s="8">
        <v>34</v>
      </c>
      <c r="Q57" s="8">
        <v>16</v>
      </c>
      <c r="R57" s="8">
        <v>12</v>
      </c>
      <c r="S57" s="8">
        <v>22</v>
      </c>
      <c r="T57" s="8">
        <v>16</v>
      </c>
      <c r="U57" s="8">
        <v>20</v>
      </c>
      <c r="V57" s="8">
        <v>15</v>
      </c>
      <c r="W57" s="8">
        <v>29</v>
      </c>
      <c r="X57" s="8">
        <v>17</v>
      </c>
      <c r="Y57" s="8">
        <v>9</v>
      </c>
      <c r="Z57" s="8">
        <v>5</v>
      </c>
      <c r="AA57" s="8">
        <v>14</v>
      </c>
      <c r="AB57" s="8">
        <v>11</v>
      </c>
      <c r="AC57" s="18">
        <f t="shared" si="6"/>
        <v>4</v>
      </c>
      <c r="AD57" s="18">
        <f t="shared" si="7"/>
        <v>6</v>
      </c>
      <c r="AE57" s="18">
        <f t="shared" si="8"/>
        <v>5</v>
      </c>
      <c r="AF57" s="18">
        <f t="shared" si="9"/>
        <v>12</v>
      </c>
      <c r="AG57" s="18">
        <f t="shared" si="10"/>
        <v>4</v>
      </c>
      <c r="AH57" s="18">
        <f t="shared" si="11"/>
        <v>3</v>
      </c>
    </row>
    <row r="58" spans="1:34" ht="14.4">
      <c r="A58" s="8" t="s">
        <v>929</v>
      </c>
      <c r="B58" s="8" t="s">
        <v>1061</v>
      </c>
      <c r="C58" s="8" t="s">
        <v>16</v>
      </c>
      <c r="D58" s="8" t="s">
        <v>7</v>
      </c>
      <c r="E58" s="8" t="s">
        <v>53</v>
      </c>
      <c r="F58" s="8" t="s">
        <v>2</v>
      </c>
      <c r="G58" s="8" t="s">
        <v>11</v>
      </c>
      <c r="H58" s="8" t="s">
        <v>80</v>
      </c>
      <c r="I58" s="8" t="s">
        <v>40</v>
      </c>
      <c r="J58" s="8" t="s">
        <v>40</v>
      </c>
      <c r="K58" s="19" t="s">
        <v>41</v>
      </c>
      <c r="L58" s="19" t="s">
        <v>62</v>
      </c>
      <c r="M58" s="8" t="s">
        <v>1191</v>
      </c>
      <c r="N58" s="8">
        <v>63</v>
      </c>
      <c r="O58" s="8">
        <v>48</v>
      </c>
      <c r="P58" s="8">
        <v>15</v>
      </c>
      <c r="Q58" s="8">
        <v>6</v>
      </c>
      <c r="R58" s="8">
        <v>4</v>
      </c>
      <c r="S58" s="8">
        <v>13</v>
      </c>
      <c r="T58" s="8">
        <v>9</v>
      </c>
      <c r="U58" s="8">
        <v>5</v>
      </c>
      <c r="V58" s="8">
        <v>5</v>
      </c>
      <c r="W58" s="8">
        <v>25</v>
      </c>
      <c r="X58" s="8">
        <v>17</v>
      </c>
      <c r="Y58" s="8">
        <v>12</v>
      </c>
      <c r="Z58" s="8">
        <v>12</v>
      </c>
      <c r="AA58" s="8">
        <v>2</v>
      </c>
      <c r="AB58" s="8">
        <v>1</v>
      </c>
      <c r="AC58" s="18">
        <f t="shared" si="6"/>
        <v>2</v>
      </c>
      <c r="AD58" s="18">
        <f t="shared" si="7"/>
        <v>4</v>
      </c>
      <c r="AE58" s="18">
        <f t="shared" si="8"/>
        <v>0</v>
      </c>
      <c r="AF58" s="18">
        <f t="shared" si="9"/>
        <v>8</v>
      </c>
      <c r="AG58" s="18">
        <f t="shared" si="10"/>
        <v>0</v>
      </c>
      <c r="AH58" s="18">
        <f t="shared" si="11"/>
        <v>1</v>
      </c>
    </row>
    <row r="59" spans="1:34" ht="14.4">
      <c r="A59" s="8" t="s">
        <v>930</v>
      </c>
      <c r="B59" s="8" t="s">
        <v>1062</v>
      </c>
      <c r="C59" s="8" t="s">
        <v>179</v>
      </c>
      <c r="D59" s="8" t="s">
        <v>3</v>
      </c>
      <c r="E59" s="8" t="s">
        <v>53</v>
      </c>
      <c r="F59" s="8" t="s">
        <v>2</v>
      </c>
      <c r="G59" s="8" t="s">
        <v>15</v>
      </c>
      <c r="H59" s="8" t="s">
        <v>137</v>
      </c>
      <c r="I59" s="8" t="s">
        <v>40</v>
      </c>
      <c r="J59" s="8" t="s">
        <v>41</v>
      </c>
      <c r="K59" s="19" t="s">
        <v>40</v>
      </c>
      <c r="L59" s="19" t="s">
        <v>62</v>
      </c>
      <c r="M59" s="8" t="s">
        <v>1582</v>
      </c>
      <c r="N59" s="8">
        <v>195</v>
      </c>
      <c r="O59" s="8">
        <v>105</v>
      </c>
      <c r="P59" s="8">
        <v>90</v>
      </c>
      <c r="Q59" s="8">
        <v>57</v>
      </c>
      <c r="R59" s="8">
        <v>35</v>
      </c>
      <c r="S59" s="8">
        <v>49</v>
      </c>
      <c r="T59" s="8">
        <v>28</v>
      </c>
      <c r="U59" s="8">
        <v>26</v>
      </c>
      <c r="V59" s="8">
        <v>19</v>
      </c>
      <c r="W59" s="8">
        <v>32</v>
      </c>
      <c r="X59" s="8">
        <v>9</v>
      </c>
      <c r="Y59" s="8">
        <v>31</v>
      </c>
      <c r="Z59" s="8">
        <v>14</v>
      </c>
      <c r="AA59" s="8">
        <v>0</v>
      </c>
      <c r="AB59" s="8">
        <v>0</v>
      </c>
      <c r="AC59" s="18">
        <f t="shared" si="6"/>
        <v>22</v>
      </c>
      <c r="AD59" s="18">
        <f t="shared" si="7"/>
        <v>21</v>
      </c>
      <c r="AE59" s="18">
        <f t="shared" si="8"/>
        <v>7</v>
      </c>
      <c r="AF59" s="18">
        <f t="shared" si="9"/>
        <v>23</v>
      </c>
      <c r="AG59" s="18">
        <f t="shared" si="10"/>
        <v>17</v>
      </c>
      <c r="AH59" s="18">
        <f t="shared" si="11"/>
        <v>0</v>
      </c>
    </row>
    <row r="60" spans="1:34" ht="14.4">
      <c r="A60" s="8" t="s">
        <v>931</v>
      </c>
      <c r="B60" s="8" t="s">
        <v>1063</v>
      </c>
      <c r="C60" s="8" t="s">
        <v>175</v>
      </c>
      <c r="D60" s="8" t="s">
        <v>2</v>
      </c>
      <c r="E60" s="8" t="s">
        <v>53</v>
      </c>
      <c r="F60" s="8" t="s">
        <v>4</v>
      </c>
      <c r="G60" s="8" t="s">
        <v>2</v>
      </c>
      <c r="H60" s="8" t="s">
        <v>1276</v>
      </c>
      <c r="I60" s="8" t="s">
        <v>40</v>
      </c>
      <c r="J60" s="8" t="s">
        <v>40</v>
      </c>
      <c r="K60" s="19" t="s">
        <v>44</v>
      </c>
      <c r="L60" s="19" t="s">
        <v>62</v>
      </c>
      <c r="M60" s="8" t="s">
        <v>2288</v>
      </c>
      <c r="N60" s="8">
        <v>101</v>
      </c>
      <c r="O60" s="8">
        <v>55</v>
      </c>
      <c r="P60" s="8">
        <v>46</v>
      </c>
      <c r="Q60" s="8">
        <v>36</v>
      </c>
      <c r="R60" s="8">
        <v>19</v>
      </c>
      <c r="S60" s="8">
        <v>27</v>
      </c>
      <c r="T60" s="8">
        <v>12</v>
      </c>
      <c r="U60" s="8">
        <v>5</v>
      </c>
      <c r="V60" s="8">
        <v>3</v>
      </c>
      <c r="W60" s="8">
        <v>19</v>
      </c>
      <c r="X60" s="8">
        <v>15</v>
      </c>
      <c r="Y60" s="8">
        <v>13</v>
      </c>
      <c r="Z60" s="8">
        <v>5</v>
      </c>
      <c r="AA60" s="8">
        <v>1</v>
      </c>
      <c r="AB60" s="8">
        <v>1</v>
      </c>
      <c r="AC60" s="18">
        <f t="shared" si="6"/>
        <v>17</v>
      </c>
      <c r="AD60" s="18">
        <f t="shared" si="7"/>
        <v>15</v>
      </c>
      <c r="AE60" s="18">
        <f t="shared" si="8"/>
        <v>2</v>
      </c>
      <c r="AF60" s="18">
        <f t="shared" si="9"/>
        <v>4</v>
      </c>
      <c r="AG60" s="18">
        <f t="shared" si="10"/>
        <v>8</v>
      </c>
      <c r="AH60" s="18">
        <f t="shared" si="11"/>
        <v>0</v>
      </c>
    </row>
    <row r="61" spans="1:34" ht="14.4">
      <c r="A61" s="8" t="s">
        <v>932</v>
      </c>
      <c r="B61" s="8" t="s">
        <v>1064</v>
      </c>
      <c r="C61" s="8" t="s">
        <v>175</v>
      </c>
      <c r="D61" s="8" t="s">
        <v>8</v>
      </c>
      <c r="E61" s="8" t="s">
        <v>53</v>
      </c>
      <c r="F61" s="8" t="s">
        <v>6</v>
      </c>
      <c r="G61" s="8" t="s">
        <v>3</v>
      </c>
      <c r="H61" s="8" t="s">
        <v>1277</v>
      </c>
      <c r="I61" s="8" t="s">
        <v>40</v>
      </c>
      <c r="J61" s="8" t="s">
        <v>41</v>
      </c>
      <c r="K61" s="19" t="s">
        <v>41</v>
      </c>
      <c r="L61" s="19" t="s">
        <v>62</v>
      </c>
      <c r="M61" s="8" t="s">
        <v>1192</v>
      </c>
      <c r="N61" s="8">
        <v>170</v>
      </c>
      <c r="O61" s="8">
        <v>102</v>
      </c>
      <c r="P61" s="8">
        <v>68</v>
      </c>
      <c r="Q61" s="8">
        <v>26</v>
      </c>
      <c r="R61" s="8">
        <v>17</v>
      </c>
      <c r="S61" s="8">
        <v>57</v>
      </c>
      <c r="T61" s="8">
        <v>28</v>
      </c>
      <c r="U61" s="8">
        <v>25</v>
      </c>
      <c r="V61" s="8">
        <v>15</v>
      </c>
      <c r="W61" s="8">
        <v>40</v>
      </c>
      <c r="X61" s="8">
        <v>27</v>
      </c>
      <c r="Y61" s="8">
        <v>16</v>
      </c>
      <c r="Z61" s="8">
        <v>11</v>
      </c>
      <c r="AA61" s="8">
        <v>6</v>
      </c>
      <c r="AB61" s="8">
        <v>4</v>
      </c>
      <c r="AC61" s="18">
        <f t="shared" si="6"/>
        <v>9</v>
      </c>
      <c r="AD61" s="18">
        <f t="shared" si="7"/>
        <v>29</v>
      </c>
      <c r="AE61" s="18">
        <f t="shared" si="8"/>
        <v>10</v>
      </c>
      <c r="AF61" s="18">
        <f t="shared" si="9"/>
        <v>13</v>
      </c>
      <c r="AG61" s="18">
        <f t="shared" si="10"/>
        <v>5</v>
      </c>
      <c r="AH61" s="18">
        <f t="shared" si="11"/>
        <v>2</v>
      </c>
    </row>
    <row r="62" spans="1:34" ht="14.4">
      <c r="A62" s="8" t="s">
        <v>933</v>
      </c>
      <c r="B62" s="8" t="s">
        <v>1065</v>
      </c>
      <c r="C62" s="8" t="s">
        <v>17</v>
      </c>
      <c r="D62" s="8" t="s">
        <v>2</v>
      </c>
      <c r="E62" s="8" t="s">
        <v>53</v>
      </c>
      <c r="F62" s="8" t="s">
        <v>7</v>
      </c>
      <c r="G62" s="8" t="s">
        <v>2</v>
      </c>
      <c r="H62" s="8" t="s">
        <v>1278</v>
      </c>
      <c r="I62" s="8" t="s">
        <v>40</v>
      </c>
      <c r="J62" s="8" t="s">
        <v>40</v>
      </c>
      <c r="K62" s="19" t="s">
        <v>41</v>
      </c>
      <c r="L62" s="19" t="s">
        <v>62</v>
      </c>
      <c r="M62" s="8" t="s">
        <v>1193</v>
      </c>
      <c r="N62" s="8">
        <v>338</v>
      </c>
      <c r="O62" s="8">
        <v>197</v>
      </c>
      <c r="P62" s="8">
        <v>141</v>
      </c>
      <c r="Q62" s="8">
        <v>93</v>
      </c>
      <c r="R62" s="8">
        <v>55</v>
      </c>
      <c r="S62" s="8">
        <v>87</v>
      </c>
      <c r="T62" s="8">
        <v>51</v>
      </c>
      <c r="U62" s="8">
        <v>66</v>
      </c>
      <c r="V62" s="8">
        <v>38</v>
      </c>
      <c r="W62" s="8">
        <v>51</v>
      </c>
      <c r="X62" s="8">
        <v>33</v>
      </c>
      <c r="Y62" s="8">
        <v>37</v>
      </c>
      <c r="Z62" s="8">
        <v>19</v>
      </c>
      <c r="AA62" s="8">
        <v>4</v>
      </c>
      <c r="AB62" s="8">
        <v>1</v>
      </c>
      <c r="AC62" s="18">
        <f t="shared" si="6"/>
        <v>38</v>
      </c>
      <c r="AD62" s="18">
        <f t="shared" si="7"/>
        <v>36</v>
      </c>
      <c r="AE62" s="18">
        <f t="shared" si="8"/>
        <v>28</v>
      </c>
      <c r="AF62" s="18">
        <f t="shared" si="9"/>
        <v>18</v>
      </c>
      <c r="AG62" s="18">
        <f t="shared" si="10"/>
        <v>18</v>
      </c>
      <c r="AH62" s="18">
        <f t="shared" si="11"/>
        <v>3</v>
      </c>
    </row>
    <row r="63" spans="1:34" ht="14.4">
      <c r="A63" s="8" t="s">
        <v>934</v>
      </c>
      <c r="B63" s="8" t="s">
        <v>1066</v>
      </c>
      <c r="C63" s="8" t="s">
        <v>17</v>
      </c>
      <c r="D63" s="8" t="s">
        <v>3</v>
      </c>
      <c r="E63" s="8" t="s">
        <v>53</v>
      </c>
      <c r="F63" s="8" t="s">
        <v>7</v>
      </c>
      <c r="G63" s="8" t="s">
        <v>3</v>
      </c>
      <c r="H63" s="8" t="s">
        <v>1279</v>
      </c>
      <c r="I63" s="8" t="s">
        <v>40</v>
      </c>
      <c r="J63" s="8" t="s">
        <v>41</v>
      </c>
      <c r="K63" s="19" t="s">
        <v>40</v>
      </c>
      <c r="L63" s="19" t="s">
        <v>62</v>
      </c>
      <c r="M63" s="8" t="s">
        <v>1194</v>
      </c>
      <c r="N63" s="8">
        <v>107</v>
      </c>
      <c r="O63" s="8">
        <v>73</v>
      </c>
      <c r="P63" s="8">
        <v>34</v>
      </c>
      <c r="Q63" s="8">
        <v>29</v>
      </c>
      <c r="R63" s="8">
        <v>17</v>
      </c>
      <c r="S63" s="8">
        <v>22</v>
      </c>
      <c r="T63" s="8">
        <v>17</v>
      </c>
      <c r="U63" s="8">
        <v>1</v>
      </c>
      <c r="V63" s="8">
        <v>1</v>
      </c>
      <c r="W63" s="8">
        <v>30</v>
      </c>
      <c r="X63" s="8">
        <v>22</v>
      </c>
      <c r="Y63" s="8">
        <v>18</v>
      </c>
      <c r="Z63" s="8">
        <v>13</v>
      </c>
      <c r="AA63" s="8">
        <v>7</v>
      </c>
      <c r="AB63" s="8">
        <v>3</v>
      </c>
      <c r="AC63" s="18">
        <f t="shared" si="6"/>
        <v>12</v>
      </c>
      <c r="AD63" s="18">
        <f t="shared" si="7"/>
        <v>5</v>
      </c>
      <c r="AE63" s="18">
        <f t="shared" si="8"/>
        <v>0</v>
      </c>
      <c r="AF63" s="18">
        <f t="shared" si="9"/>
        <v>8</v>
      </c>
      <c r="AG63" s="18">
        <f t="shared" si="10"/>
        <v>5</v>
      </c>
      <c r="AH63" s="18">
        <f t="shared" si="11"/>
        <v>4</v>
      </c>
    </row>
    <row r="64" spans="1:34" ht="14.4">
      <c r="A64" s="8" t="s">
        <v>935</v>
      </c>
      <c r="B64" s="8" t="s">
        <v>1067</v>
      </c>
      <c r="C64" s="8" t="s">
        <v>60</v>
      </c>
      <c r="D64" s="8" t="s">
        <v>2</v>
      </c>
      <c r="E64" s="8" t="s">
        <v>53</v>
      </c>
      <c r="F64" s="8" t="s">
        <v>8</v>
      </c>
      <c r="G64" s="8" t="s">
        <v>2</v>
      </c>
      <c r="H64" s="8" t="s">
        <v>1606</v>
      </c>
      <c r="I64" s="8" t="s">
        <v>40</v>
      </c>
      <c r="J64" s="8" t="s">
        <v>40</v>
      </c>
      <c r="K64" s="19" t="s">
        <v>44</v>
      </c>
      <c r="L64" s="19" t="s">
        <v>62</v>
      </c>
      <c r="M64" s="8" t="s">
        <v>1195</v>
      </c>
      <c r="N64" s="8">
        <v>217</v>
      </c>
      <c r="O64" s="8">
        <v>130</v>
      </c>
      <c r="P64" s="8">
        <v>87</v>
      </c>
      <c r="Q64" s="8">
        <v>41</v>
      </c>
      <c r="R64" s="8">
        <v>27</v>
      </c>
      <c r="S64" s="8">
        <v>47</v>
      </c>
      <c r="T64" s="8">
        <v>25</v>
      </c>
      <c r="U64" s="8">
        <v>23</v>
      </c>
      <c r="V64" s="8">
        <v>10</v>
      </c>
      <c r="W64" s="8">
        <v>43</v>
      </c>
      <c r="X64" s="8">
        <v>24</v>
      </c>
      <c r="Y64" s="8">
        <v>35</v>
      </c>
      <c r="Z64" s="8">
        <v>21</v>
      </c>
      <c r="AA64" s="8">
        <v>28</v>
      </c>
      <c r="AB64" s="8">
        <v>23</v>
      </c>
      <c r="AC64" s="18">
        <f t="shared" si="6"/>
        <v>14</v>
      </c>
      <c r="AD64" s="18">
        <f t="shared" si="7"/>
        <v>22</v>
      </c>
      <c r="AE64" s="18">
        <f t="shared" si="8"/>
        <v>13</v>
      </c>
      <c r="AF64" s="18">
        <f t="shared" si="9"/>
        <v>19</v>
      </c>
      <c r="AG64" s="18">
        <f t="shared" si="10"/>
        <v>14</v>
      </c>
      <c r="AH64" s="18">
        <f t="shared" si="11"/>
        <v>5</v>
      </c>
    </row>
    <row r="65" spans="1:34" ht="14.4">
      <c r="A65" s="8" t="s">
        <v>936</v>
      </c>
      <c r="B65" s="8" t="s">
        <v>1068</v>
      </c>
      <c r="C65" s="8" t="s">
        <v>60</v>
      </c>
      <c r="D65" s="8" t="s">
        <v>4</v>
      </c>
      <c r="E65" s="8" t="s">
        <v>53</v>
      </c>
      <c r="F65" s="8" t="s">
        <v>8</v>
      </c>
      <c r="G65" s="8" t="s">
        <v>3</v>
      </c>
      <c r="H65" s="8" t="s">
        <v>55</v>
      </c>
      <c r="I65" s="8" t="s">
        <v>40</v>
      </c>
      <c r="J65" s="8" t="s">
        <v>41</v>
      </c>
      <c r="K65" s="19" t="s">
        <v>41</v>
      </c>
      <c r="L65" s="19" t="s">
        <v>62</v>
      </c>
      <c r="M65" s="8" t="s">
        <v>1583</v>
      </c>
      <c r="N65" s="8">
        <v>197</v>
      </c>
      <c r="O65" s="8">
        <v>101</v>
      </c>
      <c r="P65" s="8">
        <v>96</v>
      </c>
      <c r="Q65" s="8">
        <v>48</v>
      </c>
      <c r="R65" s="8">
        <v>30</v>
      </c>
      <c r="S65" s="8">
        <v>29</v>
      </c>
      <c r="T65" s="8">
        <v>18</v>
      </c>
      <c r="U65" s="8">
        <v>37</v>
      </c>
      <c r="V65" s="8">
        <v>16</v>
      </c>
      <c r="W65" s="8">
        <v>54</v>
      </c>
      <c r="X65" s="8">
        <v>26</v>
      </c>
      <c r="Y65" s="8">
        <v>22</v>
      </c>
      <c r="Z65" s="8">
        <v>10</v>
      </c>
      <c r="AA65" s="8">
        <v>7</v>
      </c>
      <c r="AB65" s="8">
        <v>1</v>
      </c>
      <c r="AC65" s="18">
        <f t="shared" si="6"/>
        <v>18</v>
      </c>
      <c r="AD65" s="18">
        <f t="shared" si="7"/>
        <v>11</v>
      </c>
      <c r="AE65" s="18">
        <f t="shared" si="8"/>
        <v>21</v>
      </c>
      <c r="AF65" s="18">
        <f t="shared" si="9"/>
        <v>28</v>
      </c>
      <c r="AG65" s="18">
        <f t="shared" si="10"/>
        <v>12</v>
      </c>
      <c r="AH65" s="18">
        <f t="shared" si="11"/>
        <v>6</v>
      </c>
    </row>
    <row r="66" spans="1:34" ht="14.4">
      <c r="A66" s="8" t="s">
        <v>937</v>
      </c>
      <c r="B66" s="8" t="s">
        <v>1069</v>
      </c>
      <c r="C66" s="8" t="s">
        <v>60</v>
      </c>
      <c r="D66" s="8" t="s">
        <v>5</v>
      </c>
      <c r="E66" s="8" t="s">
        <v>53</v>
      </c>
      <c r="F66" s="8" t="s">
        <v>8</v>
      </c>
      <c r="G66" s="8" t="s">
        <v>4</v>
      </c>
      <c r="H66" s="8" t="s">
        <v>1609</v>
      </c>
      <c r="I66" s="8" t="s">
        <v>40</v>
      </c>
      <c r="J66" s="8" t="s">
        <v>40</v>
      </c>
      <c r="K66" s="19" t="s">
        <v>44</v>
      </c>
      <c r="L66" s="19" t="s">
        <v>62</v>
      </c>
      <c r="M66" s="8" t="s">
        <v>1196</v>
      </c>
      <c r="N66" s="8">
        <v>183</v>
      </c>
      <c r="O66" s="8">
        <v>109</v>
      </c>
      <c r="P66" s="8">
        <v>74</v>
      </c>
      <c r="Q66" s="8">
        <v>42</v>
      </c>
      <c r="R66" s="8">
        <v>22</v>
      </c>
      <c r="S66" s="8">
        <v>72</v>
      </c>
      <c r="T66" s="8">
        <v>40</v>
      </c>
      <c r="U66" s="8">
        <v>19</v>
      </c>
      <c r="V66" s="8">
        <v>8</v>
      </c>
      <c r="W66" s="8">
        <v>26</v>
      </c>
      <c r="X66" s="8">
        <v>19</v>
      </c>
      <c r="Y66" s="8">
        <v>19</v>
      </c>
      <c r="Z66" s="8">
        <v>17</v>
      </c>
      <c r="AA66" s="8">
        <v>5</v>
      </c>
      <c r="AB66" s="8">
        <v>3</v>
      </c>
      <c r="AC66" s="18">
        <f t="shared" si="6"/>
        <v>20</v>
      </c>
      <c r="AD66" s="18">
        <f t="shared" si="7"/>
        <v>32</v>
      </c>
      <c r="AE66" s="18">
        <f t="shared" si="8"/>
        <v>11</v>
      </c>
      <c r="AF66" s="18">
        <f t="shared" si="9"/>
        <v>7</v>
      </c>
      <c r="AG66" s="18">
        <f t="shared" si="10"/>
        <v>2</v>
      </c>
      <c r="AH66" s="18">
        <f t="shared" si="11"/>
        <v>2</v>
      </c>
    </row>
    <row r="67" spans="1:34" ht="14.4">
      <c r="A67" s="8" t="s">
        <v>938</v>
      </c>
      <c r="B67" s="8" t="s">
        <v>1070</v>
      </c>
      <c r="C67" s="8" t="s">
        <v>60</v>
      </c>
      <c r="D67" s="8" t="s">
        <v>6</v>
      </c>
      <c r="E67" s="8" t="s">
        <v>53</v>
      </c>
      <c r="F67" s="8" t="s">
        <v>10</v>
      </c>
      <c r="G67" s="8" t="s">
        <v>2</v>
      </c>
      <c r="H67" s="8" t="s">
        <v>135</v>
      </c>
      <c r="I67" s="8" t="s">
        <v>40</v>
      </c>
      <c r="J67" s="8" t="s">
        <v>41</v>
      </c>
      <c r="K67" s="19" t="s">
        <v>44</v>
      </c>
      <c r="L67" s="19" t="s">
        <v>62</v>
      </c>
      <c r="M67" s="8" t="s">
        <v>1197</v>
      </c>
      <c r="N67" s="8">
        <v>147</v>
      </c>
      <c r="O67" s="8">
        <v>92</v>
      </c>
      <c r="P67" s="8">
        <v>55</v>
      </c>
      <c r="Q67" s="8">
        <v>36</v>
      </c>
      <c r="R67" s="8">
        <v>22</v>
      </c>
      <c r="S67" s="8">
        <v>40</v>
      </c>
      <c r="T67" s="8">
        <v>23</v>
      </c>
      <c r="U67" s="8">
        <v>29</v>
      </c>
      <c r="V67" s="8">
        <v>18</v>
      </c>
      <c r="W67" s="8">
        <v>16</v>
      </c>
      <c r="X67" s="8">
        <v>13</v>
      </c>
      <c r="Y67" s="8">
        <v>16</v>
      </c>
      <c r="Z67" s="8">
        <v>9</v>
      </c>
      <c r="AA67" s="8">
        <v>10</v>
      </c>
      <c r="AB67" s="8">
        <v>7</v>
      </c>
      <c r="AC67" s="18">
        <f t="shared" ref="AC67:AC98" si="12">+Q67-R67</f>
        <v>14</v>
      </c>
      <c r="AD67" s="18">
        <f t="shared" ref="AD67:AD98" si="13">+S67-T67</f>
        <v>17</v>
      </c>
      <c r="AE67" s="18">
        <f t="shared" ref="AE67:AE98" si="14">+U67-V67</f>
        <v>11</v>
      </c>
      <c r="AF67" s="18">
        <f t="shared" ref="AF67:AF98" si="15">+W67-X67</f>
        <v>3</v>
      </c>
      <c r="AG67" s="18">
        <f t="shared" ref="AG67:AG98" si="16">+Y67-Z67</f>
        <v>7</v>
      </c>
      <c r="AH67" s="18">
        <f t="shared" ref="AH67:AH98" si="17">+AA67-AB67</f>
        <v>3</v>
      </c>
    </row>
    <row r="68" spans="1:34" ht="14.4">
      <c r="A68" s="8" t="s">
        <v>939</v>
      </c>
      <c r="B68" s="8" t="s">
        <v>1071</v>
      </c>
      <c r="C68" s="8" t="s">
        <v>60</v>
      </c>
      <c r="D68" s="8" t="s">
        <v>7</v>
      </c>
      <c r="E68" s="8" t="s">
        <v>53</v>
      </c>
      <c r="F68" s="8" t="s">
        <v>10</v>
      </c>
      <c r="G68" s="8" t="s">
        <v>3</v>
      </c>
      <c r="H68" s="8" t="s">
        <v>57</v>
      </c>
      <c r="I68" s="8" t="s">
        <v>40</v>
      </c>
      <c r="J68" s="8" t="s">
        <v>41</v>
      </c>
      <c r="K68" s="19" t="s">
        <v>44</v>
      </c>
      <c r="L68" s="19" t="s">
        <v>62</v>
      </c>
      <c r="M68" s="8" t="s">
        <v>1198</v>
      </c>
      <c r="N68" s="8">
        <v>249</v>
      </c>
      <c r="O68" s="8">
        <v>144</v>
      </c>
      <c r="P68" s="8">
        <v>105</v>
      </c>
      <c r="Q68" s="8">
        <v>53</v>
      </c>
      <c r="R68" s="8">
        <v>24</v>
      </c>
      <c r="S68" s="8">
        <v>63</v>
      </c>
      <c r="T68" s="8">
        <v>40</v>
      </c>
      <c r="U68" s="8">
        <v>35</v>
      </c>
      <c r="V68" s="8">
        <v>24</v>
      </c>
      <c r="W68" s="8">
        <v>44</v>
      </c>
      <c r="X68" s="8">
        <v>23</v>
      </c>
      <c r="Y68" s="8">
        <v>33</v>
      </c>
      <c r="Z68" s="8">
        <v>17</v>
      </c>
      <c r="AA68" s="8">
        <v>21</v>
      </c>
      <c r="AB68" s="8">
        <v>16</v>
      </c>
      <c r="AC68" s="18">
        <f t="shared" si="12"/>
        <v>29</v>
      </c>
      <c r="AD68" s="18">
        <f t="shared" si="13"/>
        <v>23</v>
      </c>
      <c r="AE68" s="18">
        <f t="shared" si="14"/>
        <v>11</v>
      </c>
      <c r="AF68" s="18">
        <f t="shared" si="15"/>
        <v>21</v>
      </c>
      <c r="AG68" s="18">
        <f t="shared" si="16"/>
        <v>16</v>
      </c>
      <c r="AH68" s="18">
        <f t="shared" si="17"/>
        <v>5</v>
      </c>
    </row>
    <row r="69" spans="1:34" ht="14.4">
      <c r="A69" s="8" t="s">
        <v>940</v>
      </c>
      <c r="B69" s="8" t="s">
        <v>1072</v>
      </c>
      <c r="C69" s="8" t="s">
        <v>17</v>
      </c>
      <c r="D69" s="8" t="s">
        <v>5</v>
      </c>
      <c r="E69" s="8" t="s">
        <v>53</v>
      </c>
      <c r="F69" s="8" t="s">
        <v>11</v>
      </c>
      <c r="G69" s="8" t="s">
        <v>2</v>
      </c>
      <c r="H69" s="8" t="s">
        <v>1280</v>
      </c>
      <c r="I69" s="8" t="s">
        <v>40</v>
      </c>
      <c r="J69" s="8" t="s">
        <v>40</v>
      </c>
      <c r="K69" s="19" t="s">
        <v>44</v>
      </c>
      <c r="L69" s="19" t="s">
        <v>62</v>
      </c>
      <c r="M69" s="8" t="s">
        <v>1199</v>
      </c>
      <c r="N69" s="8">
        <v>328</v>
      </c>
      <c r="O69" s="8">
        <v>167</v>
      </c>
      <c r="P69" s="8">
        <v>161</v>
      </c>
      <c r="Q69" s="8">
        <v>95</v>
      </c>
      <c r="R69" s="8">
        <v>48</v>
      </c>
      <c r="S69" s="8">
        <v>77</v>
      </c>
      <c r="T69" s="8">
        <v>39</v>
      </c>
      <c r="U69" s="8">
        <v>33</v>
      </c>
      <c r="V69" s="8">
        <v>17</v>
      </c>
      <c r="W69" s="8">
        <v>81</v>
      </c>
      <c r="X69" s="8">
        <v>41</v>
      </c>
      <c r="Y69" s="8">
        <v>33</v>
      </c>
      <c r="Z69" s="8">
        <v>17</v>
      </c>
      <c r="AA69" s="8">
        <v>9</v>
      </c>
      <c r="AB69" s="8">
        <v>5</v>
      </c>
      <c r="AC69" s="18">
        <f t="shared" si="12"/>
        <v>47</v>
      </c>
      <c r="AD69" s="18">
        <f t="shared" si="13"/>
        <v>38</v>
      </c>
      <c r="AE69" s="18">
        <f t="shared" si="14"/>
        <v>16</v>
      </c>
      <c r="AF69" s="18">
        <f t="shared" si="15"/>
        <v>40</v>
      </c>
      <c r="AG69" s="18">
        <f t="shared" si="16"/>
        <v>16</v>
      </c>
      <c r="AH69" s="18">
        <f t="shared" si="17"/>
        <v>4</v>
      </c>
    </row>
    <row r="70" spans="1:34" ht="14.4">
      <c r="A70" s="8" t="s">
        <v>941</v>
      </c>
      <c r="B70" s="8" t="s">
        <v>1073</v>
      </c>
      <c r="C70" s="8" t="s">
        <v>60</v>
      </c>
      <c r="D70" s="8" t="s">
        <v>12</v>
      </c>
      <c r="E70" s="8" t="s">
        <v>53</v>
      </c>
      <c r="F70" s="8" t="s">
        <v>12</v>
      </c>
      <c r="G70" s="8" t="s">
        <v>3</v>
      </c>
      <c r="H70" s="8" t="s">
        <v>142</v>
      </c>
      <c r="I70" s="8" t="s">
        <v>40</v>
      </c>
      <c r="J70" s="8" t="s">
        <v>41</v>
      </c>
      <c r="K70" s="19" t="s">
        <v>44</v>
      </c>
      <c r="L70" s="19" t="s">
        <v>62</v>
      </c>
      <c r="M70" s="8" t="s">
        <v>1200</v>
      </c>
      <c r="N70" s="8">
        <v>381</v>
      </c>
      <c r="O70" s="8">
        <v>213</v>
      </c>
      <c r="P70" s="8">
        <v>168</v>
      </c>
      <c r="Q70" s="8">
        <v>85</v>
      </c>
      <c r="R70" s="8">
        <v>47</v>
      </c>
      <c r="S70" s="8">
        <v>83</v>
      </c>
      <c r="T70" s="8">
        <v>49</v>
      </c>
      <c r="U70" s="8">
        <v>51</v>
      </c>
      <c r="V70" s="8">
        <v>31</v>
      </c>
      <c r="W70" s="8">
        <v>81</v>
      </c>
      <c r="X70" s="8">
        <v>46</v>
      </c>
      <c r="Y70" s="8">
        <v>62</v>
      </c>
      <c r="Z70" s="8">
        <v>32</v>
      </c>
      <c r="AA70" s="8">
        <v>19</v>
      </c>
      <c r="AB70" s="8">
        <v>8</v>
      </c>
      <c r="AC70" s="18">
        <f t="shared" si="12"/>
        <v>38</v>
      </c>
      <c r="AD70" s="18">
        <f t="shared" si="13"/>
        <v>34</v>
      </c>
      <c r="AE70" s="18">
        <f t="shared" si="14"/>
        <v>20</v>
      </c>
      <c r="AF70" s="18">
        <f t="shared" si="15"/>
        <v>35</v>
      </c>
      <c r="AG70" s="18">
        <f t="shared" si="16"/>
        <v>30</v>
      </c>
      <c r="AH70" s="18">
        <f t="shared" si="17"/>
        <v>11</v>
      </c>
    </row>
    <row r="71" spans="1:34" ht="14.4">
      <c r="A71" s="8" t="s">
        <v>942</v>
      </c>
      <c r="B71" s="8" t="s">
        <v>1074</v>
      </c>
      <c r="C71" s="8" t="s">
        <v>99</v>
      </c>
      <c r="D71" s="8" t="s">
        <v>2</v>
      </c>
      <c r="E71" s="8" t="s">
        <v>49</v>
      </c>
      <c r="F71" s="8" t="s">
        <v>2</v>
      </c>
      <c r="G71" s="8" t="s">
        <v>2</v>
      </c>
      <c r="H71" s="8" t="s">
        <v>1281</v>
      </c>
      <c r="I71" s="8" t="s">
        <v>40</v>
      </c>
      <c r="J71" s="8" t="s">
        <v>40</v>
      </c>
      <c r="K71" s="19" t="s">
        <v>41</v>
      </c>
      <c r="L71" s="19" t="s">
        <v>62</v>
      </c>
      <c r="M71" s="8" t="s">
        <v>1201</v>
      </c>
      <c r="N71" s="8">
        <v>278</v>
      </c>
      <c r="O71" s="8">
        <v>155</v>
      </c>
      <c r="P71" s="8">
        <v>123</v>
      </c>
      <c r="Q71" s="8">
        <v>39</v>
      </c>
      <c r="R71" s="8">
        <v>18</v>
      </c>
      <c r="S71" s="8">
        <v>58</v>
      </c>
      <c r="T71" s="8">
        <v>25</v>
      </c>
      <c r="U71" s="8">
        <v>44</v>
      </c>
      <c r="V71" s="8">
        <v>28</v>
      </c>
      <c r="W71" s="8">
        <v>72</v>
      </c>
      <c r="X71" s="8">
        <v>46</v>
      </c>
      <c r="Y71" s="8">
        <v>61</v>
      </c>
      <c r="Z71" s="8">
        <v>37</v>
      </c>
      <c r="AA71" s="8">
        <v>4</v>
      </c>
      <c r="AB71" s="8">
        <v>1</v>
      </c>
      <c r="AC71" s="18">
        <f t="shared" si="12"/>
        <v>21</v>
      </c>
      <c r="AD71" s="18">
        <f t="shared" si="13"/>
        <v>33</v>
      </c>
      <c r="AE71" s="18">
        <f t="shared" si="14"/>
        <v>16</v>
      </c>
      <c r="AF71" s="18">
        <f t="shared" si="15"/>
        <v>26</v>
      </c>
      <c r="AG71" s="18">
        <f t="shared" si="16"/>
        <v>24</v>
      </c>
      <c r="AH71" s="18">
        <f t="shared" si="17"/>
        <v>3</v>
      </c>
    </row>
    <row r="72" spans="1:34" ht="14.4">
      <c r="A72" s="8" t="s">
        <v>943</v>
      </c>
      <c r="B72" s="8" t="s">
        <v>1075</v>
      </c>
      <c r="C72" s="8" t="s">
        <v>99</v>
      </c>
      <c r="D72" s="8" t="s">
        <v>4</v>
      </c>
      <c r="E72" s="8" t="s">
        <v>49</v>
      </c>
      <c r="F72" s="8" t="s">
        <v>2</v>
      </c>
      <c r="G72" s="8" t="s">
        <v>3</v>
      </c>
      <c r="H72" s="8" t="s">
        <v>1282</v>
      </c>
      <c r="I72" s="8" t="s">
        <v>40</v>
      </c>
      <c r="J72" s="8" t="s">
        <v>41</v>
      </c>
      <c r="K72" s="19" t="s">
        <v>41</v>
      </c>
      <c r="L72" s="19" t="s">
        <v>62</v>
      </c>
      <c r="M72" s="8" t="s">
        <v>2289</v>
      </c>
      <c r="N72" s="8">
        <v>267</v>
      </c>
      <c r="O72" s="8">
        <v>165</v>
      </c>
      <c r="P72" s="8">
        <v>102</v>
      </c>
      <c r="Q72" s="8">
        <v>86</v>
      </c>
      <c r="R72" s="8">
        <v>49</v>
      </c>
      <c r="S72" s="8">
        <v>61</v>
      </c>
      <c r="T72" s="8">
        <v>45</v>
      </c>
      <c r="U72" s="8">
        <v>40</v>
      </c>
      <c r="V72" s="8">
        <v>27</v>
      </c>
      <c r="W72" s="8">
        <v>57</v>
      </c>
      <c r="X72" s="8">
        <v>29</v>
      </c>
      <c r="Y72" s="8">
        <v>17</v>
      </c>
      <c r="Z72" s="8">
        <v>12</v>
      </c>
      <c r="AA72" s="8">
        <v>6</v>
      </c>
      <c r="AB72" s="8">
        <v>3</v>
      </c>
      <c r="AC72" s="18">
        <f t="shared" si="12"/>
        <v>37</v>
      </c>
      <c r="AD72" s="18">
        <f t="shared" si="13"/>
        <v>16</v>
      </c>
      <c r="AE72" s="18">
        <f t="shared" si="14"/>
        <v>13</v>
      </c>
      <c r="AF72" s="18">
        <f t="shared" si="15"/>
        <v>28</v>
      </c>
      <c r="AG72" s="18">
        <f t="shared" si="16"/>
        <v>5</v>
      </c>
      <c r="AH72" s="18">
        <f t="shared" si="17"/>
        <v>3</v>
      </c>
    </row>
    <row r="73" spans="1:34" ht="14.4">
      <c r="A73" s="8" t="s">
        <v>944</v>
      </c>
      <c r="B73" s="8" t="s">
        <v>1076</v>
      </c>
      <c r="C73" s="8" t="s">
        <v>141</v>
      </c>
      <c r="D73" s="8" t="s">
        <v>2</v>
      </c>
      <c r="E73" s="8" t="s">
        <v>49</v>
      </c>
      <c r="F73" s="8" t="s">
        <v>3</v>
      </c>
      <c r="G73" s="8" t="s">
        <v>2</v>
      </c>
      <c r="H73" s="8" t="s">
        <v>1283</v>
      </c>
      <c r="I73" s="8" t="s">
        <v>40</v>
      </c>
      <c r="J73" s="8" t="s">
        <v>40</v>
      </c>
      <c r="K73" s="19" t="s">
        <v>44</v>
      </c>
      <c r="L73" s="19" t="s">
        <v>62</v>
      </c>
      <c r="M73" s="8" t="s">
        <v>2291</v>
      </c>
      <c r="N73" s="8">
        <v>737</v>
      </c>
      <c r="O73" s="8">
        <v>444</v>
      </c>
      <c r="P73" s="8">
        <v>293</v>
      </c>
      <c r="Q73" s="8">
        <v>228</v>
      </c>
      <c r="R73" s="8">
        <v>132</v>
      </c>
      <c r="S73" s="8">
        <v>167</v>
      </c>
      <c r="T73" s="8">
        <v>103</v>
      </c>
      <c r="U73" s="8">
        <v>116</v>
      </c>
      <c r="V73" s="8">
        <v>61</v>
      </c>
      <c r="W73" s="8">
        <v>95</v>
      </c>
      <c r="X73" s="8">
        <v>72</v>
      </c>
      <c r="Y73" s="8">
        <v>99</v>
      </c>
      <c r="Z73" s="8">
        <v>54</v>
      </c>
      <c r="AA73" s="8">
        <v>32</v>
      </c>
      <c r="AB73" s="8">
        <v>22</v>
      </c>
      <c r="AC73" s="18">
        <f t="shared" si="12"/>
        <v>96</v>
      </c>
      <c r="AD73" s="18">
        <f t="shared" si="13"/>
        <v>64</v>
      </c>
      <c r="AE73" s="18">
        <f t="shared" si="14"/>
        <v>55</v>
      </c>
      <c r="AF73" s="18">
        <f t="shared" si="15"/>
        <v>23</v>
      </c>
      <c r="AG73" s="18">
        <f t="shared" si="16"/>
        <v>45</v>
      </c>
      <c r="AH73" s="18">
        <f t="shared" si="17"/>
        <v>10</v>
      </c>
    </row>
    <row r="74" spans="1:34" ht="14.4">
      <c r="A74" s="8" t="s">
        <v>945</v>
      </c>
      <c r="B74" s="8" t="s">
        <v>1077</v>
      </c>
      <c r="C74" s="8" t="s">
        <v>99</v>
      </c>
      <c r="D74" s="8" t="s">
        <v>5</v>
      </c>
      <c r="E74" s="8" t="s">
        <v>49</v>
      </c>
      <c r="F74" s="8" t="s">
        <v>4</v>
      </c>
      <c r="G74" s="8" t="s">
        <v>2</v>
      </c>
      <c r="H74" s="8" t="s">
        <v>115</v>
      </c>
      <c r="I74" s="8" t="s">
        <v>40</v>
      </c>
      <c r="J74" s="8" t="s">
        <v>40</v>
      </c>
      <c r="K74" s="19" t="s">
        <v>44</v>
      </c>
      <c r="L74" s="19" t="s">
        <v>62</v>
      </c>
      <c r="M74" s="8" t="s">
        <v>2292</v>
      </c>
      <c r="N74" s="8">
        <v>215</v>
      </c>
      <c r="O74" s="8">
        <v>114</v>
      </c>
      <c r="P74" s="8">
        <v>101</v>
      </c>
      <c r="Q74" s="8">
        <v>47</v>
      </c>
      <c r="R74" s="8">
        <v>15</v>
      </c>
      <c r="S74" s="8">
        <v>48</v>
      </c>
      <c r="T74" s="8">
        <v>30</v>
      </c>
      <c r="U74" s="8">
        <v>54</v>
      </c>
      <c r="V74" s="8">
        <v>24</v>
      </c>
      <c r="W74" s="8">
        <v>15</v>
      </c>
      <c r="X74" s="8">
        <v>10</v>
      </c>
      <c r="Y74" s="8">
        <v>45</v>
      </c>
      <c r="Z74" s="8">
        <v>30</v>
      </c>
      <c r="AA74" s="8">
        <v>6</v>
      </c>
      <c r="AB74" s="8">
        <v>5</v>
      </c>
      <c r="AC74" s="18">
        <f t="shared" si="12"/>
        <v>32</v>
      </c>
      <c r="AD74" s="18">
        <f t="shared" si="13"/>
        <v>18</v>
      </c>
      <c r="AE74" s="18">
        <f t="shared" si="14"/>
        <v>30</v>
      </c>
      <c r="AF74" s="18">
        <f t="shared" si="15"/>
        <v>5</v>
      </c>
      <c r="AG74" s="18">
        <f t="shared" si="16"/>
        <v>15</v>
      </c>
      <c r="AH74" s="18">
        <f t="shared" si="17"/>
        <v>1</v>
      </c>
    </row>
    <row r="75" spans="1:34" ht="14.4">
      <c r="A75" s="8" t="s">
        <v>946</v>
      </c>
      <c r="B75" s="8" t="s">
        <v>1078</v>
      </c>
      <c r="C75" s="8" t="s">
        <v>180</v>
      </c>
      <c r="D75" s="8" t="s">
        <v>2</v>
      </c>
      <c r="E75" s="8" t="s">
        <v>49</v>
      </c>
      <c r="F75" s="8" t="s">
        <v>5</v>
      </c>
      <c r="G75" s="8" t="s">
        <v>2</v>
      </c>
      <c r="H75" s="8" t="s">
        <v>2320</v>
      </c>
      <c r="I75" s="8" t="s">
        <v>40</v>
      </c>
      <c r="J75" s="8" t="s">
        <v>41</v>
      </c>
      <c r="K75" s="19" t="s">
        <v>40</v>
      </c>
      <c r="L75" s="19" t="s">
        <v>62</v>
      </c>
      <c r="M75" s="8" t="s">
        <v>1202</v>
      </c>
      <c r="N75" s="8">
        <v>176</v>
      </c>
      <c r="O75" s="8">
        <v>104</v>
      </c>
      <c r="P75" s="8">
        <v>72</v>
      </c>
      <c r="Q75" s="8">
        <v>94</v>
      </c>
      <c r="R75" s="8">
        <v>50</v>
      </c>
      <c r="S75" s="8">
        <v>26</v>
      </c>
      <c r="T75" s="8">
        <v>18</v>
      </c>
      <c r="U75" s="8">
        <v>15</v>
      </c>
      <c r="V75" s="8">
        <v>12</v>
      </c>
      <c r="W75" s="8">
        <v>22</v>
      </c>
      <c r="X75" s="8">
        <v>12</v>
      </c>
      <c r="Y75" s="8">
        <v>11</v>
      </c>
      <c r="Z75" s="8">
        <v>7</v>
      </c>
      <c r="AA75" s="8">
        <v>8</v>
      </c>
      <c r="AB75" s="8">
        <v>5</v>
      </c>
      <c r="AC75" s="18">
        <f t="shared" si="12"/>
        <v>44</v>
      </c>
      <c r="AD75" s="18">
        <f t="shared" si="13"/>
        <v>8</v>
      </c>
      <c r="AE75" s="18">
        <f t="shared" si="14"/>
        <v>3</v>
      </c>
      <c r="AF75" s="18">
        <f t="shared" si="15"/>
        <v>10</v>
      </c>
      <c r="AG75" s="18">
        <f t="shared" si="16"/>
        <v>4</v>
      </c>
      <c r="AH75" s="18">
        <f t="shared" si="17"/>
        <v>3</v>
      </c>
    </row>
    <row r="76" spans="1:34" ht="14.4">
      <c r="A76" s="8" t="s">
        <v>947</v>
      </c>
      <c r="B76" s="8" t="s">
        <v>1079</v>
      </c>
      <c r="C76" s="8" t="s">
        <v>99</v>
      </c>
      <c r="D76" s="8" t="s">
        <v>11</v>
      </c>
      <c r="E76" s="8" t="s">
        <v>49</v>
      </c>
      <c r="F76" s="8" t="s">
        <v>6</v>
      </c>
      <c r="G76" s="8" t="s">
        <v>3</v>
      </c>
      <c r="H76" s="8" t="s">
        <v>156</v>
      </c>
      <c r="I76" s="8" t="s">
        <v>40</v>
      </c>
      <c r="J76" s="8" t="s">
        <v>40</v>
      </c>
      <c r="K76" s="19" t="s">
        <v>41</v>
      </c>
      <c r="L76" s="19" t="s">
        <v>62</v>
      </c>
      <c r="M76" s="8" t="s">
        <v>1203</v>
      </c>
      <c r="N76" s="8">
        <v>565</v>
      </c>
      <c r="O76" s="8">
        <v>303</v>
      </c>
      <c r="P76" s="8">
        <v>262</v>
      </c>
      <c r="Q76" s="8">
        <v>101</v>
      </c>
      <c r="R76" s="8">
        <v>55</v>
      </c>
      <c r="S76" s="8">
        <v>155</v>
      </c>
      <c r="T76" s="8">
        <v>82</v>
      </c>
      <c r="U76" s="8">
        <v>66</v>
      </c>
      <c r="V76" s="8">
        <v>39</v>
      </c>
      <c r="W76" s="8">
        <v>117</v>
      </c>
      <c r="X76" s="8">
        <v>65</v>
      </c>
      <c r="Y76" s="8">
        <v>72</v>
      </c>
      <c r="Z76" s="8">
        <v>35</v>
      </c>
      <c r="AA76" s="8">
        <v>54</v>
      </c>
      <c r="AB76" s="8">
        <v>27</v>
      </c>
      <c r="AC76" s="18">
        <f t="shared" si="12"/>
        <v>46</v>
      </c>
      <c r="AD76" s="18">
        <f t="shared" si="13"/>
        <v>73</v>
      </c>
      <c r="AE76" s="18">
        <f t="shared" si="14"/>
        <v>27</v>
      </c>
      <c r="AF76" s="18">
        <f t="shared" si="15"/>
        <v>52</v>
      </c>
      <c r="AG76" s="18">
        <f t="shared" si="16"/>
        <v>37</v>
      </c>
      <c r="AH76" s="18">
        <f t="shared" si="17"/>
        <v>27</v>
      </c>
    </row>
    <row r="77" spans="1:34" ht="14.4">
      <c r="A77" s="8" t="s">
        <v>85</v>
      </c>
      <c r="B77" s="8" t="s">
        <v>1080</v>
      </c>
      <c r="C77" s="8" t="s">
        <v>141</v>
      </c>
      <c r="D77" s="8" t="s">
        <v>5</v>
      </c>
      <c r="E77" s="8" t="s">
        <v>49</v>
      </c>
      <c r="F77" s="8" t="s">
        <v>7</v>
      </c>
      <c r="G77" s="8" t="s">
        <v>2</v>
      </c>
      <c r="H77" s="8" t="s">
        <v>786</v>
      </c>
      <c r="I77" s="8" t="s">
        <v>40</v>
      </c>
      <c r="J77" s="8" t="s">
        <v>40</v>
      </c>
      <c r="K77" s="19" t="s">
        <v>44</v>
      </c>
      <c r="L77" s="19" t="s">
        <v>62</v>
      </c>
      <c r="M77" s="8" t="s">
        <v>2293</v>
      </c>
      <c r="N77" s="8">
        <v>262</v>
      </c>
      <c r="O77" s="8">
        <v>144</v>
      </c>
      <c r="P77" s="8">
        <v>118</v>
      </c>
      <c r="Q77" s="8">
        <v>59</v>
      </c>
      <c r="R77" s="8">
        <v>35</v>
      </c>
      <c r="S77" s="8">
        <v>85</v>
      </c>
      <c r="T77" s="8">
        <v>47</v>
      </c>
      <c r="U77" s="8">
        <v>40</v>
      </c>
      <c r="V77" s="8">
        <v>24</v>
      </c>
      <c r="W77" s="8">
        <v>49</v>
      </c>
      <c r="X77" s="8">
        <v>22</v>
      </c>
      <c r="Y77" s="8">
        <v>23</v>
      </c>
      <c r="Z77" s="8">
        <v>13</v>
      </c>
      <c r="AA77" s="8">
        <v>6</v>
      </c>
      <c r="AB77" s="8">
        <v>3</v>
      </c>
      <c r="AC77" s="18">
        <f t="shared" si="12"/>
        <v>24</v>
      </c>
      <c r="AD77" s="18">
        <f t="shared" si="13"/>
        <v>38</v>
      </c>
      <c r="AE77" s="18">
        <f t="shared" si="14"/>
        <v>16</v>
      </c>
      <c r="AF77" s="18">
        <f t="shared" si="15"/>
        <v>27</v>
      </c>
      <c r="AG77" s="18">
        <f t="shared" si="16"/>
        <v>10</v>
      </c>
      <c r="AH77" s="18">
        <f t="shared" si="17"/>
        <v>3</v>
      </c>
    </row>
    <row r="78" spans="1:34" ht="14.4">
      <c r="A78" s="8" t="s">
        <v>948</v>
      </c>
      <c r="B78" s="8" t="s">
        <v>1081</v>
      </c>
      <c r="C78" s="8" t="s">
        <v>17</v>
      </c>
      <c r="D78" s="8" t="s">
        <v>6</v>
      </c>
      <c r="E78" s="8" t="s">
        <v>53</v>
      </c>
      <c r="F78" s="8" t="s">
        <v>15</v>
      </c>
      <c r="G78" s="8" t="s">
        <v>2</v>
      </c>
      <c r="H78" s="8" t="s">
        <v>123</v>
      </c>
      <c r="I78" s="8" t="s">
        <v>40</v>
      </c>
      <c r="J78" s="8" t="s">
        <v>40</v>
      </c>
      <c r="K78" s="19" t="s">
        <v>40</v>
      </c>
      <c r="L78" s="19" t="s">
        <v>62</v>
      </c>
      <c r="M78" s="8" t="s">
        <v>1204</v>
      </c>
      <c r="N78" s="8">
        <v>492</v>
      </c>
      <c r="O78" s="8">
        <v>248</v>
      </c>
      <c r="P78" s="8">
        <v>244</v>
      </c>
      <c r="Q78" s="8">
        <v>158</v>
      </c>
      <c r="R78" s="8">
        <v>78</v>
      </c>
      <c r="S78" s="8">
        <v>114</v>
      </c>
      <c r="T78" s="8">
        <v>64</v>
      </c>
      <c r="U78" s="8">
        <v>88</v>
      </c>
      <c r="V78" s="8">
        <v>37</v>
      </c>
      <c r="W78" s="8">
        <v>74</v>
      </c>
      <c r="X78" s="8">
        <v>29</v>
      </c>
      <c r="Y78" s="8">
        <v>52</v>
      </c>
      <c r="Z78" s="8">
        <v>37</v>
      </c>
      <c r="AA78" s="8">
        <v>6</v>
      </c>
      <c r="AB78" s="8">
        <v>3</v>
      </c>
      <c r="AC78" s="18">
        <f t="shared" si="12"/>
        <v>80</v>
      </c>
      <c r="AD78" s="18">
        <f t="shared" si="13"/>
        <v>50</v>
      </c>
      <c r="AE78" s="18">
        <f t="shared" si="14"/>
        <v>51</v>
      </c>
      <c r="AF78" s="18">
        <f t="shared" si="15"/>
        <v>45</v>
      </c>
      <c r="AG78" s="18">
        <f t="shared" si="16"/>
        <v>15</v>
      </c>
      <c r="AH78" s="18">
        <f t="shared" si="17"/>
        <v>3</v>
      </c>
    </row>
    <row r="79" spans="1:34" ht="14.4">
      <c r="A79" s="8" t="s">
        <v>949</v>
      </c>
      <c r="B79" s="8" t="s">
        <v>1082</v>
      </c>
      <c r="C79" s="8" t="s">
        <v>140</v>
      </c>
      <c r="D79" s="8" t="s">
        <v>2</v>
      </c>
      <c r="E79" s="8" t="s">
        <v>40</v>
      </c>
      <c r="F79" s="8" t="s">
        <v>4</v>
      </c>
      <c r="G79" s="8" t="s">
        <v>12</v>
      </c>
      <c r="H79" s="8" t="s">
        <v>111</v>
      </c>
      <c r="I79" s="8" t="s">
        <v>40</v>
      </c>
      <c r="J79" s="8" t="s">
        <v>40</v>
      </c>
      <c r="K79" s="19" t="s">
        <v>41</v>
      </c>
      <c r="L79" s="19" t="s">
        <v>62</v>
      </c>
      <c r="M79" s="8" t="s">
        <v>1205</v>
      </c>
      <c r="N79" s="8">
        <v>250</v>
      </c>
      <c r="O79" s="8">
        <v>148</v>
      </c>
      <c r="P79" s="8">
        <v>102</v>
      </c>
      <c r="Q79" s="8">
        <v>45</v>
      </c>
      <c r="R79" s="8">
        <v>25</v>
      </c>
      <c r="S79" s="8">
        <v>46</v>
      </c>
      <c r="T79" s="8">
        <v>25</v>
      </c>
      <c r="U79" s="8">
        <v>34</v>
      </c>
      <c r="V79" s="8">
        <v>17</v>
      </c>
      <c r="W79" s="8">
        <v>77</v>
      </c>
      <c r="X79" s="8">
        <v>45</v>
      </c>
      <c r="Y79" s="8">
        <v>29</v>
      </c>
      <c r="Z79" s="8">
        <v>20</v>
      </c>
      <c r="AA79" s="8">
        <v>19</v>
      </c>
      <c r="AB79" s="8">
        <v>16</v>
      </c>
      <c r="AC79" s="18">
        <f t="shared" si="12"/>
        <v>20</v>
      </c>
      <c r="AD79" s="18">
        <f t="shared" si="13"/>
        <v>21</v>
      </c>
      <c r="AE79" s="18">
        <f t="shared" si="14"/>
        <v>17</v>
      </c>
      <c r="AF79" s="18">
        <f t="shared" si="15"/>
        <v>32</v>
      </c>
      <c r="AG79" s="18">
        <f t="shared" si="16"/>
        <v>9</v>
      </c>
      <c r="AH79" s="18">
        <f t="shared" si="17"/>
        <v>3</v>
      </c>
    </row>
    <row r="80" spans="1:34" ht="14.4">
      <c r="A80" s="8" t="s">
        <v>950</v>
      </c>
      <c r="B80" s="8" t="s">
        <v>1083</v>
      </c>
      <c r="C80" s="8" t="s">
        <v>8</v>
      </c>
      <c r="D80" s="8" t="s">
        <v>8</v>
      </c>
      <c r="E80" s="8" t="s">
        <v>62</v>
      </c>
      <c r="F80" s="8" t="s">
        <v>10</v>
      </c>
      <c r="G80" s="8" t="s">
        <v>2</v>
      </c>
      <c r="H80" s="8" t="s">
        <v>1284</v>
      </c>
      <c r="I80" s="8" t="s">
        <v>40</v>
      </c>
      <c r="J80" s="8" t="s">
        <v>40</v>
      </c>
      <c r="K80" s="19" t="s">
        <v>41</v>
      </c>
      <c r="L80" s="19" t="s">
        <v>62</v>
      </c>
      <c r="M80" s="8" t="s">
        <v>1206</v>
      </c>
      <c r="N80" s="8">
        <v>32</v>
      </c>
      <c r="O80" s="8">
        <v>12</v>
      </c>
      <c r="P80" s="8">
        <v>20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8</v>
      </c>
      <c r="X80" s="8">
        <v>4</v>
      </c>
      <c r="Y80" s="8">
        <v>13</v>
      </c>
      <c r="Z80" s="8">
        <v>4</v>
      </c>
      <c r="AA80" s="8">
        <v>11</v>
      </c>
      <c r="AB80" s="8">
        <v>4</v>
      </c>
      <c r="AC80" s="18">
        <f t="shared" si="12"/>
        <v>0</v>
      </c>
      <c r="AD80" s="18">
        <f t="shared" si="13"/>
        <v>0</v>
      </c>
      <c r="AE80" s="18">
        <f t="shared" si="14"/>
        <v>0</v>
      </c>
      <c r="AF80" s="18">
        <f t="shared" si="15"/>
        <v>4</v>
      </c>
      <c r="AG80" s="18">
        <f t="shared" si="16"/>
        <v>9</v>
      </c>
      <c r="AH80" s="18">
        <f t="shared" si="17"/>
        <v>7</v>
      </c>
    </row>
    <row r="81" spans="1:34" ht="14.4">
      <c r="A81" s="8" t="s">
        <v>951</v>
      </c>
      <c r="B81" s="8" t="s">
        <v>1084</v>
      </c>
      <c r="C81" s="8" t="s">
        <v>15</v>
      </c>
      <c r="D81" s="8" t="s">
        <v>3</v>
      </c>
      <c r="E81" s="8" t="s">
        <v>68</v>
      </c>
      <c r="F81" s="8" t="s">
        <v>8</v>
      </c>
      <c r="G81" s="8" t="s">
        <v>2</v>
      </c>
      <c r="H81" s="8" t="s">
        <v>1285</v>
      </c>
      <c r="I81" s="8" t="s">
        <v>40</v>
      </c>
      <c r="J81" s="8" t="s">
        <v>41</v>
      </c>
      <c r="K81" s="19" t="s">
        <v>41</v>
      </c>
      <c r="L81" s="19" t="s">
        <v>62</v>
      </c>
      <c r="M81" s="8" t="s">
        <v>1207</v>
      </c>
      <c r="N81" s="8">
        <v>221</v>
      </c>
      <c r="O81" s="8">
        <v>139</v>
      </c>
      <c r="P81" s="8">
        <v>82</v>
      </c>
      <c r="Q81" s="8">
        <v>80</v>
      </c>
      <c r="R81" s="8">
        <v>46</v>
      </c>
      <c r="S81" s="8">
        <v>46</v>
      </c>
      <c r="T81" s="8">
        <v>25</v>
      </c>
      <c r="U81" s="8">
        <v>21</v>
      </c>
      <c r="V81" s="8">
        <v>15</v>
      </c>
      <c r="W81" s="8">
        <v>44</v>
      </c>
      <c r="X81" s="8">
        <v>32</v>
      </c>
      <c r="Y81" s="8">
        <v>18</v>
      </c>
      <c r="Z81" s="8">
        <v>13</v>
      </c>
      <c r="AA81" s="8">
        <v>12</v>
      </c>
      <c r="AB81" s="8">
        <v>8</v>
      </c>
      <c r="AC81" s="18">
        <f t="shared" si="12"/>
        <v>34</v>
      </c>
      <c r="AD81" s="18">
        <f t="shared" si="13"/>
        <v>21</v>
      </c>
      <c r="AE81" s="18">
        <f t="shared" si="14"/>
        <v>6</v>
      </c>
      <c r="AF81" s="18">
        <f t="shared" si="15"/>
        <v>12</v>
      </c>
      <c r="AG81" s="18">
        <f t="shared" si="16"/>
        <v>5</v>
      </c>
      <c r="AH81" s="18">
        <f t="shared" si="17"/>
        <v>4</v>
      </c>
    </row>
    <row r="82" spans="1:34" ht="14.4">
      <c r="A82" s="8" t="s">
        <v>952</v>
      </c>
      <c r="B82" s="8" t="s">
        <v>1085</v>
      </c>
      <c r="C82" s="8" t="s">
        <v>178</v>
      </c>
      <c r="D82" s="8" t="s">
        <v>5</v>
      </c>
      <c r="E82" s="8" t="s">
        <v>40</v>
      </c>
      <c r="F82" s="8" t="s">
        <v>11</v>
      </c>
      <c r="G82" s="8" t="s">
        <v>4</v>
      </c>
      <c r="H82" s="8" t="s">
        <v>1286</v>
      </c>
      <c r="I82" s="8" t="s">
        <v>40</v>
      </c>
      <c r="J82" s="8" t="s">
        <v>40</v>
      </c>
      <c r="K82" s="19" t="s">
        <v>40</v>
      </c>
      <c r="L82" s="19" t="s">
        <v>62</v>
      </c>
      <c r="M82" s="8" t="s">
        <v>2295</v>
      </c>
      <c r="N82" s="8">
        <v>87</v>
      </c>
      <c r="O82" s="8">
        <v>46</v>
      </c>
      <c r="P82" s="8">
        <v>41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69</v>
      </c>
      <c r="X82" s="8">
        <v>35</v>
      </c>
      <c r="Y82" s="8">
        <v>8</v>
      </c>
      <c r="Z82" s="8">
        <v>4</v>
      </c>
      <c r="AA82" s="8">
        <v>10</v>
      </c>
      <c r="AB82" s="8">
        <v>7</v>
      </c>
      <c r="AC82" s="18">
        <f t="shared" si="12"/>
        <v>0</v>
      </c>
      <c r="AD82" s="18">
        <f t="shared" si="13"/>
        <v>0</v>
      </c>
      <c r="AE82" s="18">
        <f t="shared" si="14"/>
        <v>0</v>
      </c>
      <c r="AF82" s="18">
        <f t="shared" si="15"/>
        <v>34</v>
      </c>
      <c r="AG82" s="18">
        <f t="shared" si="16"/>
        <v>4</v>
      </c>
      <c r="AH82" s="18">
        <f t="shared" si="17"/>
        <v>3</v>
      </c>
    </row>
    <row r="83" spans="1:34" ht="14.4">
      <c r="A83" s="8" t="s">
        <v>953</v>
      </c>
      <c r="B83" s="8" t="s">
        <v>1086</v>
      </c>
      <c r="C83" s="8" t="s">
        <v>178</v>
      </c>
      <c r="D83" s="8" t="s">
        <v>4</v>
      </c>
      <c r="E83" s="8" t="s">
        <v>40</v>
      </c>
      <c r="F83" s="8" t="s">
        <v>3</v>
      </c>
      <c r="G83" s="8" t="s">
        <v>2</v>
      </c>
      <c r="H83" s="8" t="s">
        <v>146</v>
      </c>
      <c r="I83" s="8" t="s">
        <v>40</v>
      </c>
      <c r="J83" s="8" t="s">
        <v>40</v>
      </c>
      <c r="K83" s="19" t="s">
        <v>40</v>
      </c>
      <c r="L83" s="19" t="s">
        <v>62</v>
      </c>
      <c r="M83" s="8" t="s">
        <v>1584</v>
      </c>
      <c r="N83" s="8">
        <v>23</v>
      </c>
      <c r="O83" s="8">
        <v>13</v>
      </c>
      <c r="P83" s="8">
        <v>10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10</v>
      </c>
      <c r="X83" s="8">
        <v>7</v>
      </c>
      <c r="Y83" s="8">
        <v>12</v>
      </c>
      <c r="Z83" s="8">
        <v>6</v>
      </c>
      <c r="AA83" s="8">
        <v>1</v>
      </c>
      <c r="AB83" s="8">
        <v>0</v>
      </c>
      <c r="AC83" s="18">
        <f t="shared" si="12"/>
        <v>0</v>
      </c>
      <c r="AD83" s="18">
        <f t="shared" si="13"/>
        <v>0</v>
      </c>
      <c r="AE83" s="18">
        <f t="shared" si="14"/>
        <v>0</v>
      </c>
      <c r="AF83" s="18">
        <f t="shared" si="15"/>
        <v>3</v>
      </c>
      <c r="AG83" s="18">
        <f t="shared" si="16"/>
        <v>6</v>
      </c>
      <c r="AH83" s="18">
        <f t="shared" si="17"/>
        <v>1</v>
      </c>
    </row>
    <row r="84" spans="1:34" ht="14.4">
      <c r="A84" s="8" t="s">
        <v>954</v>
      </c>
      <c r="B84" s="8" t="s">
        <v>1087</v>
      </c>
      <c r="C84" s="8" t="s">
        <v>6</v>
      </c>
      <c r="D84" s="8" t="s">
        <v>8</v>
      </c>
      <c r="E84" s="8" t="s">
        <v>44</v>
      </c>
      <c r="F84" s="8" t="s">
        <v>2</v>
      </c>
      <c r="G84" s="8" t="s">
        <v>15</v>
      </c>
      <c r="H84" s="8" t="s">
        <v>143</v>
      </c>
      <c r="I84" s="8" t="s">
        <v>40</v>
      </c>
      <c r="J84" s="8" t="s">
        <v>40</v>
      </c>
      <c r="K84" s="19" t="s">
        <v>40</v>
      </c>
      <c r="L84" s="19" t="s">
        <v>62</v>
      </c>
      <c r="M84" s="8" t="s">
        <v>1208</v>
      </c>
      <c r="N84" s="8">
        <v>115</v>
      </c>
      <c r="O84" s="8">
        <v>75</v>
      </c>
      <c r="P84" s="8">
        <v>40</v>
      </c>
      <c r="Q84" s="8">
        <v>11</v>
      </c>
      <c r="R84" s="8">
        <v>8</v>
      </c>
      <c r="S84" s="8">
        <v>30</v>
      </c>
      <c r="T84" s="8">
        <v>21</v>
      </c>
      <c r="U84" s="8">
        <v>19</v>
      </c>
      <c r="V84" s="8">
        <v>11</v>
      </c>
      <c r="W84" s="8">
        <v>37</v>
      </c>
      <c r="X84" s="8">
        <v>22</v>
      </c>
      <c r="Y84" s="8">
        <v>15</v>
      </c>
      <c r="Z84" s="8">
        <v>10</v>
      </c>
      <c r="AA84" s="8">
        <v>3</v>
      </c>
      <c r="AB84" s="8">
        <v>3</v>
      </c>
      <c r="AC84" s="18">
        <f t="shared" si="12"/>
        <v>3</v>
      </c>
      <c r="AD84" s="18">
        <f t="shared" si="13"/>
        <v>9</v>
      </c>
      <c r="AE84" s="18">
        <f t="shared" si="14"/>
        <v>8</v>
      </c>
      <c r="AF84" s="18">
        <f t="shared" si="15"/>
        <v>15</v>
      </c>
      <c r="AG84" s="18">
        <f t="shared" si="16"/>
        <v>5</v>
      </c>
      <c r="AH84" s="18">
        <f t="shared" si="17"/>
        <v>0</v>
      </c>
    </row>
    <row r="85" spans="1:34" ht="14.4">
      <c r="A85" s="8" t="s">
        <v>955</v>
      </c>
      <c r="B85" s="8" t="s">
        <v>1088</v>
      </c>
      <c r="C85" s="8" t="s">
        <v>15</v>
      </c>
      <c r="D85" s="8" t="s">
        <v>4</v>
      </c>
      <c r="E85" s="8" t="s">
        <v>68</v>
      </c>
      <c r="F85" s="8" t="s">
        <v>10</v>
      </c>
      <c r="G85" s="8" t="s">
        <v>4</v>
      </c>
      <c r="H85" s="8" t="s">
        <v>154</v>
      </c>
      <c r="I85" s="8" t="s">
        <v>40</v>
      </c>
      <c r="J85" s="8" t="s">
        <v>41</v>
      </c>
      <c r="K85" s="19" t="s">
        <v>40</v>
      </c>
      <c r="L85" s="19" t="s">
        <v>62</v>
      </c>
      <c r="M85" s="8" t="s">
        <v>1209</v>
      </c>
      <c r="N85" s="8">
        <v>74</v>
      </c>
      <c r="O85" s="8">
        <v>49</v>
      </c>
      <c r="P85" s="8">
        <v>25</v>
      </c>
      <c r="Q85" s="8">
        <v>10</v>
      </c>
      <c r="R85" s="8">
        <v>6</v>
      </c>
      <c r="S85" s="8">
        <v>24</v>
      </c>
      <c r="T85" s="8">
        <v>13</v>
      </c>
      <c r="U85" s="8">
        <v>18</v>
      </c>
      <c r="V85" s="8">
        <v>15</v>
      </c>
      <c r="W85" s="8">
        <v>19</v>
      </c>
      <c r="X85" s="8">
        <v>13</v>
      </c>
      <c r="Y85" s="8">
        <v>3</v>
      </c>
      <c r="Z85" s="8">
        <v>2</v>
      </c>
      <c r="AA85" s="8">
        <v>0</v>
      </c>
      <c r="AB85" s="8">
        <v>0</v>
      </c>
      <c r="AC85" s="18">
        <f t="shared" si="12"/>
        <v>4</v>
      </c>
      <c r="AD85" s="18">
        <f t="shared" si="13"/>
        <v>11</v>
      </c>
      <c r="AE85" s="18">
        <f t="shared" si="14"/>
        <v>3</v>
      </c>
      <c r="AF85" s="18">
        <f t="shared" si="15"/>
        <v>6</v>
      </c>
      <c r="AG85" s="18">
        <f t="shared" si="16"/>
        <v>1</v>
      </c>
      <c r="AH85" s="18">
        <f t="shared" si="17"/>
        <v>0</v>
      </c>
    </row>
    <row r="86" spans="1:34" ht="14.4">
      <c r="A86" s="8" t="s">
        <v>956</v>
      </c>
      <c r="B86" s="8" t="s">
        <v>1089</v>
      </c>
      <c r="C86" s="8" t="s">
        <v>4</v>
      </c>
      <c r="D86" s="8" t="s">
        <v>3</v>
      </c>
      <c r="E86" s="8" t="s">
        <v>41</v>
      </c>
      <c r="F86" s="8" t="s">
        <v>2</v>
      </c>
      <c r="G86" s="8" t="s">
        <v>12</v>
      </c>
      <c r="H86" s="8" t="s">
        <v>1287</v>
      </c>
      <c r="I86" s="8" t="s">
        <v>40</v>
      </c>
      <c r="J86" s="8" t="s">
        <v>40</v>
      </c>
      <c r="K86" s="19" t="s">
        <v>41</v>
      </c>
      <c r="L86" s="19" t="s">
        <v>62</v>
      </c>
      <c r="M86" s="8" t="s">
        <v>1210</v>
      </c>
      <c r="N86" s="8">
        <v>188</v>
      </c>
      <c r="O86" s="8">
        <v>116</v>
      </c>
      <c r="P86" s="8">
        <v>72</v>
      </c>
      <c r="Q86" s="8">
        <v>27</v>
      </c>
      <c r="R86" s="8">
        <v>20</v>
      </c>
      <c r="S86" s="8">
        <v>59</v>
      </c>
      <c r="T86" s="8">
        <v>28</v>
      </c>
      <c r="U86" s="8">
        <v>14</v>
      </c>
      <c r="V86" s="8">
        <v>10</v>
      </c>
      <c r="W86" s="8">
        <v>47</v>
      </c>
      <c r="X86" s="8">
        <v>28</v>
      </c>
      <c r="Y86" s="8">
        <v>29</v>
      </c>
      <c r="Z86" s="8">
        <v>20</v>
      </c>
      <c r="AA86" s="8">
        <v>12</v>
      </c>
      <c r="AB86" s="8">
        <v>10</v>
      </c>
      <c r="AC86" s="18">
        <f t="shared" si="12"/>
        <v>7</v>
      </c>
      <c r="AD86" s="18">
        <f t="shared" si="13"/>
        <v>31</v>
      </c>
      <c r="AE86" s="18">
        <f t="shared" si="14"/>
        <v>4</v>
      </c>
      <c r="AF86" s="18">
        <f t="shared" si="15"/>
        <v>19</v>
      </c>
      <c r="AG86" s="18">
        <f t="shared" si="16"/>
        <v>9</v>
      </c>
      <c r="AH86" s="18">
        <f t="shared" si="17"/>
        <v>2</v>
      </c>
    </row>
    <row r="87" spans="1:34" ht="14.4">
      <c r="A87" s="8" t="s">
        <v>957</v>
      </c>
      <c r="B87" s="8" t="s">
        <v>1090</v>
      </c>
      <c r="C87" s="8" t="s">
        <v>2</v>
      </c>
      <c r="D87" s="8" t="s">
        <v>5</v>
      </c>
      <c r="E87" s="8" t="s">
        <v>40</v>
      </c>
      <c r="F87" s="8" t="s">
        <v>50</v>
      </c>
      <c r="G87" s="8" t="s">
        <v>5</v>
      </c>
      <c r="H87" s="8" t="s">
        <v>1612</v>
      </c>
      <c r="I87" s="8" t="s">
        <v>40</v>
      </c>
      <c r="J87" s="8" t="s">
        <v>40</v>
      </c>
      <c r="K87" s="19" t="s">
        <v>40</v>
      </c>
      <c r="L87" s="19" t="s">
        <v>62</v>
      </c>
      <c r="M87" s="8" t="s">
        <v>1211</v>
      </c>
      <c r="N87" s="8">
        <v>359</v>
      </c>
      <c r="O87" s="8">
        <v>193</v>
      </c>
      <c r="P87" s="8">
        <v>166</v>
      </c>
      <c r="Q87" s="8">
        <v>79</v>
      </c>
      <c r="R87" s="8">
        <v>43</v>
      </c>
      <c r="S87" s="8">
        <v>76</v>
      </c>
      <c r="T87" s="8">
        <v>39</v>
      </c>
      <c r="U87" s="8">
        <v>60</v>
      </c>
      <c r="V87" s="8">
        <v>39</v>
      </c>
      <c r="W87" s="8">
        <v>63</v>
      </c>
      <c r="X87" s="8">
        <v>33</v>
      </c>
      <c r="Y87" s="8">
        <v>78</v>
      </c>
      <c r="Z87" s="8">
        <v>37</v>
      </c>
      <c r="AA87" s="8">
        <v>3</v>
      </c>
      <c r="AB87" s="8">
        <v>2</v>
      </c>
      <c r="AC87" s="18">
        <f t="shared" si="12"/>
        <v>36</v>
      </c>
      <c r="AD87" s="18">
        <f t="shared" si="13"/>
        <v>37</v>
      </c>
      <c r="AE87" s="18">
        <f t="shared" si="14"/>
        <v>21</v>
      </c>
      <c r="AF87" s="18">
        <f t="shared" si="15"/>
        <v>30</v>
      </c>
      <c r="AG87" s="18">
        <f t="shared" si="16"/>
        <v>41</v>
      </c>
      <c r="AH87" s="18">
        <f t="shared" si="17"/>
        <v>1</v>
      </c>
    </row>
    <row r="88" spans="1:34" ht="14.4">
      <c r="A88" s="8" t="s">
        <v>958</v>
      </c>
      <c r="B88" s="8" t="s">
        <v>1091</v>
      </c>
      <c r="C88" s="8" t="s">
        <v>4</v>
      </c>
      <c r="D88" s="8" t="s">
        <v>2</v>
      </c>
      <c r="E88" s="8" t="s">
        <v>41</v>
      </c>
      <c r="F88" s="8" t="s">
        <v>2</v>
      </c>
      <c r="G88" s="8" t="s">
        <v>4</v>
      </c>
      <c r="H88" s="8" t="s">
        <v>1288</v>
      </c>
      <c r="I88" s="8" t="s">
        <v>40</v>
      </c>
      <c r="J88" s="8" t="s">
        <v>40</v>
      </c>
      <c r="K88" s="19" t="s">
        <v>40</v>
      </c>
      <c r="L88" s="19" t="s">
        <v>62</v>
      </c>
      <c r="M88" s="8" t="s">
        <v>1212</v>
      </c>
      <c r="N88" s="8">
        <v>314</v>
      </c>
      <c r="O88" s="8">
        <v>185</v>
      </c>
      <c r="P88" s="8">
        <v>129</v>
      </c>
      <c r="Q88" s="8">
        <v>87</v>
      </c>
      <c r="R88" s="8">
        <v>54</v>
      </c>
      <c r="S88" s="8">
        <v>69</v>
      </c>
      <c r="T88" s="8">
        <v>39</v>
      </c>
      <c r="U88" s="8">
        <v>11</v>
      </c>
      <c r="V88" s="8">
        <v>8</v>
      </c>
      <c r="W88" s="8">
        <v>87</v>
      </c>
      <c r="X88" s="8">
        <v>51</v>
      </c>
      <c r="Y88" s="8">
        <v>48</v>
      </c>
      <c r="Z88" s="8">
        <v>26</v>
      </c>
      <c r="AA88" s="8">
        <v>12</v>
      </c>
      <c r="AB88" s="8">
        <v>7</v>
      </c>
      <c r="AC88" s="18">
        <f t="shared" si="12"/>
        <v>33</v>
      </c>
      <c r="AD88" s="18">
        <f t="shared" si="13"/>
        <v>30</v>
      </c>
      <c r="AE88" s="18">
        <f t="shared" si="14"/>
        <v>3</v>
      </c>
      <c r="AF88" s="18">
        <f t="shared" si="15"/>
        <v>36</v>
      </c>
      <c r="AG88" s="18">
        <f t="shared" si="16"/>
        <v>22</v>
      </c>
      <c r="AH88" s="18">
        <f t="shared" si="17"/>
        <v>5</v>
      </c>
    </row>
    <row r="89" spans="1:34" ht="14.4">
      <c r="A89" s="8" t="s">
        <v>959</v>
      </c>
      <c r="B89" s="8" t="s">
        <v>1092</v>
      </c>
      <c r="C89" s="8" t="s">
        <v>2</v>
      </c>
      <c r="D89" s="8" t="s">
        <v>5</v>
      </c>
      <c r="E89" s="8" t="s">
        <v>40</v>
      </c>
      <c r="F89" s="8" t="s">
        <v>50</v>
      </c>
      <c r="G89" s="8" t="s">
        <v>3</v>
      </c>
      <c r="H89" s="8" t="s">
        <v>863</v>
      </c>
      <c r="I89" s="8" t="s">
        <v>40</v>
      </c>
      <c r="J89" s="8" t="s">
        <v>40</v>
      </c>
      <c r="K89" s="19" t="s">
        <v>40</v>
      </c>
      <c r="L89" s="19" t="s">
        <v>62</v>
      </c>
      <c r="M89" s="8" t="s">
        <v>1213</v>
      </c>
      <c r="N89" s="8">
        <v>464</v>
      </c>
      <c r="O89" s="8">
        <v>248</v>
      </c>
      <c r="P89" s="8">
        <v>216</v>
      </c>
      <c r="Q89" s="8">
        <v>72</v>
      </c>
      <c r="R89" s="8">
        <v>31</v>
      </c>
      <c r="S89" s="8">
        <v>82</v>
      </c>
      <c r="T89" s="8">
        <v>47</v>
      </c>
      <c r="U89" s="8">
        <v>90</v>
      </c>
      <c r="V89" s="8">
        <v>50</v>
      </c>
      <c r="W89" s="8">
        <v>123</v>
      </c>
      <c r="X89" s="8">
        <v>71</v>
      </c>
      <c r="Y89" s="8">
        <v>57</v>
      </c>
      <c r="Z89" s="8">
        <v>35</v>
      </c>
      <c r="AA89" s="8">
        <v>40</v>
      </c>
      <c r="AB89" s="8">
        <v>14</v>
      </c>
      <c r="AC89" s="18">
        <f t="shared" si="12"/>
        <v>41</v>
      </c>
      <c r="AD89" s="18">
        <f t="shared" si="13"/>
        <v>35</v>
      </c>
      <c r="AE89" s="18">
        <f t="shared" si="14"/>
        <v>40</v>
      </c>
      <c r="AF89" s="18">
        <f t="shared" si="15"/>
        <v>52</v>
      </c>
      <c r="AG89" s="18">
        <f t="shared" si="16"/>
        <v>22</v>
      </c>
      <c r="AH89" s="18">
        <f t="shared" si="17"/>
        <v>26</v>
      </c>
    </row>
    <row r="90" spans="1:34" ht="14.4">
      <c r="A90" s="8" t="s">
        <v>960</v>
      </c>
      <c r="B90" s="8" t="s">
        <v>1093</v>
      </c>
      <c r="C90" s="8" t="s">
        <v>140</v>
      </c>
      <c r="D90" s="8" t="s">
        <v>3</v>
      </c>
      <c r="E90" s="8" t="s">
        <v>40</v>
      </c>
      <c r="F90" s="8" t="s">
        <v>4</v>
      </c>
      <c r="G90" s="8" t="s">
        <v>17</v>
      </c>
      <c r="H90" s="8" t="s">
        <v>1289</v>
      </c>
      <c r="I90" s="8" t="s">
        <v>40</v>
      </c>
      <c r="J90" s="8" t="s">
        <v>40</v>
      </c>
      <c r="K90" s="19" t="s">
        <v>40</v>
      </c>
      <c r="L90" s="19" t="s">
        <v>62</v>
      </c>
      <c r="M90" s="8" t="s">
        <v>1214</v>
      </c>
      <c r="N90" s="8">
        <v>454</v>
      </c>
      <c r="O90" s="8">
        <v>244</v>
      </c>
      <c r="P90" s="8">
        <v>210</v>
      </c>
      <c r="Q90" s="8">
        <v>114</v>
      </c>
      <c r="R90" s="8">
        <v>57</v>
      </c>
      <c r="S90" s="8">
        <v>105</v>
      </c>
      <c r="T90" s="8">
        <v>53</v>
      </c>
      <c r="U90" s="8">
        <v>38</v>
      </c>
      <c r="V90" s="8">
        <v>24</v>
      </c>
      <c r="W90" s="8">
        <v>123</v>
      </c>
      <c r="X90" s="8">
        <v>71</v>
      </c>
      <c r="Y90" s="8">
        <v>54</v>
      </c>
      <c r="Z90" s="8">
        <v>28</v>
      </c>
      <c r="AA90" s="8">
        <v>20</v>
      </c>
      <c r="AB90" s="8">
        <v>11</v>
      </c>
      <c r="AC90" s="18">
        <f t="shared" si="12"/>
        <v>57</v>
      </c>
      <c r="AD90" s="18">
        <f t="shared" si="13"/>
        <v>52</v>
      </c>
      <c r="AE90" s="18">
        <f t="shared" si="14"/>
        <v>14</v>
      </c>
      <c r="AF90" s="18">
        <f t="shared" si="15"/>
        <v>52</v>
      </c>
      <c r="AG90" s="18">
        <f t="shared" si="16"/>
        <v>26</v>
      </c>
      <c r="AH90" s="18">
        <f t="shared" si="17"/>
        <v>9</v>
      </c>
    </row>
    <row r="91" spans="1:34" ht="14.4">
      <c r="A91" s="8" t="s">
        <v>119</v>
      </c>
      <c r="B91" s="8" t="s">
        <v>820</v>
      </c>
      <c r="C91" s="8" t="s">
        <v>6</v>
      </c>
      <c r="D91" s="8" t="s">
        <v>8</v>
      </c>
      <c r="E91" s="8" t="s">
        <v>44</v>
      </c>
      <c r="F91" s="8" t="s">
        <v>2</v>
      </c>
      <c r="G91" s="8" t="s">
        <v>6</v>
      </c>
      <c r="H91" s="8" t="s">
        <v>144</v>
      </c>
      <c r="I91" s="8" t="s">
        <v>44</v>
      </c>
      <c r="J91" s="8" t="s">
        <v>40</v>
      </c>
      <c r="K91" s="19" t="s">
        <v>2316</v>
      </c>
      <c r="L91" s="19" t="s">
        <v>62</v>
      </c>
      <c r="M91" s="8" t="s">
        <v>2322</v>
      </c>
      <c r="N91" s="8">
        <v>102</v>
      </c>
      <c r="O91" s="8">
        <v>102</v>
      </c>
      <c r="P91" s="8">
        <v>0</v>
      </c>
      <c r="Q91" s="8">
        <v>42</v>
      </c>
      <c r="R91" s="8">
        <v>42</v>
      </c>
      <c r="S91" s="8">
        <v>19</v>
      </c>
      <c r="T91" s="8">
        <v>19</v>
      </c>
      <c r="U91" s="8">
        <v>4</v>
      </c>
      <c r="V91" s="8">
        <v>4</v>
      </c>
      <c r="W91" s="8">
        <v>26</v>
      </c>
      <c r="X91" s="8">
        <v>26</v>
      </c>
      <c r="Y91" s="8">
        <v>6</v>
      </c>
      <c r="Z91" s="8">
        <v>6</v>
      </c>
      <c r="AA91" s="8">
        <v>5</v>
      </c>
      <c r="AB91" s="8">
        <v>5</v>
      </c>
      <c r="AC91" s="18">
        <f t="shared" si="12"/>
        <v>0</v>
      </c>
      <c r="AD91" s="18">
        <f t="shared" si="13"/>
        <v>0</v>
      </c>
      <c r="AE91" s="18">
        <f t="shared" si="14"/>
        <v>0</v>
      </c>
      <c r="AF91" s="18">
        <f t="shared" si="15"/>
        <v>0</v>
      </c>
      <c r="AG91" s="18">
        <f t="shared" si="16"/>
        <v>0</v>
      </c>
      <c r="AH91" s="18">
        <f t="shared" si="17"/>
        <v>0</v>
      </c>
    </row>
    <row r="92" spans="1:34" ht="14.4">
      <c r="A92" s="8" t="s">
        <v>961</v>
      </c>
      <c r="B92" s="8" t="s">
        <v>1094</v>
      </c>
      <c r="C92" s="8" t="s">
        <v>177</v>
      </c>
      <c r="D92" s="8" t="s">
        <v>7</v>
      </c>
      <c r="E92" s="8" t="s">
        <v>40</v>
      </c>
      <c r="F92" s="8" t="s">
        <v>15</v>
      </c>
      <c r="G92" s="8" t="s">
        <v>5</v>
      </c>
      <c r="H92" s="8" t="s">
        <v>1290</v>
      </c>
      <c r="I92" s="8" t="s">
        <v>40</v>
      </c>
      <c r="J92" s="8" t="s">
        <v>40</v>
      </c>
      <c r="K92" s="19" t="s">
        <v>40</v>
      </c>
      <c r="L92" s="19" t="s">
        <v>62</v>
      </c>
      <c r="M92" s="8" t="s">
        <v>1215</v>
      </c>
      <c r="N92" s="8">
        <v>19</v>
      </c>
      <c r="O92" s="8">
        <v>11</v>
      </c>
      <c r="P92" s="8">
        <v>8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6</v>
      </c>
      <c r="X92" s="8">
        <v>4</v>
      </c>
      <c r="Y92" s="8">
        <v>10</v>
      </c>
      <c r="Z92" s="8">
        <v>7</v>
      </c>
      <c r="AA92" s="8">
        <v>3</v>
      </c>
      <c r="AB92" s="8">
        <v>0</v>
      </c>
      <c r="AC92" s="18">
        <f t="shared" si="12"/>
        <v>0</v>
      </c>
      <c r="AD92" s="18">
        <f t="shared" si="13"/>
        <v>0</v>
      </c>
      <c r="AE92" s="18">
        <f t="shared" si="14"/>
        <v>0</v>
      </c>
      <c r="AF92" s="18">
        <f t="shared" si="15"/>
        <v>2</v>
      </c>
      <c r="AG92" s="18">
        <f t="shared" si="16"/>
        <v>3</v>
      </c>
      <c r="AH92" s="18">
        <f t="shared" si="17"/>
        <v>3</v>
      </c>
    </row>
    <row r="93" spans="1:34" ht="14.4">
      <c r="A93" s="8" t="s">
        <v>962</v>
      </c>
      <c r="B93" s="8" t="s">
        <v>1095</v>
      </c>
      <c r="C93" s="8" t="s">
        <v>8</v>
      </c>
      <c r="D93" s="8" t="s">
        <v>5</v>
      </c>
      <c r="E93" s="8" t="s">
        <v>62</v>
      </c>
      <c r="F93" s="8" t="s">
        <v>3</v>
      </c>
      <c r="G93" s="8" t="s">
        <v>3</v>
      </c>
      <c r="H93" s="8" t="s">
        <v>87</v>
      </c>
      <c r="I93" s="8" t="s">
        <v>40</v>
      </c>
      <c r="J93" s="8" t="s">
        <v>40</v>
      </c>
      <c r="K93" s="19" t="s">
        <v>40</v>
      </c>
      <c r="L93" s="19" t="s">
        <v>62</v>
      </c>
      <c r="M93" s="8" t="s">
        <v>1216</v>
      </c>
      <c r="N93" s="8">
        <v>73</v>
      </c>
      <c r="O93" s="8">
        <v>33</v>
      </c>
      <c r="P93" s="8">
        <v>40</v>
      </c>
      <c r="Q93" s="8">
        <v>9</v>
      </c>
      <c r="R93" s="8">
        <v>3</v>
      </c>
      <c r="S93" s="8">
        <v>7</v>
      </c>
      <c r="T93" s="8">
        <v>4</v>
      </c>
      <c r="U93" s="8">
        <v>3</v>
      </c>
      <c r="V93" s="8">
        <v>2</v>
      </c>
      <c r="W93" s="8">
        <v>19</v>
      </c>
      <c r="X93" s="8">
        <v>12</v>
      </c>
      <c r="Y93" s="8">
        <v>34</v>
      </c>
      <c r="Z93" s="8">
        <v>12</v>
      </c>
      <c r="AA93" s="8">
        <v>1</v>
      </c>
      <c r="AB93" s="8">
        <v>0</v>
      </c>
      <c r="AC93" s="18">
        <f t="shared" si="12"/>
        <v>6</v>
      </c>
      <c r="AD93" s="18">
        <f t="shared" si="13"/>
        <v>3</v>
      </c>
      <c r="AE93" s="18">
        <f t="shared" si="14"/>
        <v>1</v>
      </c>
      <c r="AF93" s="18">
        <f t="shared" si="15"/>
        <v>7</v>
      </c>
      <c r="AG93" s="18">
        <f t="shared" si="16"/>
        <v>22</v>
      </c>
      <c r="AH93" s="18">
        <f t="shared" si="17"/>
        <v>1</v>
      </c>
    </row>
    <row r="94" spans="1:34" ht="14.4">
      <c r="A94" s="8" t="s">
        <v>963</v>
      </c>
      <c r="B94" s="8" t="s">
        <v>1096</v>
      </c>
      <c r="C94" s="8" t="s">
        <v>3</v>
      </c>
      <c r="D94" s="8" t="s">
        <v>6</v>
      </c>
      <c r="E94" s="8" t="s">
        <v>40</v>
      </c>
      <c r="F94" s="8" t="s">
        <v>16</v>
      </c>
      <c r="G94" s="8" t="s">
        <v>4</v>
      </c>
      <c r="H94" s="8" t="s">
        <v>88</v>
      </c>
      <c r="I94" s="8" t="s">
        <v>40</v>
      </c>
      <c r="J94" s="8" t="s">
        <v>41</v>
      </c>
      <c r="K94" s="19" t="s">
        <v>2316</v>
      </c>
      <c r="L94" s="19" t="s">
        <v>62</v>
      </c>
      <c r="M94" s="8" t="s">
        <v>1217</v>
      </c>
      <c r="N94" s="8">
        <v>35</v>
      </c>
      <c r="O94" s="8">
        <v>26</v>
      </c>
      <c r="P94" s="8">
        <v>9</v>
      </c>
      <c r="Q94" s="8">
        <v>3</v>
      </c>
      <c r="R94" s="8">
        <v>3</v>
      </c>
      <c r="S94" s="8">
        <v>10</v>
      </c>
      <c r="T94" s="8">
        <v>8</v>
      </c>
      <c r="U94" s="8">
        <v>2</v>
      </c>
      <c r="V94" s="8">
        <v>2</v>
      </c>
      <c r="W94" s="8">
        <v>12</v>
      </c>
      <c r="X94" s="8">
        <v>5</v>
      </c>
      <c r="Y94" s="8">
        <v>8</v>
      </c>
      <c r="Z94" s="8">
        <v>8</v>
      </c>
      <c r="AA94" s="8">
        <v>0</v>
      </c>
      <c r="AB94" s="8">
        <v>0</v>
      </c>
      <c r="AC94" s="18">
        <f t="shared" si="12"/>
        <v>0</v>
      </c>
      <c r="AD94" s="18">
        <f t="shared" si="13"/>
        <v>2</v>
      </c>
      <c r="AE94" s="18">
        <f t="shared" si="14"/>
        <v>0</v>
      </c>
      <c r="AF94" s="18">
        <f t="shared" si="15"/>
        <v>7</v>
      </c>
      <c r="AG94" s="18">
        <f t="shared" si="16"/>
        <v>0</v>
      </c>
      <c r="AH94" s="18">
        <f t="shared" si="17"/>
        <v>0</v>
      </c>
    </row>
    <row r="95" spans="1:34" ht="14.4">
      <c r="A95" s="8" t="s">
        <v>964</v>
      </c>
      <c r="B95" s="8" t="s">
        <v>1097</v>
      </c>
      <c r="C95" s="8" t="s">
        <v>5</v>
      </c>
      <c r="D95" s="8" t="s">
        <v>7</v>
      </c>
      <c r="E95" s="8" t="s">
        <v>41</v>
      </c>
      <c r="F95" s="8" t="s">
        <v>8</v>
      </c>
      <c r="G95" s="8" t="s">
        <v>7</v>
      </c>
      <c r="H95" s="8" t="s">
        <v>1291</v>
      </c>
      <c r="I95" s="8" t="s">
        <v>40</v>
      </c>
      <c r="J95" s="8" t="s">
        <v>40</v>
      </c>
      <c r="K95" s="19" t="s">
        <v>40</v>
      </c>
      <c r="L95" s="19" t="s">
        <v>62</v>
      </c>
      <c r="M95" s="8" t="s">
        <v>1218</v>
      </c>
      <c r="N95" s="8">
        <v>180</v>
      </c>
      <c r="O95" s="8">
        <v>99</v>
      </c>
      <c r="P95" s="8">
        <v>81</v>
      </c>
      <c r="Q95" s="8">
        <v>33</v>
      </c>
      <c r="R95" s="8">
        <v>15</v>
      </c>
      <c r="S95" s="8">
        <v>41</v>
      </c>
      <c r="T95" s="8">
        <v>18</v>
      </c>
      <c r="U95" s="8">
        <v>32</v>
      </c>
      <c r="V95" s="8">
        <v>19</v>
      </c>
      <c r="W95" s="8">
        <v>35</v>
      </c>
      <c r="X95" s="8">
        <v>25</v>
      </c>
      <c r="Y95" s="8">
        <v>24</v>
      </c>
      <c r="Z95" s="8">
        <v>17</v>
      </c>
      <c r="AA95" s="8">
        <v>15</v>
      </c>
      <c r="AB95" s="8">
        <v>5</v>
      </c>
      <c r="AC95" s="18">
        <f t="shared" si="12"/>
        <v>18</v>
      </c>
      <c r="AD95" s="18">
        <f t="shared" si="13"/>
        <v>23</v>
      </c>
      <c r="AE95" s="18">
        <f t="shared" si="14"/>
        <v>13</v>
      </c>
      <c r="AF95" s="18">
        <f t="shared" si="15"/>
        <v>10</v>
      </c>
      <c r="AG95" s="18">
        <f t="shared" si="16"/>
        <v>7</v>
      </c>
      <c r="AH95" s="18">
        <f t="shared" si="17"/>
        <v>10</v>
      </c>
    </row>
    <row r="96" spans="1:34" ht="14.4">
      <c r="A96" s="8" t="s">
        <v>965</v>
      </c>
      <c r="B96" s="8" t="s">
        <v>1098</v>
      </c>
      <c r="C96" s="8" t="s">
        <v>4</v>
      </c>
      <c r="D96" s="8" t="s">
        <v>4</v>
      </c>
      <c r="E96" s="8" t="s">
        <v>41</v>
      </c>
      <c r="F96" s="8" t="s">
        <v>2</v>
      </c>
      <c r="G96" s="8" t="s">
        <v>8</v>
      </c>
      <c r="H96" s="8" t="s">
        <v>94</v>
      </c>
      <c r="I96" s="8" t="s">
        <v>40</v>
      </c>
      <c r="J96" s="8" t="s">
        <v>41</v>
      </c>
      <c r="K96" s="19" t="s">
        <v>2316</v>
      </c>
      <c r="L96" s="19" t="s">
        <v>62</v>
      </c>
      <c r="M96" s="8" t="s">
        <v>1219</v>
      </c>
      <c r="N96" s="8">
        <v>52</v>
      </c>
      <c r="O96" s="8">
        <v>29</v>
      </c>
      <c r="P96" s="8">
        <v>23</v>
      </c>
      <c r="Q96" s="8">
        <v>16</v>
      </c>
      <c r="R96" s="8">
        <v>10</v>
      </c>
      <c r="S96" s="8">
        <v>21</v>
      </c>
      <c r="T96" s="8">
        <v>10</v>
      </c>
      <c r="U96" s="8">
        <v>4</v>
      </c>
      <c r="V96" s="8">
        <v>1</v>
      </c>
      <c r="W96" s="8">
        <v>1</v>
      </c>
      <c r="X96" s="8">
        <v>1</v>
      </c>
      <c r="Y96" s="8">
        <v>5</v>
      </c>
      <c r="Z96" s="8">
        <v>3</v>
      </c>
      <c r="AA96" s="8">
        <v>5</v>
      </c>
      <c r="AB96" s="8">
        <v>4</v>
      </c>
      <c r="AC96" s="18">
        <f t="shared" si="12"/>
        <v>6</v>
      </c>
      <c r="AD96" s="18">
        <f t="shared" si="13"/>
        <v>11</v>
      </c>
      <c r="AE96" s="18">
        <f t="shared" si="14"/>
        <v>3</v>
      </c>
      <c r="AF96" s="18">
        <f t="shared" si="15"/>
        <v>0</v>
      </c>
      <c r="AG96" s="18">
        <f t="shared" si="16"/>
        <v>2</v>
      </c>
      <c r="AH96" s="18">
        <f t="shared" si="17"/>
        <v>1</v>
      </c>
    </row>
    <row r="97" spans="1:34" ht="14.4">
      <c r="A97" s="8" t="s">
        <v>966</v>
      </c>
      <c r="B97" s="8" t="s">
        <v>1099</v>
      </c>
      <c r="C97" s="8" t="s">
        <v>4</v>
      </c>
      <c r="D97" s="8" t="s">
        <v>8</v>
      </c>
      <c r="E97" s="8" t="s">
        <v>41</v>
      </c>
      <c r="F97" s="8" t="s">
        <v>10</v>
      </c>
      <c r="G97" s="8" t="s">
        <v>4</v>
      </c>
      <c r="H97" s="8" t="s">
        <v>57</v>
      </c>
      <c r="I97" s="8" t="s">
        <v>40</v>
      </c>
      <c r="J97" s="8" t="s">
        <v>41</v>
      </c>
      <c r="K97" s="19" t="s">
        <v>2316</v>
      </c>
      <c r="L97" s="19" t="s">
        <v>62</v>
      </c>
      <c r="M97" s="8" t="s">
        <v>1220</v>
      </c>
      <c r="N97" s="8">
        <v>69</v>
      </c>
      <c r="O97" s="8">
        <v>54</v>
      </c>
      <c r="P97" s="8">
        <v>15</v>
      </c>
      <c r="Q97" s="8">
        <v>12</v>
      </c>
      <c r="R97" s="8">
        <v>9</v>
      </c>
      <c r="S97" s="8">
        <v>15</v>
      </c>
      <c r="T97" s="8">
        <v>11</v>
      </c>
      <c r="U97" s="8">
        <v>12</v>
      </c>
      <c r="V97" s="8">
        <v>8</v>
      </c>
      <c r="W97" s="8">
        <v>13</v>
      </c>
      <c r="X97" s="8">
        <v>11</v>
      </c>
      <c r="Y97" s="8">
        <v>14</v>
      </c>
      <c r="Z97" s="8">
        <v>12</v>
      </c>
      <c r="AA97" s="8">
        <v>3</v>
      </c>
      <c r="AB97" s="8">
        <v>3</v>
      </c>
      <c r="AC97" s="18">
        <f t="shared" si="12"/>
        <v>3</v>
      </c>
      <c r="AD97" s="18">
        <f t="shared" si="13"/>
        <v>4</v>
      </c>
      <c r="AE97" s="18">
        <f t="shared" si="14"/>
        <v>4</v>
      </c>
      <c r="AF97" s="18">
        <f t="shared" si="15"/>
        <v>2</v>
      </c>
      <c r="AG97" s="18">
        <f t="shared" si="16"/>
        <v>2</v>
      </c>
      <c r="AH97" s="18">
        <f t="shared" si="17"/>
        <v>0</v>
      </c>
    </row>
    <row r="98" spans="1:34" ht="14.4">
      <c r="A98" s="8" t="s">
        <v>967</v>
      </c>
      <c r="B98" s="8" t="s">
        <v>1100</v>
      </c>
      <c r="C98" s="8" t="s">
        <v>4</v>
      </c>
      <c r="D98" s="8" t="s">
        <v>7</v>
      </c>
      <c r="E98" s="8" t="s">
        <v>41</v>
      </c>
      <c r="F98" s="8" t="s">
        <v>4</v>
      </c>
      <c r="G98" s="8" t="s">
        <v>10</v>
      </c>
      <c r="H98" s="8" t="s">
        <v>46</v>
      </c>
      <c r="I98" s="8" t="s">
        <v>40</v>
      </c>
      <c r="J98" s="8" t="s">
        <v>41</v>
      </c>
      <c r="K98" s="19" t="s">
        <v>2316</v>
      </c>
      <c r="L98" s="19" t="s">
        <v>62</v>
      </c>
      <c r="M98" s="8" t="s">
        <v>1221</v>
      </c>
      <c r="N98" s="8">
        <v>81</v>
      </c>
      <c r="O98" s="8">
        <v>43</v>
      </c>
      <c r="P98" s="8">
        <v>38</v>
      </c>
      <c r="Q98" s="8">
        <v>11</v>
      </c>
      <c r="R98" s="8">
        <v>6</v>
      </c>
      <c r="S98" s="8">
        <v>10</v>
      </c>
      <c r="T98" s="8">
        <v>7</v>
      </c>
      <c r="U98" s="8">
        <v>10</v>
      </c>
      <c r="V98" s="8">
        <v>7</v>
      </c>
      <c r="W98" s="8">
        <v>22</v>
      </c>
      <c r="X98" s="8">
        <v>7</v>
      </c>
      <c r="Y98" s="8">
        <v>20</v>
      </c>
      <c r="Z98" s="8">
        <v>9</v>
      </c>
      <c r="AA98" s="8">
        <v>8</v>
      </c>
      <c r="AB98" s="8">
        <v>7</v>
      </c>
      <c r="AC98" s="18">
        <f t="shared" si="12"/>
        <v>5</v>
      </c>
      <c r="AD98" s="18">
        <f t="shared" si="13"/>
        <v>3</v>
      </c>
      <c r="AE98" s="18">
        <f t="shared" si="14"/>
        <v>3</v>
      </c>
      <c r="AF98" s="18">
        <f t="shared" si="15"/>
        <v>15</v>
      </c>
      <c r="AG98" s="18">
        <f t="shared" si="16"/>
        <v>11</v>
      </c>
      <c r="AH98" s="18">
        <f t="shared" si="17"/>
        <v>1</v>
      </c>
    </row>
    <row r="99" spans="1:34" ht="14.4">
      <c r="A99" s="8" t="s">
        <v>968</v>
      </c>
      <c r="B99" s="8" t="s">
        <v>1101</v>
      </c>
      <c r="C99" s="8" t="s">
        <v>6</v>
      </c>
      <c r="D99" s="8" t="s">
        <v>3</v>
      </c>
      <c r="E99" s="8" t="s">
        <v>44</v>
      </c>
      <c r="F99" s="8" t="s">
        <v>2</v>
      </c>
      <c r="G99" s="8" t="s">
        <v>11</v>
      </c>
      <c r="H99" s="8" t="s">
        <v>86</v>
      </c>
      <c r="I99" s="8" t="s">
        <v>40</v>
      </c>
      <c r="J99" s="8" t="s">
        <v>40</v>
      </c>
      <c r="K99" s="19" t="s">
        <v>40</v>
      </c>
      <c r="L99" s="19" t="s">
        <v>62</v>
      </c>
      <c r="M99" s="8" t="s">
        <v>1222</v>
      </c>
      <c r="N99" s="8">
        <v>131</v>
      </c>
      <c r="O99" s="8">
        <v>85</v>
      </c>
      <c r="P99" s="8">
        <v>46</v>
      </c>
      <c r="Q99" s="8">
        <v>14</v>
      </c>
      <c r="R99" s="8">
        <v>10</v>
      </c>
      <c r="S99" s="8">
        <v>17</v>
      </c>
      <c r="T99" s="8">
        <v>10</v>
      </c>
      <c r="U99" s="8">
        <v>7</v>
      </c>
      <c r="V99" s="8">
        <v>2</v>
      </c>
      <c r="W99" s="8">
        <v>41</v>
      </c>
      <c r="X99" s="8">
        <v>23</v>
      </c>
      <c r="Y99" s="8">
        <v>52</v>
      </c>
      <c r="Z99" s="8">
        <v>40</v>
      </c>
      <c r="AA99" s="8">
        <v>0</v>
      </c>
      <c r="AB99" s="8">
        <v>0</v>
      </c>
      <c r="AC99" s="18">
        <f t="shared" ref="AC99:AC130" si="18">+Q99-R99</f>
        <v>4</v>
      </c>
      <c r="AD99" s="18">
        <f t="shared" ref="AD99:AD130" si="19">+S99-T99</f>
        <v>7</v>
      </c>
      <c r="AE99" s="18">
        <f t="shared" ref="AE99:AE130" si="20">+U99-V99</f>
        <v>5</v>
      </c>
      <c r="AF99" s="18">
        <f t="shared" ref="AF99:AF130" si="21">+W99-X99</f>
        <v>18</v>
      </c>
      <c r="AG99" s="18">
        <f t="shared" ref="AG99:AG130" si="22">+Y99-Z99</f>
        <v>12</v>
      </c>
      <c r="AH99" s="18">
        <f t="shared" ref="AH99:AH130" si="23">+AA99-AB99</f>
        <v>0</v>
      </c>
    </row>
    <row r="100" spans="1:34" ht="14.4">
      <c r="A100" s="8" t="s">
        <v>969</v>
      </c>
      <c r="B100" s="8" t="s">
        <v>1102</v>
      </c>
      <c r="C100" s="8" t="s">
        <v>4</v>
      </c>
      <c r="D100" s="8" t="s">
        <v>10</v>
      </c>
      <c r="E100" s="8" t="s">
        <v>41</v>
      </c>
      <c r="F100" s="8" t="s">
        <v>6</v>
      </c>
      <c r="G100" s="8" t="s">
        <v>8</v>
      </c>
      <c r="H100" s="8" t="s">
        <v>126</v>
      </c>
      <c r="I100" s="8" t="s">
        <v>40</v>
      </c>
      <c r="J100" s="8" t="s">
        <v>40</v>
      </c>
      <c r="K100" s="19" t="s">
        <v>40</v>
      </c>
      <c r="L100" s="19" t="s">
        <v>62</v>
      </c>
      <c r="M100" s="8" t="s">
        <v>1223</v>
      </c>
      <c r="N100" s="8">
        <v>92</v>
      </c>
      <c r="O100" s="8">
        <v>64</v>
      </c>
      <c r="P100" s="8">
        <v>28</v>
      </c>
      <c r="Q100" s="8">
        <v>21</v>
      </c>
      <c r="R100" s="8">
        <v>18</v>
      </c>
      <c r="S100" s="8">
        <v>20</v>
      </c>
      <c r="T100" s="8">
        <v>12</v>
      </c>
      <c r="U100" s="8">
        <v>24</v>
      </c>
      <c r="V100" s="8">
        <v>17</v>
      </c>
      <c r="W100" s="8">
        <v>12</v>
      </c>
      <c r="X100" s="8">
        <v>10</v>
      </c>
      <c r="Y100" s="8">
        <v>14</v>
      </c>
      <c r="Z100" s="8">
        <v>7</v>
      </c>
      <c r="AA100" s="8">
        <v>1</v>
      </c>
      <c r="AB100" s="8">
        <v>0</v>
      </c>
      <c r="AC100" s="18">
        <f t="shared" si="18"/>
        <v>3</v>
      </c>
      <c r="AD100" s="18">
        <f t="shared" si="19"/>
        <v>8</v>
      </c>
      <c r="AE100" s="18">
        <f t="shared" si="20"/>
        <v>7</v>
      </c>
      <c r="AF100" s="18">
        <f t="shared" si="21"/>
        <v>2</v>
      </c>
      <c r="AG100" s="18">
        <f t="shared" si="22"/>
        <v>7</v>
      </c>
      <c r="AH100" s="18">
        <f t="shared" si="23"/>
        <v>1</v>
      </c>
    </row>
    <row r="101" spans="1:34" ht="14.4">
      <c r="A101" s="8" t="s">
        <v>970</v>
      </c>
      <c r="B101" s="8" t="s">
        <v>1103</v>
      </c>
      <c r="C101" s="8" t="s">
        <v>65</v>
      </c>
      <c r="D101" s="8" t="s">
        <v>3</v>
      </c>
      <c r="E101" s="8" t="s">
        <v>40</v>
      </c>
      <c r="F101" s="8" t="s">
        <v>104</v>
      </c>
      <c r="G101" s="8" t="s">
        <v>2</v>
      </c>
      <c r="H101" s="8" t="s">
        <v>1292</v>
      </c>
      <c r="I101" s="8" t="s">
        <v>40</v>
      </c>
      <c r="J101" s="8" t="s">
        <v>40</v>
      </c>
      <c r="K101" s="19" t="s">
        <v>2316</v>
      </c>
      <c r="L101" s="19" t="s">
        <v>62</v>
      </c>
      <c r="M101" s="8" t="s">
        <v>1224</v>
      </c>
      <c r="N101" s="8">
        <v>71</v>
      </c>
      <c r="O101" s="8">
        <v>49</v>
      </c>
      <c r="P101" s="8">
        <v>22</v>
      </c>
      <c r="Q101" s="8">
        <v>30</v>
      </c>
      <c r="R101" s="8">
        <v>14</v>
      </c>
      <c r="S101" s="8">
        <v>20</v>
      </c>
      <c r="T101" s="8">
        <v>14</v>
      </c>
      <c r="U101" s="8">
        <v>5</v>
      </c>
      <c r="V101" s="8">
        <v>5</v>
      </c>
      <c r="W101" s="8">
        <v>10</v>
      </c>
      <c r="X101" s="8">
        <v>10</v>
      </c>
      <c r="Y101" s="8">
        <v>2</v>
      </c>
      <c r="Z101" s="8">
        <v>2</v>
      </c>
      <c r="AA101" s="8">
        <v>4</v>
      </c>
      <c r="AB101" s="8">
        <v>4</v>
      </c>
      <c r="AC101" s="18">
        <f t="shared" si="18"/>
        <v>16</v>
      </c>
      <c r="AD101" s="18">
        <f t="shared" si="19"/>
        <v>6</v>
      </c>
      <c r="AE101" s="18">
        <f t="shared" si="20"/>
        <v>0</v>
      </c>
      <c r="AF101" s="18">
        <f t="shared" si="21"/>
        <v>0</v>
      </c>
      <c r="AG101" s="18">
        <f t="shared" si="22"/>
        <v>0</v>
      </c>
      <c r="AH101" s="18">
        <f t="shared" si="23"/>
        <v>0</v>
      </c>
    </row>
    <row r="102" spans="1:34" ht="14.4">
      <c r="A102" s="8" t="s">
        <v>971</v>
      </c>
      <c r="B102" s="8" t="s">
        <v>1104</v>
      </c>
      <c r="C102" s="8" t="s">
        <v>6</v>
      </c>
      <c r="D102" s="8" t="s">
        <v>6</v>
      </c>
      <c r="E102" s="8" t="s">
        <v>44</v>
      </c>
      <c r="F102" s="8" t="s">
        <v>3</v>
      </c>
      <c r="G102" s="8" t="s">
        <v>6</v>
      </c>
      <c r="H102" s="8" t="s">
        <v>136</v>
      </c>
      <c r="I102" s="8" t="s">
        <v>40</v>
      </c>
      <c r="J102" s="8" t="s">
        <v>40</v>
      </c>
      <c r="K102" s="19" t="s">
        <v>2316</v>
      </c>
      <c r="L102" s="19" t="s">
        <v>62</v>
      </c>
      <c r="M102" s="8" t="s">
        <v>1225</v>
      </c>
      <c r="N102" s="8">
        <v>146</v>
      </c>
      <c r="O102" s="8">
        <v>87</v>
      </c>
      <c r="P102" s="8">
        <v>59</v>
      </c>
      <c r="Q102" s="8">
        <v>27</v>
      </c>
      <c r="R102" s="8">
        <v>19</v>
      </c>
      <c r="S102" s="8">
        <v>34</v>
      </c>
      <c r="T102" s="8">
        <v>13</v>
      </c>
      <c r="U102" s="8">
        <v>28</v>
      </c>
      <c r="V102" s="8">
        <v>19</v>
      </c>
      <c r="W102" s="8">
        <v>42</v>
      </c>
      <c r="X102" s="8">
        <v>27</v>
      </c>
      <c r="Y102" s="8">
        <v>15</v>
      </c>
      <c r="Z102" s="8">
        <v>9</v>
      </c>
      <c r="AA102" s="8">
        <v>0</v>
      </c>
      <c r="AB102" s="8">
        <v>0</v>
      </c>
      <c r="AC102" s="18">
        <f t="shared" si="18"/>
        <v>8</v>
      </c>
      <c r="AD102" s="18">
        <f t="shared" si="19"/>
        <v>21</v>
      </c>
      <c r="AE102" s="18">
        <f t="shared" si="20"/>
        <v>9</v>
      </c>
      <c r="AF102" s="18">
        <f t="shared" si="21"/>
        <v>15</v>
      </c>
      <c r="AG102" s="18">
        <f t="shared" si="22"/>
        <v>6</v>
      </c>
      <c r="AH102" s="18">
        <f t="shared" si="23"/>
        <v>0</v>
      </c>
    </row>
    <row r="103" spans="1:34" ht="14.4">
      <c r="A103" s="8" t="s">
        <v>972</v>
      </c>
      <c r="B103" s="8" t="s">
        <v>1105</v>
      </c>
      <c r="C103" s="8" t="s">
        <v>177</v>
      </c>
      <c r="D103" s="8" t="s">
        <v>6</v>
      </c>
      <c r="E103" s="8" t="s">
        <v>40</v>
      </c>
      <c r="F103" s="8" t="s">
        <v>65</v>
      </c>
      <c r="G103" s="8" t="s">
        <v>3</v>
      </c>
      <c r="H103" s="8" t="s">
        <v>76</v>
      </c>
      <c r="I103" s="8" t="s">
        <v>40</v>
      </c>
      <c r="J103" s="8" t="s">
        <v>40</v>
      </c>
      <c r="K103" s="19" t="s">
        <v>2316</v>
      </c>
      <c r="L103" s="19" t="s">
        <v>62</v>
      </c>
      <c r="M103" s="8" t="s">
        <v>1226</v>
      </c>
      <c r="N103" s="8">
        <v>258</v>
      </c>
      <c r="O103" s="8">
        <v>152</v>
      </c>
      <c r="P103" s="8">
        <v>106</v>
      </c>
      <c r="Q103" s="8">
        <v>66</v>
      </c>
      <c r="R103" s="8">
        <v>39</v>
      </c>
      <c r="S103" s="8">
        <v>50</v>
      </c>
      <c r="T103" s="8">
        <v>29</v>
      </c>
      <c r="U103" s="8">
        <v>48</v>
      </c>
      <c r="V103" s="8">
        <v>23</v>
      </c>
      <c r="W103" s="8">
        <v>47</v>
      </c>
      <c r="X103" s="8">
        <v>26</v>
      </c>
      <c r="Y103" s="8">
        <v>24</v>
      </c>
      <c r="Z103" s="8">
        <v>18</v>
      </c>
      <c r="AA103" s="8">
        <v>23</v>
      </c>
      <c r="AB103" s="8">
        <v>17</v>
      </c>
      <c r="AC103" s="18">
        <f t="shared" si="18"/>
        <v>27</v>
      </c>
      <c r="AD103" s="18">
        <f t="shared" si="19"/>
        <v>21</v>
      </c>
      <c r="AE103" s="18">
        <f t="shared" si="20"/>
        <v>25</v>
      </c>
      <c r="AF103" s="18">
        <f t="shared" si="21"/>
        <v>21</v>
      </c>
      <c r="AG103" s="18">
        <f t="shared" si="22"/>
        <v>6</v>
      </c>
      <c r="AH103" s="18">
        <f t="shared" si="23"/>
        <v>6</v>
      </c>
    </row>
    <row r="104" spans="1:34" ht="14.4">
      <c r="A104" s="8" t="s">
        <v>973</v>
      </c>
      <c r="B104" s="8" t="s">
        <v>1106</v>
      </c>
      <c r="C104" s="8" t="s">
        <v>140</v>
      </c>
      <c r="D104" s="8" t="s">
        <v>2</v>
      </c>
      <c r="E104" s="8" t="s">
        <v>40</v>
      </c>
      <c r="F104" s="8" t="s">
        <v>4</v>
      </c>
      <c r="G104" s="8" t="s">
        <v>8</v>
      </c>
      <c r="H104" s="8" t="s">
        <v>82</v>
      </c>
      <c r="I104" s="8" t="s">
        <v>40</v>
      </c>
      <c r="J104" s="8" t="s">
        <v>40</v>
      </c>
      <c r="K104" s="19" t="s">
        <v>40</v>
      </c>
      <c r="L104" s="19" t="s">
        <v>62</v>
      </c>
      <c r="M104" s="8" t="s">
        <v>2299</v>
      </c>
      <c r="N104" s="8">
        <v>259</v>
      </c>
      <c r="O104" s="8">
        <v>138</v>
      </c>
      <c r="P104" s="8">
        <v>121</v>
      </c>
      <c r="Q104" s="8">
        <v>63</v>
      </c>
      <c r="R104" s="8">
        <v>29</v>
      </c>
      <c r="S104" s="8">
        <v>42</v>
      </c>
      <c r="T104" s="8">
        <v>21</v>
      </c>
      <c r="U104" s="8">
        <v>32</v>
      </c>
      <c r="V104" s="8">
        <v>22</v>
      </c>
      <c r="W104" s="8">
        <v>61</v>
      </c>
      <c r="X104" s="8">
        <v>29</v>
      </c>
      <c r="Y104" s="8">
        <v>42</v>
      </c>
      <c r="Z104" s="8">
        <v>24</v>
      </c>
      <c r="AA104" s="8">
        <v>19</v>
      </c>
      <c r="AB104" s="8">
        <v>13</v>
      </c>
      <c r="AC104" s="18">
        <f t="shared" si="18"/>
        <v>34</v>
      </c>
      <c r="AD104" s="18">
        <f t="shared" si="19"/>
        <v>21</v>
      </c>
      <c r="AE104" s="18">
        <f t="shared" si="20"/>
        <v>10</v>
      </c>
      <c r="AF104" s="18">
        <f t="shared" si="21"/>
        <v>32</v>
      </c>
      <c r="AG104" s="18">
        <f t="shared" si="22"/>
        <v>18</v>
      </c>
      <c r="AH104" s="18">
        <f t="shared" si="23"/>
        <v>6</v>
      </c>
    </row>
    <row r="105" spans="1:34" ht="14.4">
      <c r="A105" s="8" t="s">
        <v>974</v>
      </c>
      <c r="B105" s="8" t="s">
        <v>1107</v>
      </c>
      <c r="C105" s="8" t="s">
        <v>177</v>
      </c>
      <c r="D105" s="8" t="s">
        <v>3</v>
      </c>
      <c r="E105" s="8" t="s">
        <v>40</v>
      </c>
      <c r="F105" s="8" t="s">
        <v>10</v>
      </c>
      <c r="G105" s="8" t="s">
        <v>8</v>
      </c>
      <c r="H105" s="8" t="s">
        <v>96</v>
      </c>
      <c r="I105" s="8" t="s">
        <v>40</v>
      </c>
      <c r="J105" s="8" t="s">
        <v>40</v>
      </c>
      <c r="K105" s="19" t="s">
        <v>2316</v>
      </c>
      <c r="L105" s="19" t="s">
        <v>62</v>
      </c>
      <c r="M105" s="8" t="s">
        <v>1227</v>
      </c>
      <c r="N105" s="8">
        <v>352</v>
      </c>
      <c r="O105" s="8">
        <v>183</v>
      </c>
      <c r="P105" s="8">
        <v>169</v>
      </c>
      <c r="Q105" s="8">
        <v>99</v>
      </c>
      <c r="R105" s="8">
        <v>55</v>
      </c>
      <c r="S105" s="8">
        <v>70</v>
      </c>
      <c r="T105" s="8">
        <v>27</v>
      </c>
      <c r="U105" s="8">
        <v>66</v>
      </c>
      <c r="V105" s="8">
        <v>33</v>
      </c>
      <c r="W105" s="8">
        <v>72</v>
      </c>
      <c r="X105" s="8">
        <v>42</v>
      </c>
      <c r="Y105" s="8">
        <v>38</v>
      </c>
      <c r="Z105" s="8">
        <v>22</v>
      </c>
      <c r="AA105" s="8">
        <v>7</v>
      </c>
      <c r="AB105" s="8">
        <v>4</v>
      </c>
      <c r="AC105" s="18">
        <f t="shared" si="18"/>
        <v>44</v>
      </c>
      <c r="AD105" s="18">
        <f t="shared" si="19"/>
        <v>43</v>
      </c>
      <c r="AE105" s="18">
        <f t="shared" si="20"/>
        <v>33</v>
      </c>
      <c r="AF105" s="18">
        <f t="shared" si="21"/>
        <v>30</v>
      </c>
      <c r="AG105" s="18">
        <f t="shared" si="22"/>
        <v>16</v>
      </c>
      <c r="AH105" s="18">
        <f t="shared" si="23"/>
        <v>3</v>
      </c>
    </row>
    <row r="106" spans="1:34" ht="14.4">
      <c r="A106" s="8" t="s">
        <v>975</v>
      </c>
      <c r="B106" s="8" t="s">
        <v>1108</v>
      </c>
      <c r="C106" s="8" t="s">
        <v>6</v>
      </c>
      <c r="D106" s="8" t="s">
        <v>5</v>
      </c>
      <c r="E106" s="8" t="s">
        <v>44</v>
      </c>
      <c r="F106" s="8" t="s">
        <v>8</v>
      </c>
      <c r="G106" s="8" t="s">
        <v>2</v>
      </c>
      <c r="H106" s="8" t="s">
        <v>56</v>
      </c>
      <c r="I106" s="8" t="s">
        <v>40</v>
      </c>
      <c r="J106" s="8" t="s">
        <v>40</v>
      </c>
      <c r="K106" s="19" t="s">
        <v>40</v>
      </c>
      <c r="L106" s="19" t="s">
        <v>62</v>
      </c>
      <c r="M106" s="8" t="s">
        <v>1228</v>
      </c>
      <c r="N106" s="8">
        <v>149</v>
      </c>
      <c r="O106" s="8">
        <v>80</v>
      </c>
      <c r="P106" s="8">
        <v>69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86</v>
      </c>
      <c r="X106" s="8">
        <v>42</v>
      </c>
      <c r="Y106" s="8">
        <v>52</v>
      </c>
      <c r="Z106" s="8">
        <v>31</v>
      </c>
      <c r="AA106" s="8">
        <v>11</v>
      </c>
      <c r="AB106" s="8">
        <v>7</v>
      </c>
      <c r="AC106" s="18">
        <f t="shared" si="18"/>
        <v>0</v>
      </c>
      <c r="AD106" s="18">
        <f t="shared" si="19"/>
        <v>0</v>
      </c>
      <c r="AE106" s="18">
        <f t="shared" si="20"/>
        <v>0</v>
      </c>
      <c r="AF106" s="18">
        <f t="shared" si="21"/>
        <v>44</v>
      </c>
      <c r="AG106" s="18">
        <f t="shared" si="22"/>
        <v>21</v>
      </c>
      <c r="AH106" s="18">
        <f t="shared" si="23"/>
        <v>4</v>
      </c>
    </row>
    <row r="107" spans="1:34" ht="14.4">
      <c r="A107" s="8" t="s">
        <v>976</v>
      </c>
      <c r="B107" s="8" t="s">
        <v>1109</v>
      </c>
      <c r="C107" s="8" t="s">
        <v>5</v>
      </c>
      <c r="D107" s="8" t="s">
        <v>6</v>
      </c>
      <c r="E107" s="8" t="s">
        <v>41</v>
      </c>
      <c r="F107" s="8" t="s">
        <v>7</v>
      </c>
      <c r="G107" s="8" t="s">
        <v>8</v>
      </c>
      <c r="H107" s="8" t="s">
        <v>1293</v>
      </c>
      <c r="I107" s="8" t="s">
        <v>40</v>
      </c>
      <c r="J107" s="8" t="s">
        <v>41</v>
      </c>
      <c r="K107" s="19" t="s">
        <v>40</v>
      </c>
      <c r="L107" s="19" t="s">
        <v>62</v>
      </c>
      <c r="M107" s="8" t="s">
        <v>1229</v>
      </c>
      <c r="N107" s="8">
        <v>130</v>
      </c>
      <c r="O107" s="8">
        <v>78</v>
      </c>
      <c r="P107" s="8">
        <v>52</v>
      </c>
      <c r="Q107" s="8">
        <v>27</v>
      </c>
      <c r="R107" s="8">
        <v>22</v>
      </c>
      <c r="S107" s="8">
        <v>27</v>
      </c>
      <c r="T107" s="8">
        <v>18</v>
      </c>
      <c r="U107" s="8">
        <v>24</v>
      </c>
      <c r="V107" s="8">
        <v>10</v>
      </c>
      <c r="W107" s="8">
        <v>37</v>
      </c>
      <c r="X107" s="8">
        <v>21</v>
      </c>
      <c r="Y107" s="8">
        <v>15</v>
      </c>
      <c r="Z107" s="8">
        <v>7</v>
      </c>
      <c r="AA107" s="8">
        <v>0</v>
      </c>
      <c r="AB107" s="8">
        <v>0</v>
      </c>
      <c r="AC107" s="18">
        <f t="shared" si="18"/>
        <v>5</v>
      </c>
      <c r="AD107" s="18">
        <f t="shared" si="19"/>
        <v>9</v>
      </c>
      <c r="AE107" s="18">
        <f t="shared" si="20"/>
        <v>14</v>
      </c>
      <c r="AF107" s="18">
        <f t="shared" si="21"/>
        <v>16</v>
      </c>
      <c r="AG107" s="18">
        <f t="shared" si="22"/>
        <v>8</v>
      </c>
      <c r="AH107" s="18">
        <f t="shared" si="23"/>
        <v>0</v>
      </c>
    </row>
    <row r="108" spans="1:34" ht="14.4">
      <c r="A108" s="8" t="s">
        <v>977</v>
      </c>
      <c r="B108" s="8" t="s">
        <v>1110</v>
      </c>
      <c r="C108" s="8" t="s">
        <v>8</v>
      </c>
      <c r="D108" s="8" t="s">
        <v>7</v>
      </c>
      <c r="E108" s="8" t="s">
        <v>62</v>
      </c>
      <c r="F108" s="8" t="s">
        <v>7</v>
      </c>
      <c r="G108" s="8" t="s">
        <v>3</v>
      </c>
      <c r="H108" s="8" t="s">
        <v>51</v>
      </c>
      <c r="I108" s="8" t="s">
        <v>40</v>
      </c>
      <c r="J108" s="8" t="s">
        <v>40</v>
      </c>
      <c r="K108" s="19" t="s">
        <v>40</v>
      </c>
      <c r="L108" s="19" t="s">
        <v>62</v>
      </c>
      <c r="M108" s="8" t="s">
        <v>1824</v>
      </c>
      <c r="N108" s="8">
        <v>49</v>
      </c>
      <c r="O108" s="8">
        <v>31</v>
      </c>
      <c r="P108" s="8">
        <v>18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24</v>
      </c>
      <c r="X108" s="8">
        <v>13</v>
      </c>
      <c r="Y108" s="8">
        <v>25</v>
      </c>
      <c r="Z108" s="8">
        <v>18</v>
      </c>
      <c r="AA108" s="8">
        <v>0</v>
      </c>
      <c r="AB108" s="8">
        <v>0</v>
      </c>
      <c r="AC108" s="18">
        <f t="shared" si="18"/>
        <v>0</v>
      </c>
      <c r="AD108" s="18">
        <f t="shared" si="19"/>
        <v>0</v>
      </c>
      <c r="AE108" s="18">
        <f t="shared" si="20"/>
        <v>0</v>
      </c>
      <c r="AF108" s="18">
        <f t="shared" si="21"/>
        <v>11</v>
      </c>
      <c r="AG108" s="18">
        <f t="shared" si="22"/>
        <v>7</v>
      </c>
      <c r="AH108" s="18">
        <f t="shared" si="23"/>
        <v>0</v>
      </c>
    </row>
    <row r="109" spans="1:34" ht="14.4">
      <c r="A109" s="8" t="s">
        <v>978</v>
      </c>
      <c r="B109" s="8" t="s">
        <v>1111</v>
      </c>
      <c r="C109" s="8" t="s">
        <v>8</v>
      </c>
      <c r="D109" s="8" t="s">
        <v>6</v>
      </c>
      <c r="E109" s="8" t="s">
        <v>62</v>
      </c>
      <c r="F109" s="8" t="s">
        <v>4</v>
      </c>
      <c r="G109" s="8" t="s">
        <v>7</v>
      </c>
      <c r="H109" s="8" t="s">
        <v>106</v>
      </c>
      <c r="I109" s="8" t="s">
        <v>40</v>
      </c>
      <c r="J109" s="8" t="s">
        <v>40</v>
      </c>
      <c r="K109" s="19" t="s">
        <v>40</v>
      </c>
      <c r="L109" s="19" t="s">
        <v>62</v>
      </c>
      <c r="M109" s="8" t="s">
        <v>1230</v>
      </c>
      <c r="N109" s="8">
        <v>113</v>
      </c>
      <c r="O109" s="8">
        <v>54</v>
      </c>
      <c r="P109" s="8">
        <v>59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41</v>
      </c>
      <c r="X109" s="8">
        <v>16</v>
      </c>
      <c r="Y109" s="8">
        <v>40</v>
      </c>
      <c r="Z109" s="8">
        <v>21</v>
      </c>
      <c r="AA109" s="8">
        <v>32</v>
      </c>
      <c r="AB109" s="8">
        <v>17</v>
      </c>
      <c r="AC109" s="18">
        <f t="shared" si="18"/>
        <v>0</v>
      </c>
      <c r="AD109" s="18">
        <f t="shared" si="19"/>
        <v>0</v>
      </c>
      <c r="AE109" s="18">
        <f t="shared" si="20"/>
        <v>0</v>
      </c>
      <c r="AF109" s="18">
        <f t="shared" si="21"/>
        <v>25</v>
      </c>
      <c r="AG109" s="18">
        <f t="shared" si="22"/>
        <v>19</v>
      </c>
      <c r="AH109" s="18">
        <f t="shared" si="23"/>
        <v>15</v>
      </c>
    </row>
    <row r="110" spans="1:34" ht="14.4">
      <c r="A110" s="8" t="s">
        <v>979</v>
      </c>
      <c r="B110" s="8" t="s">
        <v>1112</v>
      </c>
      <c r="C110" s="8" t="s">
        <v>8</v>
      </c>
      <c r="D110" s="8" t="s">
        <v>3</v>
      </c>
      <c r="E110" s="8" t="s">
        <v>62</v>
      </c>
      <c r="F110" s="8" t="s">
        <v>2</v>
      </c>
      <c r="G110" s="8" t="s">
        <v>3</v>
      </c>
      <c r="H110" s="8" t="s">
        <v>97</v>
      </c>
      <c r="I110" s="8" t="s">
        <v>40</v>
      </c>
      <c r="J110" s="8" t="s">
        <v>40</v>
      </c>
      <c r="K110" s="19" t="s">
        <v>40</v>
      </c>
      <c r="L110" s="19" t="s">
        <v>62</v>
      </c>
      <c r="M110" s="8" t="s">
        <v>1231</v>
      </c>
      <c r="N110" s="8">
        <v>81</v>
      </c>
      <c r="O110" s="8">
        <v>43</v>
      </c>
      <c r="P110" s="8">
        <v>38</v>
      </c>
      <c r="Q110" s="8">
        <v>14</v>
      </c>
      <c r="R110" s="8">
        <v>5</v>
      </c>
      <c r="S110" s="8">
        <v>11</v>
      </c>
      <c r="T110" s="8">
        <v>7</v>
      </c>
      <c r="U110" s="8">
        <v>21</v>
      </c>
      <c r="V110" s="8">
        <v>11</v>
      </c>
      <c r="W110" s="8">
        <v>12</v>
      </c>
      <c r="X110" s="8">
        <v>5</v>
      </c>
      <c r="Y110" s="8">
        <v>12</v>
      </c>
      <c r="Z110" s="8">
        <v>7</v>
      </c>
      <c r="AA110" s="8">
        <v>11</v>
      </c>
      <c r="AB110" s="8">
        <v>8</v>
      </c>
      <c r="AC110" s="18">
        <f t="shared" si="18"/>
        <v>9</v>
      </c>
      <c r="AD110" s="18">
        <f t="shared" si="19"/>
        <v>4</v>
      </c>
      <c r="AE110" s="18">
        <f t="shared" si="20"/>
        <v>10</v>
      </c>
      <c r="AF110" s="18">
        <f t="shared" si="21"/>
        <v>7</v>
      </c>
      <c r="AG110" s="18">
        <f t="shared" si="22"/>
        <v>5</v>
      </c>
      <c r="AH110" s="18">
        <f t="shared" si="23"/>
        <v>3</v>
      </c>
    </row>
    <row r="111" spans="1:34" ht="14.4">
      <c r="A111" s="8" t="s">
        <v>980</v>
      </c>
      <c r="B111" s="8" t="s">
        <v>1113</v>
      </c>
      <c r="C111" s="8" t="s">
        <v>178</v>
      </c>
      <c r="D111" s="8" t="s">
        <v>3</v>
      </c>
      <c r="E111" s="8" t="s">
        <v>40</v>
      </c>
      <c r="F111" s="8" t="s">
        <v>2</v>
      </c>
      <c r="G111" s="8" t="s">
        <v>11</v>
      </c>
      <c r="H111" s="8" t="s">
        <v>1294</v>
      </c>
      <c r="I111" s="8" t="s">
        <v>40</v>
      </c>
      <c r="J111" s="8" t="s">
        <v>40</v>
      </c>
      <c r="K111" s="19" t="s">
        <v>40</v>
      </c>
      <c r="L111" s="19" t="s">
        <v>62</v>
      </c>
      <c r="M111" s="8" t="s">
        <v>1232</v>
      </c>
      <c r="N111" s="8">
        <v>58</v>
      </c>
      <c r="O111" s="8">
        <v>28</v>
      </c>
      <c r="P111" s="8">
        <v>30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33</v>
      </c>
      <c r="X111" s="8">
        <v>14</v>
      </c>
      <c r="Y111" s="8">
        <v>25</v>
      </c>
      <c r="Z111" s="8">
        <v>14</v>
      </c>
      <c r="AA111" s="8">
        <v>0</v>
      </c>
      <c r="AB111" s="8">
        <v>0</v>
      </c>
      <c r="AC111" s="18">
        <f t="shared" si="18"/>
        <v>0</v>
      </c>
      <c r="AD111" s="18">
        <f t="shared" si="19"/>
        <v>0</v>
      </c>
      <c r="AE111" s="18">
        <f t="shared" si="20"/>
        <v>0</v>
      </c>
      <c r="AF111" s="18">
        <f t="shared" si="21"/>
        <v>19</v>
      </c>
      <c r="AG111" s="18">
        <f t="shared" si="22"/>
        <v>11</v>
      </c>
      <c r="AH111" s="18">
        <f t="shared" si="23"/>
        <v>0</v>
      </c>
    </row>
    <row r="112" spans="1:34" ht="14.4">
      <c r="A112" s="8" t="s">
        <v>981</v>
      </c>
      <c r="B112" s="8" t="s">
        <v>1114</v>
      </c>
      <c r="C112" s="8" t="s">
        <v>5</v>
      </c>
      <c r="D112" s="8" t="s">
        <v>2</v>
      </c>
      <c r="E112" s="8" t="s">
        <v>41</v>
      </c>
      <c r="F112" s="8" t="s">
        <v>3</v>
      </c>
      <c r="G112" s="8" t="s">
        <v>7</v>
      </c>
      <c r="H112" s="8" t="s">
        <v>1295</v>
      </c>
      <c r="I112" s="8" t="s">
        <v>40</v>
      </c>
      <c r="J112" s="8" t="s">
        <v>41</v>
      </c>
      <c r="K112" s="19" t="s">
        <v>40</v>
      </c>
      <c r="L112" s="19" t="s">
        <v>62</v>
      </c>
      <c r="M112" s="8" t="s">
        <v>1233</v>
      </c>
      <c r="N112" s="8">
        <v>63</v>
      </c>
      <c r="O112" s="8">
        <v>42</v>
      </c>
      <c r="P112" s="8">
        <v>21</v>
      </c>
      <c r="Q112" s="8">
        <v>10</v>
      </c>
      <c r="R112" s="8">
        <v>8</v>
      </c>
      <c r="S112" s="8">
        <v>17</v>
      </c>
      <c r="T112" s="8">
        <v>12</v>
      </c>
      <c r="U112" s="8">
        <v>12</v>
      </c>
      <c r="V112" s="8">
        <v>9</v>
      </c>
      <c r="W112" s="8">
        <v>17</v>
      </c>
      <c r="X112" s="8">
        <v>8</v>
      </c>
      <c r="Y112" s="8">
        <v>3</v>
      </c>
      <c r="Z112" s="8">
        <v>3</v>
      </c>
      <c r="AA112" s="8">
        <v>4</v>
      </c>
      <c r="AB112" s="8">
        <v>2</v>
      </c>
      <c r="AC112" s="18">
        <f t="shared" si="18"/>
        <v>2</v>
      </c>
      <c r="AD112" s="18">
        <f t="shared" si="19"/>
        <v>5</v>
      </c>
      <c r="AE112" s="18">
        <f t="shared" si="20"/>
        <v>3</v>
      </c>
      <c r="AF112" s="18">
        <f t="shared" si="21"/>
        <v>9</v>
      </c>
      <c r="AG112" s="18">
        <f t="shared" si="22"/>
        <v>0</v>
      </c>
      <c r="AH112" s="18">
        <f t="shared" si="23"/>
        <v>2</v>
      </c>
    </row>
    <row r="113" spans="1:34" ht="14.4">
      <c r="A113" s="8" t="s">
        <v>982</v>
      </c>
      <c r="B113" s="8" t="s">
        <v>1115</v>
      </c>
      <c r="C113" s="8" t="s">
        <v>15</v>
      </c>
      <c r="D113" s="8" t="s">
        <v>2</v>
      </c>
      <c r="E113" s="8" t="s">
        <v>68</v>
      </c>
      <c r="F113" s="8" t="s">
        <v>7</v>
      </c>
      <c r="G113" s="8" t="s">
        <v>2</v>
      </c>
      <c r="H113" s="8" t="s">
        <v>114</v>
      </c>
      <c r="I113" s="8" t="s">
        <v>40</v>
      </c>
      <c r="J113" s="8" t="s">
        <v>40</v>
      </c>
      <c r="K113" s="19" t="s">
        <v>40</v>
      </c>
      <c r="L113" s="19" t="s">
        <v>62</v>
      </c>
      <c r="M113" s="8" t="s">
        <v>1234</v>
      </c>
      <c r="N113" s="8">
        <v>33</v>
      </c>
      <c r="O113" s="8">
        <v>19</v>
      </c>
      <c r="P113" s="8">
        <v>14</v>
      </c>
      <c r="Q113" s="8">
        <v>10</v>
      </c>
      <c r="R113" s="8">
        <v>3</v>
      </c>
      <c r="S113" s="8">
        <v>4</v>
      </c>
      <c r="T113" s="8">
        <v>2</v>
      </c>
      <c r="U113" s="8">
        <v>1</v>
      </c>
      <c r="V113" s="8">
        <v>1</v>
      </c>
      <c r="W113" s="8">
        <v>10</v>
      </c>
      <c r="X113" s="8">
        <v>5</v>
      </c>
      <c r="Y113" s="8">
        <v>8</v>
      </c>
      <c r="Z113" s="8">
        <v>8</v>
      </c>
      <c r="AA113" s="8">
        <v>0</v>
      </c>
      <c r="AB113" s="8">
        <v>0</v>
      </c>
      <c r="AC113" s="18">
        <f t="shared" si="18"/>
        <v>7</v>
      </c>
      <c r="AD113" s="18">
        <f t="shared" si="19"/>
        <v>2</v>
      </c>
      <c r="AE113" s="18">
        <f t="shared" si="20"/>
        <v>0</v>
      </c>
      <c r="AF113" s="18">
        <f t="shared" si="21"/>
        <v>5</v>
      </c>
      <c r="AG113" s="18">
        <f t="shared" si="22"/>
        <v>0</v>
      </c>
      <c r="AH113" s="18">
        <f t="shared" si="23"/>
        <v>0</v>
      </c>
    </row>
    <row r="114" spans="1:34" ht="14.4">
      <c r="A114" s="8" t="s">
        <v>983</v>
      </c>
      <c r="B114" s="8" t="s">
        <v>1116</v>
      </c>
      <c r="C114" s="8" t="s">
        <v>140</v>
      </c>
      <c r="D114" s="8" t="s">
        <v>4</v>
      </c>
      <c r="E114" s="8" t="s">
        <v>40</v>
      </c>
      <c r="F114" s="8" t="s">
        <v>7</v>
      </c>
      <c r="G114" s="8" t="s">
        <v>8</v>
      </c>
      <c r="H114" s="8" t="s">
        <v>82</v>
      </c>
      <c r="I114" s="8" t="s">
        <v>40</v>
      </c>
      <c r="J114" s="8" t="s">
        <v>40</v>
      </c>
      <c r="K114" s="19" t="s">
        <v>40</v>
      </c>
      <c r="L114" s="19" t="s">
        <v>62</v>
      </c>
      <c r="M114" s="8" t="s">
        <v>1235</v>
      </c>
      <c r="N114" s="8">
        <v>105</v>
      </c>
      <c r="O114" s="8">
        <v>53</v>
      </c>
      <c r="P114" s="8">
        <v>52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45</v>
      </c>
      <c r="X114" s="8">
        <v>24</v>
      </c>
      <c r="Y114" s="8">
        <v>48</v>
      </c>
      <c r="Z114" s="8">
        <v>23</v>
      </c>
      <c r="AA114" s="8">
        <v>12</v>
      </c>
      <c r="AB114" s="8">
        <v>6</v>
      </c>
      <c r="AC114" s="18">
        <f t="shared" si="18"/>
        <v>0</v>
      </c>
      <c r="AD114" s="18">
        <f t="shared" si="19"/>
        <v>0</v>
      </c>
      <c r="AE114" s="18">
        <f t="shared" si="20"/>
        <v>0</v>
      </c>
      <c r="AF114" s="18">
        <f t="shared" si="21"/>
        <v>21</v>
      </c>
      <c r="AG114" s="18">
        <f t="shared" si="22"/>
        <v>25</v>
      </c>
      <c r="AH114" s="18">
        <f t="shared" si="23"/>
        <v>6</v>
      </c>
    </row>
    <row r="115" spans="1:34" ht="14.4">
      <c r="A115" s="8" t="s">
        <v>984</v>
      </c>
      <c r="B115" s="8" t="s">
        <v>1117</v>
      </c>
      <c r="C115" s="8" t="s">
        <v>3</v>
      </c>
      <c r="D115" s="8" t="s">
        <v>6</v>
      </c>
      <c r="E115" s="8" t="s">
        <v>40</v>
      </c>
      <c r="F115" s="8" t="s">
        <v>8</v>
      </c>
      <c r="G115" s="8" t="s">
        <v>2</v>
      </c>
      <c r="H115" s="8" t="s">
        <v>101</v>
      </c>
      <c r="I115" s="8" t="s">
        <v>40</v>
      </c>
      <c r="J115" s="8" t="s">
        <v>40</v>
      </c>
      <c r="K115" s="19" t="s">
        <v>40</v>
      </c>
      <c r="L115" s="19" t="s">
        <v>62</v>
      </c>
      <c r="M115" s="8" t="s">
        <v>1236</v>
      </c>
      <c r="N115" s="8">
        <v>5</v>
      </c>
      <c r="O115" s="8">
        <v>2</v>
      </c>
      <c r="P115" s="8">
        <v>3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5</v>
      </c>
      <c r="X115" s="8">
        <v>2</v>
      </c>
      <c r="Y115" s="8">
        <v>0</v>
      </c>
      <c r="Z115" s="8">
        <v>0</v>
      </c>
      <c r="AA115" s="8">
        <v>0</v>
      </c>
      <c r="AB115" s="8">
        <v>0</v>
      </c>
      <c r="AC115" s="18">
        <f t="shared" si="18"/>
        <v>0</v>
      </c>
      <c r="AD115" s="18">
        <f t="shared" si="19"/>
        <v>0</v>
      </c>
      <c r="AE115" s="18">
        <f t="shared" si="20"/>
        <v>0</v>
      </c>
      <c r="AF115" s="18">
        <f t="shared" si="21"/>
        <v>3</v>
      </c>
      <c r="AG115" s="18">
        <f t="shared" si="22"/>
        <v>0</v>
      </c>
      <c r="AH115" s="18">
        <f t="shared" si="23"/>
        <v>0</v>
      </c>
    </row>
    <row r="116" spans="1:34" ht="14.4">
      <c r="A116" s="8" t="s">
        <v>985</v>
      </c>
      <c r="B116" s="8" t="s">
        <v>1118</v>
      </c>
      <c r="C116" s="8" t="s">
        <v>16</v>
      </c>
      <c r="D116" s="8" t="s">
        <v>8</v>
      </c>
      <c r="E116" s="8" t="s">
        <v>53</v>
      </c>
      <c r="F116" s="8" t="s">
        <v>3</v>
      </c>
      <c r="G116" s="8" t="s">
        <v>5</v>
      </c>
      <c r="H116" s="8" t="s">
        <v>1296</v>
      </c>
      <c r="I116" s="8" t="s">
        <v>40</v>
      </c>
      <c r="J116" s="8" t="s">
        <v>41</v>
      </c>
      <c r="K116" s="19" t="s">
        <v>40</v>
      </c>
      <c r="L116" s="19" t="s">
        <v>62</v>
      </c>
      <c r="M116" s="8" t="s">
        <v>1237</v>
      </c>
      <c r="N116" s="8">
        <v>25</v>
      </c>
      <c r="O116" s="8">
        <v>13</v>
      </c>
      <c r="P116" s="8">
        <v>12</v>
      </c>
      <c r="Q116" s="8">
        <v>4</v>
      </c>
      <c r="R116" s="8">
        <v>2</v>
      </c>
      <c r="S116" s="8">
        <v>5</v>
      </c>
      <c r="T116" s="8">
        <v>2</v>
      </c>
      <c r="U116" s="8">
        <v>5</v>
      </c>
      <c r="V116" s="8">
        <v>3</v>
      </c>
      <c r="W116" s="8">
        <v>6</v>
      </c>
      <c r="X116" s="8">
        <v>4</v>
      </c>
      <c r="Y116" s="8">
        <v>3</v>
      </c>
      <c r="Z116" s="8">
        <v>1</v>
      </c>
      <c r="AA116" s="8">
        <v>2</v>
      </c>
      <c r="AB116" s="8">
        <v>1</v>
      </c>
      <c r="AC116" s="18">
        <f t="shared" si="18"/>
        <v>2</v>
      </c>
      <c r="AD116" s="18">
        <f t="shared" si="19"/>
        <v>3</v>
      </c>
      <c r="AE116" s="18">
        <f t="shared" si="20"/>
        <v>2</v>
      </c>
      <c r="AF116" s="18">
        <f t="shared" si="21"/>
        <v>2</v>
      </c>
      <c r="AG116" s="18">
        <f t="shared" si="22"/>
        <v>2</v>
      </c>
      <c r="AH116" s="18">
        <f t="shared" si="23"/>
        <v>1</v>
      </c>
    </row>
    <row r="117" spans="1:34" ht="14.4">
      <c r="A117" s="8" t="s">
        <v>986</v>
      </c>
      <c r="B117" s="8" t="s">
        <v>1119</v>
      </c>
      <c r="C117" s="8" t="s">
        <v>5</v>
      </c>
      <c r="D117" s="8" t="s">
        <v>8</v>
      </c>
      <c r="E117" s="8" t="s">
        <v>41</v>
      </c>
      <c r="F117" s="8" t="s">
        <v>15</v>
      </c>
      <c r="G117" s="8" t="s">
        <v>2</v>
      </c>
      <c r="H117" s="8" t="s">
        <v>84</v>
      </c>
      <c r="I117" s="8" t="s">
        <v>40</v>
      </c>
      <c r="J117" s="8" t="s">
        <v>40</v>
      </c>
      <c r="K117" s="19" t="s">
        <v>40</v>
      </c>
      <c r="L117" s="19" t="s">
        <v>62</v>
      </c>
      <c r="M117" s="8" t="s">
        <v>1238</v>
      </c>
      <c r="N117" s="8">
        <v>84</v>
      </c>
      <c r="O117" s="8">
        <v>48</v>
      </c>
      <c r="P117" s="8">
        <v>36</v>
      </c>
      <c r="Q117" s="8">
        <v>23</v>
      </c>
      <c r="R117" s="8">
        <v>9</v>
      </c>
      <c r="S117" s="8">
        <v>12</v>
      </c>
      <c r="T117" s="8">
        <v>5</v>
      </c>
      <c r="U117" s="8">
        <v>6</v>
      </c>
      <c r="V117" s="8">
        <v>6</v>
      </c>
      <c r="W117" s="8">
        <v>37</v>
      </c>
      <c r="X117" s="8">
        <v>25</v>
      </c>
      <c r="Y117" s="8">
        <v>5</v>
      </c>
      <c r="Z117" s="8">
        <v>3</v>
      </c>
      <c r="AA117" s="8">
        <v>1</v>
      </c>
      <c r="AB117" s="8">
        <v>0</v>
      </c>
      <c r="AC117" s="18">
        <f t="shared" si="18"/>
        <v>14</v>
      </c>
      <c r="AD117" s="18">
        <f t="shared" si="19"/>
        <v>7</v>
      </c>
      <c r="AE117" s="18">
        <f t="shared" si="20"/>
        <v>0</v>
      </c>
      <c r="AF117" s="18">
        <f t="shared" si="21"/>
        <v>12</v>
      </c>
      <c r="AG117" s="18">
        <f t="shared" si="22"/>
        <v>2</v>
      </c>
      <c r="AH117" s="18">
        <f t="shared" si="23"/>
        <v>1</v>
      </c>
    </row>
    <row r="118" spans="1:34" ht="14.4">
      <c r="A118" s="8" t="s">
        <v>987</v>
      </c>
      <c r="B118" s="8" t="s">
        <v>1120</v>
      </c>
      <c r="C118" s="8" t="s">
        <v>4</v>
      </c>
      <c r="D118" s="8" t="s">
        <v>10</v>
      </c>
      <c r="E118" s="8" t="s">
        <v>41</v>
      </c>
      <c r="F118" s="8" t="s">
        <v>6</v>
      </c>
      <c r="G118" s="8" t="s">
        <v>2</v>
      </c>
      <c r="H118" s="8" t="s">
        <v>125</v>
      </c>
      <c r="I118" s="8" t="s">
        <v>40</v>
      </c>
      <c r="J118" s="8" t="s">
        <v>40</v>
      </c>
      <c r="K118" s="19" t="s">
        <v>40</v>
      </c>
      <c r="L118" s="19" t="s">
        <v>62</v>
      </c>
      <c r="M118" s="8" t="s">
        <v>1239</v>
      </c>
      <c r="N118" s="8">
        <v>188</v>
      </c>
      <c r="O118" s="8">
        <v>121</v>
      </c>
      <c r="P118" s="8">
        <v>67</v>
      </c>
      <c r="Q118" s="8">
        <v>41</v>
      </c>
      <c r="R118" s="8">
        <v>26</v>
      </c>
      <c r="S118" s="8">
        <v>39</v>
      </c>
      <c r="T118" s="8">
        <v>24</v>
      </c>
      <c r="U118" s="8">
        <v>39</v>
      </c>
      <c r="V118" s="8">
        <v>25</v>
      </c>
      <c r="W118" s="8">
        <v>45</v>
      </c>
      <c r="X118" s="8">
        <v>30</v>
      </c>
      <c r="Y118" s="8">
        <v>13</v>
      </c>
      <c r="Z118" s="8">
        <v>9</v>
      </c>
      <c r="AA118" s="8">
        <v>11</v>
      </c>
      <c r="AB118" s="8">
        <v>7</v>
      </c>
      <c r="AC118" s="18">
        <f t="shared" si="18"/>
        <v>15</v>
      </c>
      <c r="AD118" s="18">
        <f t="shared" si="19"/>
        <v>15</v>
      </c>
      <c r="AE118" s="18">
        <f t="shared" si="20"/>
        <v>14</v>
      </c>
      <c r="AF118" s="18">
        <f t="shared" si="21"/>
        <v>15</v>
      </c>
      <c r="AG118" s="18">
        <f t="shared" si="22"/>
        <v>4</v>
      </c>
      <c r="AH118" s="18">
        <f t="shared" si="23"/>
        <v>4</v>
      </c>
    </row>
    <row r="119" spans="1:34" ht="14.4">
      <c r="A119" s="8" t="s">
        <v>988</v>
      </c>
      <c r="B119" s="8" t="s">
        <v>1121</v>
      </c>
      <c r="C119" s="8" t="s">
        <v>10</v>
      </c>
      <c r="D119" s="8" t="s">
        <v>2</v>
      </c>
      <c r="E119" s="8" t="s">
        <v>68</v>
      </c>
      <c r="F119" s="8" t="s">
        <v>12</v>
      </c>
      <c r="G119" s="8" t="s">
        <v>2</v>
      </c>
      <c r="H119" s="8" t="s">
        <v>1297</v>
      </c>
      <c r="I119" s="8" t="s">
        <v>40</v>
      </c>
      <c r="J119" s="8" t="s">
        <v>40</v>
      </c>
      <c r="K119" s="19" t="s">
        <v>40</v>
      </c>
      <c r="L119" s="19" t="s">
        <v>62</v>
      </c>
      <c r="M119" s="8" t="s">
        <v>1240</v>
      </c>
      <c r="N119" s="8">
        <v>186</v>
      </c>
      <c r="O119" s="8">
        <v>114</v>
      </c>
      <c r="P119" s="8">
        <v>72</v>
      </c>
      <c r="Q119" s="8">
        <v>49</v>
      </c>
      <c r="R119" s="8">
        <v>33</v>
      </c>
      <c r="S119" s="8">
        <v>46</v>
      </c>
      <c r="T119" s="8">
        <v>26</v>
      </c>
      <c r="U119" s="8">
        <v>13</v>
      </c>
      <c r="V119" s="8">
        <v>10</v>
      </c>
      <c r="W119" s="8">
        <v>45</v>
      </c>
      <c r="X119" s="8">
        <v>28</v>
      </c>
      <c r="Y119" s="8">
        <v>24</v>
      </c>
      <c r="Z119" s="8">
        <v>14</v>
      </c>
      <c r="AA119" s="8">
        <v>9</v>
      </c>
      <c r="AB119" s="8">
        <v>3</v>
      </c>
      <c r="AC119" s="18">
        <f t="shared" si="18"/>
        <v>16</v>
      </c>
      <c r="AD119" s="18">
        <f t="shared" si="19"/>
        <v>20</v>
      </c>
      <c r="AE119" s="18">
        <f t="shared" si="20"/>
        <v>3</v>
      </c>
      <c r="AF119" s="18">
        <f t="shared" si="21"/>
        <v>17</v>
      </c>
      <c r="AG119" s="18">
        <f t="shared" si="22"/>
        <v>10</v>
      </c>
      <c r="AH119" s="18">
        <f t="shared" si="23"/>
        <v>6</v>
      </c>
    </row>
    <row r="120" spans="1:34" ht="14.4">
      <c r="A120" s="8" t="s">
        <v>989</v>
      </c>
      <c r="B120" s="8" t="s">
        <v>1122</v>
      </c>
      <c r="C120" s="8" t="s">
        <v>99</v>
      </c>
      <c r="D120" s="8" t="s">
        <v>8</v>
      </c>
      <c r="E120" s="8" t="s">
        <v>49</v>
      </c>
      <c r="F120" s="8" t="s">
        <v>2</v>
      </c>
      <c r="G120" s="8" t="s">
        <v>4</v>
      </c>
      <c r="H120" s="8" t="s">
        <v>1298</v>
      </c>
      <c r="I120" s="8" t="s">
        <v>40</v>
      </c>
      <c r="J120" s="8" t="s">
        <v>40</v>
      </c>
      <c r="K120" s="19" t="s">
        <v>40</v>
      </c>
      <c r="L120" s="19" t="s">
        <v>62</v>
      </c>
      <c r="M120" s="8" t="s">
        <v>1241</v>
      </c>
      <c r="N120" s="8">
        <v>100</v>
      </c>
      <c r="O120" s="8">
        <v>60</v>
      </c>
      <c r="P120" s="8">
        <v>40</v>
      </c>
      <c r="Q120" s="8">
        <v>17</v>
      </c>
      <c r="R120" s="8">
        <v>13</v>
      </c>
      <c r="S120" s="8">
        <v>21</v>
      </c>
      <c r="T120" s="8">
        <v>14</v>
      </c>
      <c r="U120" s="8">
        <v>12</v>
      </c>
      <c r="V120" s="8">
        <v>5</v>
      </c>
      <c r="W120" s="8">
        <v>15</v>
      </c>
      <c r="X120" s="8">
        <v>7</v>
      </c>
      <c r="Y120" s="8">
        <v>18</v>
      </c>
      <c r="Z120" s="8">
        <v>11</v>
      </c>
      <c r="AA120" s="8">
        <v>17</v>
      </c>
      <c r="AB120" s="8">
        <v>10</v>
      </c>
      <c r="AC120" s="18">
        <f t="shared" si="18"/>
        <v>4</v>
      </c>
      <c r="AD120" s="18">
        <f t="shared" si="19"/>
        <v>7</v>
      </c>
      <c r="AE120" s="18">
        <f t="shared" si="20"/>
        <v>7</v>
      </c>
      <c r="AF120" s="18">
        <f t="shared" si="21"/>
        <v>8</v>
      </c>
      <c r="AG120" s="18">
        <f t="shared" si="22"/>
        <v>7</v>
      </c>
      <c r="AH120" s="18">
        <f t="shared" si="23"/>
        <v>7</v>
      </c>
    </row>
    <row r="121" spans="1:34" ht="14.4">
      <c r="A121" s="8" t="s">
        <v>990</v>
      </c>
      <c r="B121" s="8" t="s">
        <v>1123</v>
      </c>
      <c r="C121" s="8" t="s">
        <v>6</v>
      </c>
      <c r="D121" s="8" t="s">
        <v>10</v>
      </c>
      <c r="E121" s="8" t="s">
        <v>44</v>
      </c>
      <c r="F121" s="8" t="s">
        <v>3</v>
      </c>
      <c r="G121" s="8" t="s">
        <v>4</v>
      </c>
      <c r="H121" s="8" t="s">
        <v>1299</v>
      </c>
      <c r="I121" s="8" t="s">
        <v>40</v>
      </c>
      <c r="J121" s="8" t="s">
        <v>40</v>
      </c>
      <c r="K121" s="19" t="s">
        <v>40</v>
      </c>
      <c r="L121" s="19" t="s">
        <v>62</v>
      </c>
      <c r="M121" s="8" t="s">
        <v>1242</v>
      </c>
      <c r="N121" s="8">
        <v>294</v>
      </c>
      <c r="O121" s="8">
        <v>177</v>
      </c>
      <c r="P121" s="8">
        <v>117</v>
      </c>
      <c r="Q121" s="8">
        <v>76</v>
      </c>
      <c r="R121" s="8">
        <v>46</v>
      </c>
      <c r="S121" s="8">
        <v>66</v>
      </c>
      <c r="T121" s="8">
        <v>40</v>
      </c>
      <c r="U121" s="8">
        <v>41</v>
      </c>
      <c r="V121" s="8">
        <v>29</v>
      </c>
      <c r="W121" s="8">
        <v>60</v>
      </c>
      <c r="X121" s="8">
        <v>30</v>
      </c>
      <c r="Y121" s="8">
        <v>31</v>
      </c>
      <c r="Z121" s="8">
        <v>17</v>
      </c>
      <c r="AA121" s="8">
        <v>20</v>
      </c>
      <c r="AB121" s="8">
        <v>15</v>
      </c>
      <c r="AC121" s="18">
        <f t="shared" si="18"/>
        <v>30</v>
      </c>
      <c r="AD121" s="18">
        <f t="shared" si="19"/>
        <v>26</v>
      </c>
      <c r="AE121" s="18">
        <f t="shared" si="20"/>
        <v>12</v>
      </c>
      <c r="AF121" s="18">
        <f t="shared" si="21"/>
        <v>30</v>
      </c>
      <c r="AG121" s="18">
        <f t="shared" si="22"/>
        <v>14</v>
      </c>
      <c r="AH121" s="18">
        <f t="shared" si="23"/>
        <v>5</v>
      </c>
    </row>
    <row r="122" spans="1:34" ht="14.4">
      <c r="A122" s="8" t="s">
        <v>991</v>
      </c>
      <c r="B122" s="8" t="s">
        <v>1124</v>
      </c>
      <c r="C122" s="8" t="s">
        <v>60</v>
      </c>
      <c r="D122" s="8" t="s">
        <v>16</v>
      </c>
      <c r="E122" s="8" t="s">
        <v>53</v>
      </c>
      <c r="F122" s="8" t="s">
        <v>10</v>
      </c>
      <c r="G122" s="8" t="s">
        <v>6</v>
      </c>
      <c r="H122" s="8" t="s">
        <v>80</v>
      </c>
      <c r="I122" s="8" t="s">
        <v>40</v>
      </c>
      <c r="J122" s="8" t="s">
        <v>41</v>
      </c>
      <c r="K122" s="19" t="s">
        <v>40</v>
      </c>
      <c r="L122" s="19" t="s">
        <v>62</v>
      </c>
      <c r="M122" s="8" t="s">
        <v>1585</v>
      </c>
      <c r="N122" s="8">
        <v>68</v>
      </c>
      <c r="O122" s="8">
        <v>40</v>
      </c>
      <c r="P122" s="8">
        <v>28</v>
      </c>
      <c r="Q122" s="8">
        <v>12</v>
      </c>
      <c r="R122" s="8">
        <v>11</v>
      </c>
      <c r="S122" s="8">
        <v>11</v>
      </c>
      <c r="T122" s="8">
        <v>7</v>
      </c>
      <c r="U122" s="8">
        <v>10</v>
      </c>
      <c r="V122" s="8">
        <v>6</v>
      </c>
      <c r="W122" s="8">
        <v>11</v>
      </c>
      <c r="X122" s="8">
        <v>3</v>
      </c>
      <c r="Y122" s="8">
        <v>7</v>
      </c>
      <c r="Z122" s="8">
        <v>4</v>
      </c>
      <c r="AA122" s="8">
        <v>17</v>
      </c>
      <c r="AB122" s="8">
        <v>9</v>
      </c>
      <c r="AC122" s="18">
        <f t="shared" si="18"/>
        <v>1</v>
      </c>
      <c r="AD122" s="18">
        <f t="shared" si="19"/>
        <v>4</v>
      </c>
      <c r="AE122" s="18">
        <f t="shared" si="20"/>
        <v>4</v>
      </c>
      <c r="AF122" s="18">
        <f t="shared" si="21"/>
        <v>8</v>
      </c>
      <c r="AG122" s="18">
        <f t="shared" si="22"/>
        <v>3</v>
      </c>
      <c r="AH122" s="18">
        <f t="shared" si="23"/>
        <v>8</v>
      </c>
    </row>
    <row r="123" spans="1:34" ht="14.4">
      <c r="A123" s="8" t="s">
        <v>992</v>
      </c>
      <c r="B123" s="8" t="s">
        <v>1125</v>
      </c>
      <c r="C123" s="8" t="s">
        <v>140</v>
      </c>
      <c r="D123" s="8" t="s">
        <v>8</v>
      </c>
      <c r="E123" s="8" t="s">
        <v>40</v>
      </c>
      <c r="F123" s="8" t="s">
        <v>4</v>
      </c>
      <c r="G123" s="8" t="s">
        <v>15</v>
      </c>
      <c r="H123" s="8" t="s">
        <v>72</v>
      </c>
      <c r="I123" s="8" t="s">
        <v>40</v>
      </c>
      <c r="J123" s="8" t="s">
        <v>40</v>
      </c>
      <c r="K123" s="19" t="s">
        <v>40</v>
      </c>
      <c r="L123" s="19" t="s">
        <v>62</v>
      </c>
      <c r="M123" s="8" t="s">
        <v>1243</v>
      </c>
      <c r="N123" s="8">
        <v>283</v>
      </c>
      <c r="O123" s="8">
        <v>156</v>
      </c>
      <c r="P123" s="8">
        <v>127</v>
      </c>
      <c r="Q123" s="8">
        <v>61</v>
      </c>
      <c r="R123" s="8">
        <v>30</v>
      </c>
      <c r="S123" s="8">
        <v>63</v>
      </c>
      <c r="T123" s="8">
        <v>38</v>
      </c>
      <c r="U123" s="8">
        <v>41</v>
      </c>
      <c r="V123" s="8">
        <v>26</v>
      </c>
      <c r="W123" s="8">
        <v>56</v>
      </c>
      <c r="X123" s="8">
        <v>26</v>
      </c>
      <c r="Y123" s="8">
        <v>57</v>
      </c>
      <c r="Z123" s="8">
        <v>34</v>
      </c>
      <c r="AA123" s="8">
        <v>5</v>
      </c>
      <c r="AB123" s="8">
        <v>2</v>
      </c>
      <c r="AC123" s="18">
        <f t="shared" si="18"/>
        <v>31</v>
      </c>
      <c r="AD123" s="18">
        <f t="shared" si="19"/>
        <v>25</v>
      </c>
      <c r="AE123" s="18">
        <f t="shared" si="20"/>
        <v>15</v>
      </c>
      <c r="AF123" s="18">
        <f t="shared" si="21"/>
        <v>30</v>
      </c>
      <c r="AG123" s="18">
        <f t="shared" si="22"/>
        <v>23</v>
      </c>
      <c r="AH123" s="18">
        <f t="shared" si="23"/>
        <v>3</v>
      </c>
    </row>
    <row r="124" spans="1:34" ht="14.4">
      <c r="A124" s="8" t="s">
        <v>993</v>
      </c>
      <c r="B124" s="8" t="s">
        <v>1126</v>
      </c>
      <c r="C124" s="8" t="s">
        <v>140</v>
      </c>
      <c r="D124" s="8" t="s">
        <v>4</v>
      </c>
      <c r="E124" s="8" t="s">
        <v>40</v>
      </c>
      <c r="F124" s="8" t="s">
        <v>7</v>
      </c>
      <c r="G124" s="8" t="s">
        <v>7</v>
      </c>
      <c r="H124" s="8" t="s">
        <v>73</v>
      </c>
      <c r="I124" s="8" t="s">
        <v>40</v>
      </c>
      <c r="J124" s="8" t="s">
        <v>41</v>
      </c>
      <c r="K124" s="19" t="s">
        <v>40</v>
      </c>
      <c r="L124" s="19" t="s">
        <v>62</v>
      </c>
      <c r="M124" s="8" t="s">
        <v>1244</v>
      </c>
      <c r="N124" s="8">
        <v>50</v>
      </c>
      <c r="O124" s="8">
        <v>29</v>
      </c>
      <c r="P124" s="8">
        <v>21</v>
      </c>
      <c r="Q124" s="8">
        <v>11</v>
      </c>
      <c r="R124" s="8">
        <v>4</v>
      </c>
      <c r="S124" s="8">
        <v>9</v>
      </c>
      <c r="T124" s="8">
        <v>6</v>
      </c>
      <c r="U124" s="8">
        <v>6</v>
      </c>
      <c r="V124" s="8">
        <v>5</v>
      </c>
      <c r="W124" s="8">
        <v>18</v>
      </c>
      <c r="X124" s="8">
        <v>11</v>
      </c>
      <c r="Y124" s="8">
        <v>2</v>
      </c>
      <c r="Z124" s="8">
        <v>1</v>
      </c>
      <c r="AA124" s="8">
        <v>4</v>
      </c>
      <c r="AB124" s="8">
        <v>2</v>
      </c>
      <c r="AC124" s="18">
        <f t="shared" si="18"/>
        <v>7</v>
      </c>
      <c r="AD124" s="18">
        <f t="shared" si="19"/>
        <v>3</v>
      </c>
      <c r="AE124" s="18">
        <f t="shared" si="20"/>
        <v>1</v>
      </c>
      <c r="AF124" s="18">
        <f t="shared" si="21"/>
        <v>7</v>
      </c>
      <c r="AG124" s="18">
        <f t="shared" si="22"/>
        <v>1</v>
      </c>
      <c r="AH124" s="18">
        <f t="shared" si="23"/>
        <v>2</v>
      </c>
    </row>
    <row r="125" spans="1:34" ht="14.4">
      <c r="A125" s="8" t="s">
        <v>994</v>
      </c>
      <c r="B125" s="8" t="s">
        <v>1127</v>
      </c>
      <c r="C125" s="8" t="s">
        <v>140</v>
      </c>
      <c r="D125" s="8" t="s">
        <v>3</v>
      </c>
      <c r="E125" s="8" t="s">
        <v>40</v>
      </c>
      <c r="F125" s="8" t="s">
        <v>4</v>
      </c>
      <c r="G125" s="8" t="s">
        <v>3</v>
      </c>
      <c r="H125" s="8" t="s">
        <v>70</v>
      </c>
      <c r="I125" s="8" t="s">
        <v>40</v>
      </c>
      <c r="J125" s="8" t="s">
        <v>40</v>
      </c>
      <c r="K125" s="19" t="s">
        <v>40</v>
      </c>
      <c r="L125" s="19" t="s">
        <v>62</v>
      </c>
      <c r="M125" s="8" t="s">
        <v>1245</v>
      </c>
      <c r="N125" s="8">
        <v>283</v>
      </c>
      <c r="O125" s="8">
        <v>161</v>
      </c>
      <c r="P125" s="8">
        <v>122</v>
      </c>
      <c r="Q125" s="8">
        <v>83</v>
      </c>
      <c r="R125" s="8">
        <v>49</v>
      </c>
      <c r="S125" s="8">
        <v>74</v>
      </c>
      <c r="T125" s="8">
        <v>44</v>
      </c>
      <c r="U125" s="8">
        <v>28</v>
      </c>
      <c r="V125" s="8">
        <v>16</v>
      </c>
      <c r="W125" s="8">
        <v>69</v>
      </c>
      <c r="X125" s="8">
        <v>35</v>
      </c>
      <c r="Y125" s="8">
        <v>25</v>
      </c>
      <c r="Z125" s="8">
        <v>15</v>
      </c>
      <c r="AA125" s="8">
        <v>4</v>
      </c>
      <c r="AB125" s="8">
        <v>2</v>
      </c>
      <c r="AC125" s="18">
        <f t="shared" si="18"/>
        <v>34</v>
      </c>
      <c r="AD125" s="18">
        <f t="shared" si="19"/>
        <v>30</v>
      </c>
      <c r="AE125" s="18">
        <f t="shared" si="20"/>
        <v>12</v>
      </c>
      <c r="AF125" s="18">
        <f t="shared" si="21"/>
        <v>34</v>
      </c>
      <c r="AG125" s="18">
        <f t="shared" si="22"/>
        <v>10</v>
      </c>
      <c r="AH125" s="18">
        <f t="shared" si="23"/>
        <v>2</v>
      </c>
    </row>
    <row r="126" spans="1:34" ht="14.4">
      <c r="A126" s="8" t="s">
        <v>995</v>
      </c>
      <c r="B126" s="8" t="s">
        <v>1128</v>
      </c>
      <c r="C126" s="8" t="s">
        <v>141</v>
      </c>
      <c r="D126" s="8" t="s">
        <v>10</v>
      </c>
      <c r="E126" s="8" t="s">
        <v>49</v>
      </c>
      <c r="F126" s="8" t="s">
        <v>3</v>
      </c>
      <c r="G126" s="8" t="s">
        <v>4</v>
      </c>
      <c r="H126" s="8" t="s">
        <v>2308</v>
      </c>
      <c r="I126" s="8" t="s">
        <v>40</v>
      </c>
      <c r="J126" s="8" t="s">
        <v>41</v>
      </c>
      <c r="K126" s="19" t="s">
        <v>40</v>
      </c>
      <c r="L126" s="19" t="s">
        <v>62</v>
      </c>
      <c r="M126" s="8" t="s">
        <v>1246</v>
      </c>
      <c r="N126" s="8">
        <v>197</v>
      </c>
      <c r="O126" s="8">
        <v>114</v>
      </c>
      <c r="P126" s="8">
        <v>83</v>
      </c>
      <c r="Q126" s="8">
        <v>44</v>
      </c>
      <c r="R126" s="8">
        <v>24</v>
      </c>
      <c r="S126" s="8">
        <v>37</v>
      </c>
      <c r="T126" s="8">
        <v>22</v>
      </c>
      <c r="U126" s="8">
        <v>31</v>
      </c>
      <c r="V126" s="8">
        <v>19</v>
      </c>
      <c r="W126" s="8">
        <v>28</v>
      </c>
      <c r="X126" s="8">
        <v>18</v>
      </c>
      <c r="Y126" s="8">
        <v>47</v>
      </c>
      <c r="Z126" s="8">
        <v>26</v>
      </c>
      <c r="AA126" s="8">
        <v>10</v>
      </c>
      <c r="AB126" s="8">
        <v>5</v>
      </c>
      <c r="AC126" s="18">
        <f t="shared" si="18"/>
        <v>20</v>
      </c>
      <c r="AD126" s="18">
        <f t="shared" si="19"/>
        <v>15</v>
      </c>
      <c r="AE126" s="18">
        <f t="shared" si="20"/>
        <v>12</v>
      </c>
      <c r="AF126" s="18">
        <f t="shared" si="21"/>
        <v>10</v>
      </c>
      <c r="AG126" s="18">
        <f t="shared" si="22"/>
        <v>21</v>
      </c>
      <c r="AH126" s="18">
        <f t="shared" si="23"/>
        <v>5</v>
      </c>
    </row>
    <row r="127" spans="1:34" ht="14.4">
      <c r="A127" s="8" t="s">
        <v>996</v>
      </c>
      <c r="B127" s="8" t="s">
        <v>1129</v>
      </c>
      <c r="C127" s="8" t="s">
        <v>141</v>
      </c>
      <c r="D127" s="8" t="s">
        <v>7</v>
      </c>
      <c r="E127" s="8" t="s">
        <v>49</v>
      </c>
      <c r="F127" s="8" t="s">
        <v>3</v>
      </c>
      <c r="G127" s="8" t="s">
        <v>4</v>
      </c>
      <c r="H127" s="8" t="s">
        <v>1301</v>
      </c>
      <c r="I127" s="8" t="s">
        <v>40</v>
      </c>
      <c r="J127" s="8" t="s">
        <v>41</v>
      </c>
      <c r="K127" s="19" t="s">
        <v>40</v>
      </c>
      <c r="L127" s="19" t="s">
        <v>62</v>
      </c>
      <c r="M127" s="8" t="s">
        <v>1247</v>
      </c>
      <c r="N127" s="8">
        <v>135</v>
      </c>
      <c r="O127" s="8">
        <v>92</v>
      </c>
      <c r="P127" s="8">
        <v>43</v>
      </c>
      <c r="Q127" s="8">
        <v>21</v>
      </c>
      <c r="R127" s="8">
        <v>14</v>
      </c>
      <c r="S127" s="8">
        <v>14</v>
      </c>
      <c r="T127" s="8">
        <v>8</v>
      </c>
      <c r="U127" s="8">
        <v>36</v>
      </c>
      <c r="V127" s="8">
        <v>23</v>
      </c>
      <c r="W127" s="8">
        <v>28</v>
      </c>
      <c r="X127" s="8">
        <v>17</v>
      </c>
      <c r="Y127" s="8">
        <v>20</v>
      </c>
      <c r="Z127" s="8">
        <v>18</v>
      </c>
      <c r="AA127" s="8">
        <v>16</v>
      </c>
      <c r="AB127" s="8">
        <v>12</v>
      </c>
      <c r="AC127" s="18">
        <f t="shared" si="18"/>
        <v>7</v>
      </c>
      <c r="AD127" s="18">
        <f t="shared" si="19"/>
        <v>6</v>
      </c>
      <c r="AE127" s="18">
        <f t="shared" si="20"/>
        <v>13</v>
      </c>
      <c r="AF127" s="18">
        <f t="shared" si="21"/>
        <v>11</v>
      </c>
      <c r="AG127" s="18">
        <f t="shared" si="22"/>
        <v>2</v>
      </c>
      <c r="AH127" s="18">
        <f t="shared" si="23"/>
        <v>4</v>
      </c>
    </row>
    <row r="128" spans="1:34" ht="14.4">
      <c r="A128" s="8" t="s">
        <v>997</v>
      </c>
      <c r="B128" s="8" t="s">
        <v>1130</v>
      </c>
      <c r="C128" s="8" t="s">
        <v>50</v>
      </c>
      <c r="D128" s="8" t="s">
        <v>3</v>
      </c>
      <c r="E128" s="8" t="s">
        <v>41</v>
      </c>
      <c r="F128" s="8" t="s">
        <v>12</v>
      </c>
      <c r="G128" s="8" t="s">
        <v>3</v>
      </c>
      <c r="H128" s="8" t="s">
        <v>1302</v>
      </c>
      <c r="I128" s="8" t="s">
        <v>40</v>
      </c>
      <c r="J128" s="8" t="s">
        <v>40</v>
      </c>
      <c r="K128" s="19" t="s">
        <v>40</v>
      </c>
      <c r="L128" s="19" t="s">
        <v>62</v>
      </c>
      <c r="M128" s="8" t="s">
        <v>1248</v>
      </c>
      <c r="N128" s="8">
        <v>81</v>
      </c>
      <c r="O128" s="8">
        <v>45</v>
      </c>
      <c r="P128" s="8">
        <v>36</v>
      </c>
      <c r="Q128" s="8">
        <v>17</v>
      </c>
      <c r="R128" s="8">
        <v>12</v>
      </c>
      <c r="S128" s="8">
        <v>26</v>
      </c>
      <c r="T128" s="8">
        <v>14</v>
      </c>
      <c r="U128" s="8">
        <v>10</v>
      </c>
      <c r="V128" s="8">
        <v>7</v>
      </c>
      <c r="W128" s="8">
        <v>17</v>
      </c>
      <c r="X128" s="8">
        <v>6</v>
      </c>
      <c r="Y128" s="8">
        <v>9</v>
      </c>
      <c r="Z128" s="8">
        <v>5</v>
      </c>
      <c r="AA128" s="8">
        <v>2</v>
      </c>
      <c r="AB128" s="8">
        <v>1</v>
      </c>
      <c r="AC128" s="18">
        <f t="shared" si="18"/>
        <v>5</v>
      </c>
      <c r="AD128" s="18">
        <f t="shared" si="19"/>
        <v>12</v>
      </c>
      <c r="AE128" s="18">
        <f t="shared" si="20"/>
        <v>3</v>
      </c>
      <c r="AF128" s="18">
        <f t="shared" si="21"/>
        <v>11</v>
      </c>
      <c r="AG128" s="18">
        <f t="shared" si="22"/>
        <v>4</v>
      </c>
      <c r="AH128" s="18">
        <f t="shared" si="23"/>
        <v>1</v>
      </c>
    </row>
    <row r="129" spans="1:34" ht="14.4">
      <c r="A129" s="8" t="s">
        <v>998</v>
      </c>
      <c r="B129" s="8" t="s">
        <v>1131</v>
      </c>
      <c r="C129" s="8" t="s">
        <v>2</v>
      </c>
      <c r="D129" s="8" t="s">
        <v>7</v>
      </c>
      <c r="E129" s="8" t="s">
        <v>40</v>
      </c>
      <c r="F129" s="8" t="s">
        <v>12</v>
      </c>
      <c r="G129" s="8" t="s">
        <v>2</v>
      </c>
      <c r="H129" s="8" t="s">
        <v>1303</v>
      </c>
      <c r="I129" s="8" t="s">
        <v>40</v>
      </c>
      <c r="J129" s="8" t="s">
        <v>40</v>
      </c>
      <c r="K129" s="19" t="s">
        <v>40</v>
      </c>
      <c r="L129" s="19" t="s">
        <v>62</v>
      </c>
      <c r="M129" s="8" t="s">
        <v>1249</v>
      </c>
      <c r="N129" s="8">
        <v>57</v>
      </c>
      <c r="O129" s="8">
        <v>32</v>
      </c>
      <c r="P129" s="8">
        <v>25</v>
      </c>
      <c r="Q129" s="8">
        <v>10</v>
      </c>
      <c r="R129" s="8">
        <v>6</v>
      </c>
      <c r="S129" s="8">
        <v>2</v>
      </c>
      <c r="T129" s="8">
        <v>1</v>
      </c>
      <c r="U129" s="8">
        <v>2</v>
      </c>
      <c r="V129" s="8">
        <v>1</v>
      </c>
      <c r="W129" s="8">
        <v>21</v>
      </c>
      <c r="X129" s="8">
        <v>9</v>
      </c>
      <c r="Y129" s="8">
        <v>22</v>
      </c>
      <c r="Z129" s="8">
        <v>15</v>
      </c>
      <c r="AA129" s="8">
        <v>0</v>
      </c>
      <c r="AB129" s="8">
        <v>0</v>
      </c>
      <c r="AC129" s="18">
        <f t="shared" si="18"/>
        <v>4</v>
      </c>
      <c r="AD129" s="18">
        <f t="shared" si="19"/>
        <v>1</v>
      </c>
      <c r="AE129" s="18">
        <f t="shared" si="20"/>
        <v>1</v>
      </c>
      <c r="AF129" s="18">
        <f t="shared" si="21"/>
        <v>12</v>
      </c>
      <c r="AG129" s="18">
        <f t="shared" si="22"/>
        <v>7</v>
      </c>
      <c r="AH129" s="18">
        <f t="shared" si="23"/>
        <v>0</v>
      </c>
    </row>
    <row r="130" spans="1:34" ht="14.4">
      <c r="A130" s="8" t="s">
        <v>999</v>
      </c>
      <c r="B130" s="8" t="s">
        <v>1132</v>
      </c>
      <c r="C130" s="8" t="s">
        <v>8</v>
      </c>
      <c r="D130" s="8" t="s">
        <v>8</v>
      </c>
      <c r="E130" s="8" t="s">
        <v>62</v>
      </c>
      <c r="F130" s="8" t="s">
        <v>8</v>
      </c>
      <c r="G130" s="8" t="s">
        <v>3</v>
      </c>
      <c r="H130" s="8" t="s">
        <v>109</v>
      </c>
      <c r="I130" s="8" t="s">
        <v>40</v>
      </c>
      <c r="J130" s="8" t="s">
        <v>40</v>
      </c>
      <c r="K130" s="19" t="s">
        <v>40</v>
      </c>
      <c r="L130" s="19" t="s">
        <v>62</v>
      </c>
      <c r="M130" s="8" t="s">
        <v>1250</v>
      </c>
      <c r="N130" s="8">
        <v>27</v>
      </c>
      <c r="O130" s="8">
        <v>11</v>
      </c>
      <c r="P130" s="8">
        <v>16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17</v>
      </c>
      <c r="X130" s="8">
        <v>8</v>
      </c>
      <c r="Y130" s="8">
        <v>10</v>
      </c>
      <c r="Z130" s="8">
        <v>3</v>
      </c>
      <c r="AA130" s="8">
        <v>0</v>
      </c>
      <c r="AB130" s="8">
        <v>0</v>
      </c>
      <c r="AC130" s="18">
        <f t="shared" si="18"/>
        <v>0</v>
      </c>
      <c r="AD130" s="18">
        <f t="shared" si="19"/>
        <v>0</v>
      </c>
      <c r="AE130" s="18">
        <f t="shared" si="20"/>
        <v>0</v>
      </c>
      <c r="AF130" s="18">
        <f t="shared" si="21"/>
        <v>9</v>
      </c>
      <c r="AG130" s="18">
        <f t="shared" si="22"/>
        <v>7</v>
      </c>
      <c r="AH130" s="18">
        <f t="shared" si="23"/>
        <v>0</v>
      </c>
    </row>
    <row r="131" spans="1:34" ht="14.4">
      <c r="A131" s="8" t="s">
        <v>1000</v>
      </c>
      <c r="B131" s="8" t="s">
        <v>1133</v>
      </c>
      <c r="C131" s="8" t="s">
        <v>4</v>
      </c>
      <c r="D131" s="8" t="s">
        <v>5</v>
      </c>
      <c r="E131" s="8" t="s">
        <v>41</v>
      </c>
      <c r="F131" s="8" t="s">
        <v>2</v>
      </c>
      <c r="G131" s="8" t="s">
        <v>10</v>
      </c>
      <c r="H131" s="8" t="s">
        <v>57</v>
      </c>
      <c r="I131" s="8" t="s">
        <v>40</v>
      </c>
      <c r="J131" s="8" t="s">
        <v>40</v>
      </c>
      <c r="K131" s="19" t="s">
        <v>40</v>
      </c>
      <c r="L131" s="19" t="s">
        <v>62</v>
      </c>
      <c r="M131" s="8" t="s">
        <v>1251</v>
      </c>
      <c r="N131" s="8">
        <v>36</v>
      </c>
      <c r="O131" s="8">
        <v>15</v>
      </c>
      <c r="P131" s="8">
        <v>21</v>
      </c>
      <c r="Q131" s="8">
        <v>24</v>
      </c>
      <c r="R131" s="8">
        <v>9</v>
      </c>
      <c r="S131" s="8">
        <v>3</v>
      </c>
      <c r="T131" s="8">
        <v>1</v>
      </c>
      <c r="U131" s="8">
        <v>2</v>
      </c>
      <c r="V131" s="8">
        <v>1</v>
      </c>
      <c r="W131" s="8">
        <v>4</v>
      </c>
      <c r="X131" s="8">
        <v>1</v>
      </c>
      <c r="Y131" s="8">
        <v>3</v>
      </c>
      <c r="Z131" s="8">
        <v>3</v>
      </c>
      <c r="AA131" s="8">
        <v>0</v>
      </c>
      <c r="AB131" s="8">
        <v>0</v>
      </c>
      <c r="AC131" s="18">
        <f t="shared" ref="AC131:AC137" si="24">+Q131-R131</f>
        <v>15</v>
      </c>
      <c r="AD131" s="18">
        <f t="shared" ref="AD131:AD137" si="25">+S131-T131</f>
        <v>2</v>
      </c>
      <c r="AE131" s="18">
        <f t="shared" ref="AE131:AE137" si="26">+U131-V131</f>
        <v>1</v>
      </c>
      <c r="AF131" s="18">
        <f t="shared" ref="AF131:AF137" si="27">+W131-X131</f>
        <v>3</v>
      </c>
      <c r="AG131" s="18">
        <f t="shared" ref="AG131:AG137" si="28">+Y131-Z131</f>
        <v>0</v>
      </c>
      <c r="AH131" s="18">
        <f t="shared" ref="AH131:AH137" si="29">+AA131-AB131</f>
        <v>0</v>
      </c>
    </row>
    <row r="132" spans="1:34" ht="14.4">
      <c r="A132" s="8" t="s">
        <v>1001</v>
      </c>
      <c r="B132" s="8" t="s">
        <v>1134</v>
      </c>
      <c r="C132" s="8" t="s">
        <v>50</v>
      </c>
      <c r="D132" s="8" t="s">
        <v>3</v>
      </c>
      <c r="E132" s="8" t="s">
        <v>41</v>
      </c>
      <c r="F132" s="8" t="s">
        <v>12</v>
      </c>
      <c r="G132" s="8" t="s">
        <v>10</v>
      </c>
      <c r="H132" s="8" t="s">
        <v>1304</v>
      </c>
      <c r="I132" s="8" t="s">
        <v>40</v>
      </c>
      <c r="J132" s="8" t="s">
        <v>41</v>
      </c>
      <c r="K132" s="19" t="s">
        <v>40</v>
      </c>
      <c r="L132" s="19" t="s">
        <v>62</v>
      </c>
      <c r="M132" s="8" t="s">
        <v>1252</v>
      </c>
      <c r="N132" s="8">
        <v>111</v>
      </c>
      <c r="O132" s="8">
        <v>56</v>
      </c>
      <c r="P132" s="8">
        <v>55</v>
      </c>
      <c r="Q132" s="8">
        <v>28</v>
      </c>
      <c r="R132" s="8">
        <v>15</v>
      </c>
      <c r="S132" s="8">
        <v>22</v>
      </c>
      <c r="T132" s="8">
        <v>12</v>
      </c>
      <c r="U132" s="8">
        <v>19</v>
      </c>
      <c r="V132" s="8">
        <v>12</v>
      </c>
      <c r="W132" s="8">
        <v>20</v>
      </c>
      <c r="X132" s="8">
        <v>8</v>
      </c>
      <c r="Y132" s="8">
        <v>18</v>
      </c>
      <c r="Z132" s="8">
        <v>6</v>
      </c>
      <c r="AA132" s="8">
        <v>4</v>
      </c>
      <c r="AB132" s="8">
        <v>3</v>
      </c>
      <c r="AC132" s="18">
        <f t="shared" si="24"/>
        <v>13</v>
      </c>
      <c r="AD132" s="18">
        <f t="shared" si="25"/>
        <v>10</v>
      </c>
      <c r="AE132" s="18">
        <f t="shared" si="26"/>
        <v>7</v>
      </c>
      <c r="AF132" s="18">
        <f t="shared" si="27"/>
        <v>12</v>
      </c>
      <c r="AG132" s="18">
        <f t="shared" si="28"/>
        <v>12</v>
      </c>
      <c r="AH132" s="18">
        <f t="shared" si="29"/>
        <v>1</v>
      </c>
    </row>
    <row r="133" spans="1:34" ht="14.4">
      <c r="A133" s="8" t="s">
        <v>1002</v>
      </c>
      <c r="B133" s="8" t="s">
        <v>1135</v>
      </c>
      <c r="C133" s="8" t="s">
        <v>11</v>
      </c>
      <c r="D133" s="8" t="s">
        <v>4</v>
      </c>
      <c r="E133" s="8" t="s">
        <v>68</v>
      </c>
      <c r="F133" s="8" t="s">
        <v>3</v>
      </c>
      <c r="G133" s="8" t="s">
        <v>5</v>
      </c>
      <c r="H133" s="8" t="s">
        <v>1305</v>
      </c>
      <c r="I133" s="8" t="s">
        <v>40</v>
      </c>
      <c r="J133" s="8" t="s">
        <v>41</v>
      </c>
      <c r="K133" s="19" t="s">
        <v>40</v>
      </c>
      <c r="L133" s="19" t="s">
        <v>62</v>
      </c>
      <c r="M133" s="8" t="s">
        <v>1253</v>
      </c>
      <c r="N133" s="8">
        <v>8</v>
      </c>
      <c r="O133" s="8">
        <v>5</v>
      </c>
      <c r="P133" s="8">
        <v>3</v>
      </c>
      <c r="Q133" s="8">
        <v>2</v>
      </c>
      <c r="R133" s="8">
        <v>1</v>
      </c>
      <c r="S133" s="8">
        <v>4</v>
      </c>
      <c r="T133" s="8">
        <v>3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2</v>
      </c>
      <c r="AB133" s="8">
        <v>1</v>
      </c>
      <c r="AC133" s="18">
        <f t="shared" si="24"/>
        <v>1</v>
      </c>
      <c r="AD133" s="18">
        <f t="shared" si="25"/>
        <v>1</v>
      </c>
      <c r="AE133" s="18">
        <f t="shared" si="26"/>
        <v>0</v>
      </c>
      <c r="AF133" s="18">
        <f t="shared" si="27"/>
        <v>0</v>
      </c>
      <c r="AG133" s="18">
        <f t="shared" si="28"/>
        <v>0</v>
      </c>
      <c r="AH133" s="18">
        <f t="shared" si="29"/>
        <v>1</v>
      </c>
    </row>
    <row r="134" spans="1:34" ht="14.4">
      <c r="A134" s="8" t="s">
        <v>1003</v>
      </c>
      <c r="B134" s="8" t="s">
        <v>1136</v>
      </c>
      <c r="C134" s="8" t="s">
        <v>8</v>
      </c>
      <c r="D134" s="8" t="s">
        <v>6</v>
      </c>
      <c r="E134" s="8" t="s">
        <v>62</v>
      </c>
      <c r="F134" s="8" t="s">
        <v>4</v>
      </c>
      <c r="G134" s="8" t="s">
        <v>4</v>
      </c>
      <c r="H134" s="8" t="s">
        <v>43</v>
      </c>
      <c r="I134" s="8" t="s">
        <v>40</v>
      </c>
      <c r="J134" s="8" t="s">
        <v>40</v>
      </c>
      <c r="K134" s="19" t="s">
        <v>40</v>
      </c>
      <c r="L134" s="19" t="s">
        <v>62</v>
      </c>
      <c r="M134" s="8" t="s">
        <v>1254</v>
      </c>
      <c r="N134" s="8">
        <v>271</v>
      </c>
      <c r="O134" s="8">
        <v>151</v>
      </c>
      <c r="P134" s="8">
        <v>120</v>
      </c>
      <c r="Q134" s="8">
        <v>28</v>
      </c>
      <c r="R134" s="8">
        <v>17</v>
      </c>
      <c r="S134" s="8">
        <v>36</v>
      </c>
      <c r="T134" s="8">
        <v>20</v>
      </c>
      <c r="U134" s="8">
        <v>54</v>
      </c>
      <c r="V134" s="8">
        <v>28</v>
      </c>
      <c r="W134" s="8">
        <v>51</v>
      </c>
      <c r="X134" s="8">
        <v>31</v>
      </c>
      <c r="Y134" s="8">
        <v>62</v>
      </c>
      <c r="Z134" s="8">
        <v>34</v>
      </c>
      <c r="AA134" s="8">
        <v>40</v>
      </c>
      <c r="AB134" s="8">
        <v>21</v>
      </c>
      <c r="AC134" s="18">
        <f t="shared" si="24"/>
        <v>11</v>
      </c>
      <c r="AD134" s="18">
        <f t="shared" si="25"/>
        <v>16</v>
      </c>
      <c r="AE134" s="18">
        <f t="shared" si="26"/>
        <v>26</v>
      </c>
      <c r="AF134" s="18">
        <f t="shared" si="27"/>
        <v>20</v>
      </c>
      <c r="AG134" s="18">
        <f t="shared" si="28"/>
        <v>28</v>
      </c>
      <c r="AH134" s="18">
        <f t="shared" si="29"/>
        <v>19</v>
      </c>
    </row>
    <row r="135" spans="1:34" ht="14.4">
      <c r="A135" s="8" t="s">
        <v>1004</v>
      </c>
      <c r="B135" s="8" t="s">
        <v>820</v>
      </c>
      <c r="C135" s="8" t="s">
        <v>8</v>
      </c>
      <c r="D135" s="8" t="s">
        <v>8</v>
      </c>
      <c r="E135" s="8" t="s">
        <v>62</v>
      </c>
      <c r="F135" s="8" t="s">
        <v>8</v>
      </c>
      <c r="G135" s="8" t="s">
        <v>4</v>
      </c>
      <c r="H135" s="8" t="s">
        <v>2321</v>
      </c>
      <c r="I135" s="8" t="s">
        <v>41</v>
      </c>
      <c r="J135" s="8" t="s">
        <v>40</v>
      </c>
      <c r="K135" s="19" t="s">
        <v>2316</v>
      </c>
      <c r="L135" s="19" t="s">
        <v>62</v>
      </c>
      <c r="M135" s="8" t="s">
        <v>1255</v>
      </c>
      <c r="N135" s="8">
        <v>43</v>
      </c>
      <c r="O135" s="8">
        <v>32</v>
      </c>
      <c r="P135" s="8">
        <v>11</v>
      </c>
      <c r="Q135" s="8">
        <v>10</v>
      </c>
      <c r="R135" s="8">
        <v>7</v>
      </c>
      <c r="S135" s="8">
        <v>13</v>
      </c>
      <c r="T135" s="8">
        <v>10</v>
      </c>
      <c r="U135" s="8">
        <v>10</v>
      </c>
      <c r="V135" s="8">
        <v>7</v>
      </c>
      <c r="W135" s="8">
        <v>4</v>
      </c>
      <c r="X135" s="8">
        <v>2</v>
      </c>
      <c r="Y135" s="8">
        <v>6</v>
      </c>
      <c r="Z135" s="8">
        <v>6</v>
      </c>
      <c r="AA135" s="8">
        <v>0</v>
      </c>
      <c r="AB135" s="8">
        <v>0</v>
      </c>
      <c r="AC135" s="18">
        <f t="shared" si="24"/>
        <v>3</v>
      </c>
      <c r="AD135" s="18">
        <f t="shared" si="25"/>
        <v>3</v>
      </c>
      <c r="AE135" s="18">
        <f t="shared" si="26"/>
        <v>3</v>
      </c>
      <c r="AF135" s="18">
        <f t="shared" si="27"/>
        <v>2</v>
      </c>
      <c r="AG135" s="18">
        <f t="shared" si="28"/>
        <v>0</v>
      </c>
      <c r="AH135" s="18">
        <f t="shared" si="29"/>
        <v>0</v>
      </c>
    </row>
    <row r="136" spans="1:34" ht="14.4">
      <c r="A136" s="8" t="s">
        <v>1005</v>
      </c>
      <c r="B136" s="8" t="s">
        <v>1137</v>
      </c>
      <c r="C136" s="8" t="s">
        <v>178</v>
      </c>
      <c r="D136" s="8" t="s">
        <v>6</v>
      </c>
      <c r="E136" s="8" t="s">
        <v>40</v>
      </c>
      <c r="F136" s="8" t="s">
        <v>2</v>
      </c>
      <c r="G136" s="8" t="s">
        <v>8</v>
      </c>
      <c r="H136" s="8" t="s">
        <v>1306</v>
      </c>
      <c r="I136" s="8" t="s">
        <v>40</v>
      </c>
      <c r="J136" s="8" t="s">
        <v>40</v>
      </c>
      <c r="K136" s="19"/>
      <c r="L136" s="19" t="s">
        <v>62</v>
      </c>
      <c r="M136" s="8" t="s">
        <v>1256</v>
      </c>
      <c r="N136" s="8">
        <v>85</v>
      </c>
      <c r="O136" s="8">
        <v>52</v>
      </c>
      <c r="P136" s="8">
        <v>33</v>
      </c>
      <c r="Q136" s="8">
        <v>18</v>
      </c>
      <c r="R136" s="8">
        <v>13</v>
      </c>
      <c r="S136" s="8">
        <v>17</v>
      </c>
      <c r="T136" s="8">
        <v>11</v>
      </c>
      <c r="U136" s="8">
        <v>9</v>
      </c>
      <c r="V136" s="8">
        <v>8</v>
      </c>
      <c r="W136" s="8">
        <v>27</v>
      </c>
      <c r="X136" s="8">
        <v>13</v>
      </c>
      <c r="Y136" s="8">
        <v>13</v>
      </c>
      <c r="Z136" s="8">
        <v>7</v>
      </c>
      <c r="AA136" s="8">
        <v>1</v>
      </c>
      <c r="AB136" s="8">
        <v>0</v>
      </c>
      <c r="AC136" s="18">
        <f t="shared" si="24"/>
        <v>5</v>
      </c>
      <c r="AD136" s="18">
        <f t="shared" si="25"/>
        <v>6</v>
      </c>
      <c r="AE136" s="18">
        <f t="shared" si="26"/>
        <v>1</v>
      </c>
      <c r="AF136" s="18">
        <f t="shared" si="27"/>
        <v>14</v>
      </c>
      <c r="AG136" s="18">
        <f t="shared" si="28"/>
        <v>6</v>
      </c>
      <c r="AH136" s="18">
        <f t="shared" si="29"/>
        <v>1</v>
      </c>
    </row>
    <row r="137" spans="1:34" ht="14.4">
      <c r="A137" s="8" t="s">
        <v>1006</v>
      </c>
      <c r="B137" s="8" t="s">
        <v>1138</v>
      </c>
      <c r="C137" s="8" t="s">
        <v>2</v>
      </c>
      <c r="D137" s="8" t="s">
        <v>6</v>
      </c>
      <c r="E137" s="8" t="s">
        <v>40</v>
      </c>
      <c r="F137" s="8" t="s">
        <v>2</v>
      </c>
      <c r="G137" s="8" t="s">
        <v>12</v>
      </c>
      <c r="H137" s="8" t="s">
        <v>71</v>
      </c>
      <c r="I137" s="8" t="s">
        <v>40</v>
      </c>
      <c r="J137" s="8" t="s">
        <v>40</v>
      </c>
      <c r="K137" s="19"/>
      <c r="L137" s="19" t="s">
        <v>62</v>
      </c>
      <c r="M137" s="8" t="s">
        <v>1257</v>
      </c>
      <c r="N137" s="8">
        <v>26</v>
      </c>
      <c r="O137" s="8">
        <v>16</v>
      </c>
      <c r="P137" s="8">
        <v>10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11</v>
      </c>
      <c r="X137" s="8">
        <v>9</v>
      </c>
      <c r="Y137" s="8">
        <v>12</v>
      </c>
      <c r="Z137" s="8">
        <v>5</v>
      </c>
      <c r="AA137" s="8">
        <v>3</v>
      </c>
      <c r="AB137" s="8">
        <v>2</v>
      </c>
      <c r="AC137" s="18">
        <f t="shared" si="24"/>
        <v>0</v>
      </c>
      <c r="AD137" s="18">
        <f t="shared" si="25"/>
        <v>0</v>
      </c>
      <c r="AE137" s="18">
        <f t="shared" si="26"/>
        <v>0</v>
      </c>
      <c r="AF137" s="18">
        <f t="shared" si="27"/>
        <v>2</v>
      </c>
      <c r="AG137" s="18">
        <f t="shared" si="28"/>
        <v>7</v>
      </c>
      <c r="AH137" s="18">
        <f t="shared" si="29"/>
        <v>1</v>
      </c>
    </row>
  </sheetData>
  <sheetProtection algorithmName="SHA-512" hashValue="k5a0XiYEovFgIrwE9noNiHK5nJYa3AQWGNKvkt7BubOQwQ0BzHJHSit7rGzNUVvvNPXFPPJ6fWEBcTDosNrl2w==" saltValue="PEFnLPv7mg9Ee1+lOCjP7Q==" spinCount="100000" sheet="1" objects="1" scenarios="1"/>
  <autoFilter ref="A2:AH137" xr:uid="{00000000-0009-0000-0000-00000C000000}">
    <sortState xmlns:xlrd2="http://schemas.microsoft.com/office/spreadsheetml/2017/richdata2" ref="A3:AH137">
      <sortCondition ref="A3:A137"/>
    </sortState>
  </autoFilter>
  <sortState xmlns:xlrd2="http://schemas.microsoft.com/office/spreadsheetml/2017/richdata2" ref="A3:AH137">
    <sortCondition ref="A3:A137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8">
    <pageSetUpPr fitToPage="1"/>
  </sheetPr>
  <dimension ref="A1:I21"/>
  <sheetViews>
    <sheetView showGridLines="0" showRuler="0" zoomScale="90" zoomScaleNormal="90" workbookViewId="0"/>
  </sheetViews>
  <sheetFormatPr baseColWidth="10" defaultColWidth="11.44140625" defaultRowHeight="13.8"/>
  <cols>
    <col min="1" max="1" width="9.88671875" style="291" customWidth="1"/>
    <col min="2" max="2" width="8.109375" style="610" hidden="1" customWidth="1"/>
    <col min="3" max="3" width="31.88671875" style="291" customWidth="1"/>
    <col min="4" max="5" width="15.109375" style="291" customWidth="1"/>
    <col min="6" max="6" width="8" style="291" customWidth="1"/>
    <col min="7" max="7" width="15.109375" style="291" customWidth="1"/>
    <col min="8" max="8" width="8" style="291" customWidth="1"/>
    <col min="9" max="16384" width="11.44140625" style="291"/>
  </cols>
  <sheetData>
    <row r="1" spans="1:9" ht="18" customHeight="1">
      <c r="C1" s="197" t="s">
        <v>872</v>
      </c>
      <c r="E1" s="51"/>
      <c r="F1" s="51"/>
      <c r="G1" s="51"/>
      <c r="H1" s="51"/>
      <c r="I1" s="51"/>
    </row>
    <row r="2" spans="1:9" ht="17.399999999999999">
      <c r="C2" s="197" t="s">
        <v>1688</v>
      </c>
      <c r="D2" s="197"/>
      <c r="E2" s="197"/>
      <c r="F2" s="197"/>
      <c r="G2" s="197"/>
      <c r="H2" s="197"/>
    </row>
    <row r="3" spans="1:9" ht="17.399999999999999">
      <c r="C3" s="197" t="s">
        <v>2612</v>
      </c>
      <c r="D3" s="197"/>
      <c r="E3" s="197"/>
      <c r="F3" s="197"/>
      <c r="G3" s="197"/>
      <c r="H3" s="197"/>
    </row>
    <row r="4" spans="1:9" ht="23.25" customHeight="1" thickBot="1">
      <c r="A4" s="295"/>
      <c r="C4" s="296" t="s">
        <v>2584</v>
      </c>
      <c r="D4" s="295"/>
      <c r="E4" s="295"/>
      <c r="F4" s="295"/>
      <c r="G4" s="295"/>
      <c r="H4" s="295"/>
    </row>
    <row r="5" spans="1:9" ht="27" customHeight="1" thickTop="1" thickBot="1">
      <c r="B5" s="610">
        <v>1</v>
      </c>
      <c r="C5" s="620" t="s">
        <v>272</v>
      </c>
      <c r="D5" s="297" t="s">
        <v>0</v>
      </c>
      <c r="E5" s="828" t="s">
        <v>164</v>
      </c>
      <c r="F5" s="829"/>
      <c r="G5" s="830" t="s">
        <v>165</v>
      </c>
      <c r="H5" s="830"/>
    </row>
    <row r="6" spans="1:9" ht="30.75" customHeight="1" thickTop="1" thickBot="1">
      <c r="B6" s="611">
        <v>2</v>
      </c>
      <c r="C6" s="298" t="s">
        <v>873</v>
      </c>
      <c r="D6" s="299">
        <f>SUM(D7:D12)</f>
        <v>0</v>
      </c>
      <c r="E6" s="300">
        <f>SUM(E7:E12)</f>
        <v>0</v>
      </c>
      <c r="F6" s="301" t="s">
        <v>2613</v>
      </c>
      <c r="G6" s="300">
        <f>SUM(G7:G12)</f>
        <v>0</v>
      </c>
      <c r="H6" s="302" t="s">
        <v>2613</v>
      </c>
    </row>
    <row r="7" spans="1:9" ht="28.5" customHeight="1">
      <c r="B7" s="610">
        <v>3</v>
      </c>
      <c r="C7" s="303" t="s">
        <v>847</v>
      </c>
      <c r="D7" s="304">
        <f>+E7+G7</f>
        <v>0</v>
      </c>
      <c r="E7" s="305"/>
      <c r="F7" s="306" t="str">
        <f>IFERROR(VLOOKUP(Portada!$D$7,aplazados,18,FALSE),"")</f>
        <v/>
      </c>
      <c r="G7" s="305"/>
      <c r="H7" s="307" t="str">
        <f>IFERROR(VLOOKUP(Portada!$D$7,aplazados,29,FALSE),"")</f>
        <v/>
      </c>
    </row>
    <row r="8" spans="1:9" ht="28.5" customHeight="1">
      <c r="B8" s="610">
        <v>4</v>
      </c>
      <c r="C8" s="308" t="s">
        <v>848</v>
      </c>
      <c r="D8" s="265">
        <f t="shared" ref="D8:D12" si="0">+E8+G8</f>
        <v>0</v>
      </c>
      <c r="E8" s="309"/>
      <c r="F8" s="310" t="str">
        <f>IFERROR(VLOOKUP(Portada!$D$7,aplazados,20,FALSE),"")</f>
        <v/>
      </c>
      <c r="G8" s="309"/>
      <c r="H8" s="311" t="str">
        <f>IFERROR(VLOOKUP(Portada!$D$7,aplazados,30,FALSE),"")</f>
        <v/>
      </c>
    </row>
    <row r="9" spans="1:9" ht="28.5" customHeight="1">
      <c r="B9" s="610">
        <v>5</v>
      </c>
      <c r="C9" s="308" t="s">
        <v>849</v>
      </c>
      <c r="D9" s="265">
        <f t="shared" si="0"/>
        <v>0</v>
      </c>
      <c r="E9" s="309"/>
      <c r="F9" s="310" t="str">
        <f>IFERROR(VLOOKUP(Portada!$D$7,aplazados,22,FALSE),"")</f>
        <v/>
      </c>
      <c r="G9" s="309"/>
      <c r="H9" s="311" t="str">
        <f>IFERROR(VLOOKUP(Portada!$D$7,aplazados,31,FALSE),"")</f>
        <v/>
      </c>
    </row>
    <row r="10" spans="1:9" ht="28.5" customHeight="1">
      <c r="B10" s="610">
        <v>6</v>
      </c>
      <c r="C10" s="308" t="s">
        <v>837</v>
      </c>
      <c r="D10" s="236">
        <f t="shared" si="0"/>
        <v>0</v>
      </c>
      <c r="E10" s="309"/>
      <c r="F10" s="310" t="str">
        <f>IFERROR(VLOOKUP(Portada!$D$7,aplazados,24,FALSE),"")</f>
        <v/>
      </c>
      <c r="G10" s="309"/>
      <c r="H10" s="311" t="str">
        <f>IFERROR(VLOOKUP(Portada!$D$7,aplazados,32,FALSE),"")</f>
        <v/>
      </c>
    </row>
    <row r="11" spans="1:9" ht="28.5" customHeight="1">
      <c r="B11" s="610">
        <v>7</v>
      </c>
      <c r="C11" s="308" t="s">
        <v>850</v>
      </c>
      <c r="D11" s="265">
        <f t="shared" si="0"/>
        <v>0</v>
      </c>
      <c r="E11" s="309"/>
      <c r="F11" s="310" t="str">
        <f>IFERROR(VLOOKUP(Portada!$D$7,aplazados,26,FALSE),"")</f>
        <v/>
      </c>
      <c r="G11" s="309"/>
      <c r="H11" s="311" t="str">
        <f>IFERROR(VLOOKUP(Portada!$D$7,aplazados,33,FALSE),"")</f>
        <v/>
      </c>
    </row>
    <row r="12" spans="1:9" ht="28.5" customHeight="1" thickBot="1">
      <c r="B12" s="611">
        <v>8</v>
      </c>
      <c r="C12" s="312" t="s">
        <v>851</v>
      </c>
      <c r="D12" s="313">
        <f t="shared" si="0"/>
        <v>0</v>
      </c>
      <c r="E12" s="314"/>
      <c r="F12" s="315" t="str">
        <f>IFERROR(VLOOKUP(Portada!$D$7,aplazados,28,FALSE),"")</f>
        <v/>
      </c>
      <c r="G12" s="314"/>
      <c r="H12" s="316" t="str">
        <f>IFERROR(VLOOKUP(Portada!$D$7,aplazados,34,FALSE),"")</f>
        <v/>
      </c>
    </row>
    <row r="13" spans="1:9" s="320" customFormat="1" ht="9.75" customHeight="1" thickTop="1">
      <c r="A13" s="317"/>
      <c r="B13" s="612"/>
      <c r="C13" s="318"/>
      <c r="D13" s="317"/>
      <c r="E13" s="319" t="str">
        <f>IF(OR(E7&gt;F7,E8&gt;F8,E9&gt;F9,E10&gt;F10,E11&gt;F11,E12&gt;F12),"XX","")</f>
        <v/>
      </c>
      <c r="F13" s="317"/>
      <c r="G13" s="319" t="str">
        <f>IF(OR(G7&gt;H7,G8&gt;H8,G9&gt;H9,G10&gt;H10,G11&gt;H11,G12&gt;H12),"XX","")</f>
        <v/>
      </c>
      <c r="H13" s="317"/>
    </row>
    <row r="14" spans="1:9" ht="30" customHeight="1">
      <c r="C14" s="771" t="str">
        <f>IF(OR(E13="XX",G13="XX"),"¡VERIFICAR!.  El dato digitado es mayor a la cifra de aplazados reportada en el Censo Escolar 2023-Informe Final.","")</f>
        <v/>
      </c>
      <c r="D14" s="771"/>
      <c r="E14" s="771"/>
      <c r="F14" s="771"/>
      <c r="G14" s="771"/>
      <c r="H14" s="771"/>
    </row>
    <row r="15" spans="1:9" ht="30" customHeight="1">
      <c r="C15" s="771"/>
      <c r="D15" s="771"/>
      <c r="E15" s="771"/>
      <c r="F15" s="771"/>
      <c r="G15" s="771"/>
      <c r="H15" s="771"/>
    </row>
    <row r="16" spans="1:9" ht="15.6">
      <c r="C16" s="321" t="s">
        <v>273</v>
      </c>
    </row>
    <row r="17" spans="2:8">
      <c r="B17" s="610">
        <v>9</v>
      </c>
      <c r="C17" s="819"/>
      <c r="D17" s="820"/>
      <c r="E17" s="820"/>
      <c r="F17" s="820"/>
      <c r="G17" s="820"/>
      <c r="H17" s="821"/>
    </row>
    <row r="18" spans="2:8">
      <c r="C18" s="822"/>
      <c r="D18" s="823"/>
      <c r="E18" s="823"/>
      <c r="F18" s="823"/>
      <c r="G18" s="823"/>
      <c r="H18" s="824"/>
    </row>
    <row r="19" spans="2:8">
      <c r="C19" s="822"/>
      <c r="D19" s="823"/>
      <c r="E19" s="823"/>
      <c r="F19" s="823"/>
      <c r="G19" s="823"/>
      <c r="H19" s="824"/>
    </row>
    <row r="20" spans="2:8">
      <c r="C20" s="822"/>
      <c r="D20" s="823"/>
      <c r="E20" s="823"/>
      <c r="F20" s="823"/>
      <c r="G20" s="823"/>
      <c r="H20" s="824"/>
    </row>
    <row r="21" spans="2:8">
      <c r="C21" s="825"/>
      <c r="D21" s="826"/>
      <c r="E21" s="826"/>
      <c r="F21" s="826"/>
      <c r="G21" s="826"/>
      <c r="H21" s="827"/>
    </row>
  </sheetData>
  <sheetProtection algorithmName="SHA-512" hashValue="RhEC63SX59Njd9LQb0aO/cTXSA9DFPDNg/+IO2igZvegSy/ZaAbtBx4pV04G8ARL3pyM66Esel509D+dvqmOkQ==" saltValue="FrSW+GrJAl5bzp5J60PC3w==" spinCount="100000" sheet="1" objects="1" scenarios="1"/>
  <mergeCells count="4">
    <mergeCell ref="C17:H21"/>
    <mergeCell ref="E5:F5"/>
    <mergeCell ref="G5:H5"/>
    <mergeCell ref="C14:H15"/>
  </mergeCells>
  <conditionalFormatting sqref="C14:H15">
    <cfRule type="notContainsBlanks" dxfId="32" priority="1">
      <formula>LEN(TRIM(C14))&gt;0</formula>
    </cfRule>
  </conditionalFormatting>
  <conditionalFormatting sqref="E6 D6:D12">
    <cfRule type="cellIs" dxfId="31" priority="27" operator="equal">
      <formula>0</formula>
    </cfRule>
  </conditionalFormatting>
  <conditionalFormatting sqref="E7:E12">
    <cfRule type="expression" dxfId="30" priority="8">
      <formula>E7&gt;F7</formula>
    </cfRule>
  </conditionalFormatting>
  <conditionalFormatting sqref="F7:F12">
    <cfRule type="cellIs" dxfId="29" priority="26" operator="equal">
      <formula>0</formula>
    </cfRule>
  </conditionalFormatting>
  <conditionalFormatting sqref="G6">
    <cfRule type="cellIs" dxfId="28" priority="25" operator="equal">
      <formula>0</formula>
    </cfRule>
  </conditionalFormatting>
  <conditionalFormatting sqref="G7:G12">
    <cfRule type="expression" dxfId="27" priority="2">
      <formula>G7&gt;H7</formula>
    </cfRule>
  </conditionalFormatting>
  <conditionalFormatting sqref="H7:H12">
    <cfRule type="cellIs" dxfId="26" priority="15" operator="equal">
      <formula>0</formula>
    </cfRule>
  </conditionalFormatting>
  <dataValidations count="1">
    <dataValidation type="whole" operator="greaterThanOrEqual" allowBlank="1" showInputMessage="1" showErrorMessage="1" sqref="D6:E12 G6:G12" xr:uid="{00000000-0002-0000-0B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orientation="landscape" r:id="rId1"/>
  <headerFooter scaleWithDoc="0">
    <oddFooter>&amp;R&amp;"Goudy,Negrita Cursiva"Técnica Diurna&amp;"Goudy,Cursiva",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>
    <pageSetUpPr fitToPage="1"/>
  </sheetPr>
  <dimension ref="B1:X27"/>
  <sheetViews>
    <sheetView showGridLines="0" zoomScale="90" zoomScaleNormal="90" workbookViewId="0"/>
  </sheetViews>
  <sheetFormatPr baseColWidth="10" defaultColWidth="11.44140625" defaultRowHeight="13.8"/>
  <cols>
    <col min="1" max="1" width="5.6640625" style="40" customWidth="1"/>
    <col min="2" max="2" width="5.6640625" style="609" hidden="1" customWidth="1"/>
    <col min="3" max="3" width="39.33203125" style="40" customWidth="1"/>
    <col min="4" max="6" width="6.5546875" style="40" customWidth="1"/>
    <col min="7" max="24" width="6.33203125" style="40" customWidth="1"/>
    <col min="25" max="16384" width="11.44140625" style="40"/>
  </cols>
  <sheetData>
    <row r="1" spans="2:24" ht="17.399999999999999">
      <c r="C1" s="246" t="s">
        <v>836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O1" s="248"/>
      <c r="Q1" s="51"/>
      <c r="R1" s="51"/>
      <c r="S1" s="51"/>
      <c r="T1" s="51"/>
      <c r="U1" s="51"/>
      <c r="V1" s="51"/>
      <c r="W1" s="51"/>
      <c r="X1" s="51"/>
    </row>
    <row r="2" spans="2:24" ht="18" thickBot="1">
      <c r="C2" s="246" t="s">
        <v>1689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2:24" ht="19.5" customHeight="1" thickTop="1">
      <c r="B3" s="609">
        <v>1</v>
      </c>
      <c r="C3" s="841" t="s">
        <v>274</v>
      </c>
      <c r="D3" s="843" t="s">
        <v>0</v>
      </c>
      <c r="E3" s="844"/>
      <c r="F3" s="845"/>
      <c r="G3" s="846" t="s">
        <v>847</v>
      </c>
      <c r="H3" s="789"/>
      <c r="I3" s="789"/>
      <c r="J3" s="846" t="s">
        <v>848</v>
      </c>
      <c r="K3" s="789"/>
      <c r="L3" s="789"/>
      <c r="M3" s="846" t="s">
        <v>849</v>
      </c>
      <c r="N3" s="789"/>
      <c r="O3" s="789"/>
      <c r="P3" s="846" t="s">
        <v>837</v>
      </c>
      <c r="Q3" s="789"/>
      <c r="R3" s="789"/>
      <c r="S3" s="846" t="s">
        <v>850</v>
      </c>
      <c r="T3" s="789"/>
      <c r="U3" s="789"/>
      <c r="V3" s="846" t="s">
        <v>851</v>
      </c>
      <c r="W3" s="789"/>
      <c r="X3" s="789"/>
    </row>
    <row r="4" spans="2:24" ht="30" customHeight="1" thickBot="1">
      <c r="B4" s="609">
        <v>2</v>
      </c>
      <c r="C4" s="842"/>
      <c r="D4" s="250" t="s">
        <v>0</v>
      </c>
      <c r="E4" s="251" t="s">
        <v>275</v>
      </c>
      <c r="F4" s="252" t="s">
        <v>276</v>
      </c>
      <c r="G4" s="253" t="s">
        <v>0</v>
      </c>
      <c r="H4" s="251" t="s">
        <v>275</v>
      </c>
      <c r="I4" s="254" t="s">
        <v>276</v>
      </c>
      <c r="J4" s="253" t="s">
        <v>0</v>
      </c>
      <c r="K4" s="251" t="s">
        <v>275</v>
      </c>
      <c r="L4" s="254" t="s">
        <v>276</v>
      </c>
      <c r="M4" s="253" t="s">
        <v>0</v>
      </c>
      <c r="N4" s="251" t="s">
        <v>275</v>
      </c>
      <c r="O4" s="254" t="s">
        <v>276</v>
      </c>
      <c r="P4" s="253" t="s">
        <v>0</v>
      </c>
      <c r="Q4" s="251" t="s">
        <v>275</v>
      </c>
      <c r="R4" s="254" t="s">
        <v>276</v>
      </c>
      <c r="S4" s="253" t="s">
        <v>0</v>
      </c>
      <c r="T4" s="251" t="s">
        <v>275</v>
      </c>
      <c r="U4" s="254" t="s">
        <v>276</v>
      </c>
      <c r="V4" s="255" t="s">
        <v>0</v>
      </c>
      <c r="W4" s="251" t="s">
        <v>275</v>
      </c>
      <c r="X4" s="256" t="s">
        <v>276</v>
      </c>
    </row>
    <row r="5" spans="2:24" ht="23.25" customHeight="1" thickTop="1">
      <c r="B5" s="609">
        <v>3</v>
      </c>
      <c r="C5" s="257" t="s">
        <v>277</v>
      </c>
      <c r="D5" s="258">
        <f t="shared" ref="D5:D20" si="0">E5+F5</f>
        <v>0</v>
      </c>
      <c r="E5" s="259">
        <f t="shared" ref="E5" si="1">H5+K5+N5+Q5+T5+W5</f>
        <v>0</v>
      </c>
      <c r="F5" s="260">
        <f t="shared" ref="F5" si="2">+I5+L5+O5+R5+U5+X5</f>
        <v>0</v>
      </c>
      <c r="G5" s="261">
        <f t="shared" ref="G5:G20" si="3">+H5+I5</f>
        <v>0</v>
      </c>
      <c r="H5" s="262"/>
      <c r="I5" s="262"/>
      <c r="J5" s="261">
        <f t="shared" ref="J5:J20" si="4">+K5+L5</f>
        <v>0</v>
      </c>
      <c r="K5" s="262"/>
      <c r="L5" s="262"/>
      <c r="M5" s="261">
        <f t="shared" ref="M5:M20" si="5">+N5+O5</f>
        <v>0</v>
      </c>
      <c r="N5" s="262"/>
      <c r="O5" s="262"/>
      <c r="P5" s="261">
        <f t="shared" ref="P5:P20" si="6">+Q5+R5</f>
        <v>0</v>
      </c>
      <c r="Q5" s="262"/>
      <c r="R5" s="262"/>
      <c r="S5" s="261">
        <f t="shared" ref="S5:S20" si="7">+T5+U5</f>
        <v>0</v>
      </c>
      <c r="T5" s="262"/>
      <c r="U5" s="262"/>
      <c r="V5" s="261">
        <f t="shared" ref="V5:V20" si="8">+W5+X5</f>
        <v>0</v>
      </c>
      <c r="W5" s="262"/>
      <c r="X5" s="263"/>
    </row>
    <row r="6" spans="2:24" ht="23.25" customHeight="1">
      <c r="B6" s="609">
        <v>4</v>
      </c>
      <c r="C6" s="264" t="s">
        <v>278</v>
      </c>
      <c r="D6" s="265">
        <f t="shared" si="0"/>
        <v>0</v>
      </c>
      <c r="E6" s="266">
        <f>H6+K6+N6+Q6+T6+W6</f>
        <v>0</v>
      </c>
      <c r="F6" s="267">
        <f>+I6+L6+O6+R6+U6+X6</f>
        <v>0</v>
      </c>
      <c r="G6" s="268">
        <f t="shared" si="3"/>
        <v>0</v>
      </c>
      <c r="H6" s="269"/>
      <c r="I6" s="270"/>
      <c r="J6" s="268">
        <f t="shared" si="4"/>
        <v>0</v>
      </c>
      <c r="K6" s="269"/>
      <c r="L6" s="270"/>
      <c r="M6" s="268">
        <f t="shared" si="5"/>
        <v>0</v>
      </c>
      <c r="N6" s="269"/>
      <c r="O6" s="270"/>
      <c r="P6" s="268">
        <f t="shared" si="6"/>
        <v>0</v>
      </c>
      <c r="Q6" s="269"/>
      <c r="R6" s="270"/>
      <c r="S6" s="268">
        <f t="shared" si="7"/>
        <v>0</v>
      </c>
      <c r="T6" s="269"/>
      <c r="U6" s="270"/>
      <c r="V6" s="268">
        <f t="shared" si="8"/>
        <v>0</v>
      </c>
      <c r="W6" s="269"/>
      <c r="X6" s="271"/>
    </row>
    <row r="7" spans="2:24" ht="23.25" customHeight="1">
      <c r="B7" s="609">
        <v>5</v>
      </c>
      <c r="C7" s="264" t="s">
        <v>280</v>
      </c>
      <c r="D7" s="265">
        <f t="shared" si="0"/>
        <v>0</v>
      </c>
      <c r="E7" s="266">
        <f t="shared" ref="E7:E20" si="9">H7+K7+N7+Q7+T7+W7</f>
        <v>0</v>
      </c>
      <c r="F7" s="267">
        <f t="shared" ref="F7:F20" si="10">+I7+L7+O7+R7+U7+X7</f>
        <v>0</v>
      </c>
      <c r="G7" s="268">
        <f t="shared" si="3"/>
        <v>0</v>
      </c>
      <c r="H7" s="269"/>
      <c r="I7" s="270"/>
      <c r="J7" s="268">
        <f t="shared" si="4"/>
        <v>0</v>
      </c>
      <c r="K7" s="269"/>
      <c r="L7" s="270"/>
      <c r="M7" s="268">
        <f t="shared" si="5"/>
        <v>0</v>
      </c>
      <c r="N7" s="269"/>
      <c r="O7" s="270"/>
      <c r="P7" s="268">
        <f t="shared" si="6"/>
        <v>0</v>
      </c>
      <c r="Q7" s="269"/>
      <c r="R7" s="270"/>
      <c r="S7" s="268">
        <f t="shared" si="7"/>
        <v>0</v>
      </c>
      <c r="T7" s="269"/>
      <c r="U7" s="270"/>
      <c r="V7" s="268">
        <f t="shared" si="8"/>
        <v>0</v>
      </c>
      <c r="W7" s="269"/>
      <c r="X7" s="271"/>
    </row>
    <row r="8" spans="2:24" ht="23.25" customHeight="1">
      <c r="B8" s="609">
        <v>6</v>
      </c>
      <c r="C8" s="264" t="s">
        <v>279</v>
      </c>
      <c r="D8" s="265">
        <f t="shared" si="0"/>
        <v>0</v>
      </c>
      <c r="E8" s="266">
        <f t="shared" si="9"/>
        <v>0</v>
      </c>
      <c r="F8" s="267">
        <f t="shared" si="10"/>
        <v>0</v>
      </c>
      <c r="G8" s="268">
        <f t="shared" si="3"/>
        <v>0</v>
      </c>
      <c r="H8" s="269"/>
      <c r="I8" s="270"/>
      <c r="J8" s="268">
        <f t="shared" si="4"/>
        <v>0</v>
      </c>
      <c r="K8" s="269"/>
      <c r="L8" s="270"/>
      <c r="M8" s="268">
        <f t="shared" si="5"/>
        <v>0</v>
      </c>
      <c r="N8" s="269"/>
      <c r="O8" s="270"/>
      <c r="P8" s="268">
        <f t="shared" si="6"/>
        <v>0</v>
      </c>
      <c r="Q8" s="269"/>
      <c r="R8" s="270"/>
      <c r="S8" s="268">
        <f t="shared" si="7"/>
        <v>0</v>
      </c>
      <c r="T8" s="269"/>
      <c r="U8" s="270"/>
      <c r="V8" s="268">
        <f t="shared" si="8"/>
        <v>0</v>
      </c>
      <c r="W8" s="269"/>
      <c r="X8" s="271"/>
    </row>
    <row r="9" spans="2:24" ht="23.25" customHeight="1">
      <c r="B9" s="609">
        <v>7</v>
      </c>
      <c r="C9" s="264" t="s">
        <v>831</v>
      </c>
      <c r="D9" s="265">
        <f t="shared" si="0"/>
        <v>0</v>
      </c>
      <c r="E9" s="272">
        <f t="shared" si="9"/>
        <v>0</v>
      </c>
      <c r="F9" s="267">
        <f t="shared" si="10"/>
        <v>0</v>
      </c>
      <c r="G9" s="268">
        <f t="shared" si="3"/>
        <v>0</v>
      </c>
      <c r="H9" s="269"/>
      <c r="I9" s="270"/>
      <c r="J9" s="268">
        <f t="shared" si="4"/>
        <v>0</v>
      </c>
      <c r="K9" s="269"/>
      <c r="L9" s="270"/>
      <c r="M9" s="268">
        <f t="shared" si="5"/>
        <v>0</v>
      </c>
      <c r="N9" s="269"/>
      <c r="O9" s="270"/>
      <c r="P9" s="268">
        <f t="shared" si="6"/>
        <v>0</v>
      </c>
      <c r="Q9" s="269"/>
      <c r="R9" s="270"/>
      <c r="S9" s="268">
        <f t="shared" si="7"/>
        <v>0</v>
      </c>
      <c r="T9" s="269"/>
      <c r="U9" s="270"/>
      <c r="V9" s="268">
        <f t="shared" si="8"/>
        <v>0</v>
      </c>
      <c r="W9" s="269"/>
      <c r="X9" s="271"/>
    </row>
    <row r="10" spans="2:24" ht="23.25" customHeight="1">
      <c r="B10" s="609">
        <v>8</v>
      </c>
      <c r="C10" s="264" t="s">
        <v>832</v>
      </c>
      <c r="D10" s="265">
        <f t="shared" ref="D10:D13" si="11">E10+F10</f>
        <v>0</v>
      </c>
      <c r="E10" s="266">
        <f t="shared" ref="E10:E13" si="12">H10+K10+N10+Q10+T10+W10</f>
        <v>0</v>
      </c>
      <c r="F10" s="267">
        <f t="shared" ref="F10:F13" si="13">+I10+L10+O10+R10+U10+X10</f>
        <v>0</v>
      </c>
      <c r="G10" s="268">
        <f t="shared" ref="G10:G13" si="14">+H10+I10</f>
        <v>0</v>
      </c>
      <c r="H10" s="269"/>
      <c r="I10" s="270"/>
      <c r="J10" s="268">
        <f t="shared" ref="J10:J13" si="15">+K10+L10</f>
        <v>0</v>
      </c>
      <c r="K10" s="269"/>
      <c r="L10" s="270"/>
      <c r="M10" s="268">
        <f t="shared" ref="M10:M13" si="16">+N10+O10</f>
        <v>0</v>
      </c>
      <c r="N10" s="269"/>
      <c r="O10" s="270"/>
      <c r="P10" s="268">
        <f t="shared" ref="P10:P13" si="17">+Q10+R10</f>
        <v>0</v>
      </c>
      <c r="Q10" s="269"/>
      <c r="R10" s="270"/>
      <c r="S10" s="268">
        <f t="shared" ref="S10:S13" si="18">+T10+U10</f>
        <v>0</v>
      </c>
      <c r="T10" s="269"/>
      <c r="U10" s="270"/>
      <c r="V10" s="268">
        <f t="shared" ref="V10:V13" si="19">+W10+X10</f>
        <v>0</v>
      </c>
      <c r="W10" s="269"/>
      <c r="X10" s="271"/>
    </row>
    <row r="11" spans="2:24" ht="23.25" customHeight="1">
      <c r="B11" s="609">
        <v>9</v>
      </c>
      <c r="C11" s="264" t="s">
        <v>833</v>
      </c>
      <c r="D11" s="265">
        <f t="shared" si="11"/>
        <v>0</v>
      </c>
      <c r="E11" s="266">
        <f t="shared" si="12"/>
        <v>0</v>
      </c>
      <c r="F11" s="267">
        <f t="shared" si="13"/>
        <v>0</v>
      </c>
      <c r="G11" s="268">
        <f t="shared" si="14"/>
        <v>0</v>
      </c>
      <c r="H11" s="269"/>
      <c r="I11" s="270"/>
      <c r="J11" s="268">
        <f t="shared" si="15"/>
        <v>0</v>
      </c>
      <c r="K11" s="269"/>
      <c r="L11" s="270"/>
      <c r="M11" s="268">
        <f t="shared" si="16"/>
        <v>0</v>
      </c>
      <c r="N11" s="269"/>
      <c r="O11" s="270"/>
      <c r="P11" s="268">
        <f t="shared" si="17"/>
        <v>0</v>
      </c>
      <c r="Q11" s="269"/>
      <c r="R11" s="270"/>
      <c r="S11" s="268">
        <f t="shared" si="18"/>
        <v>0</v>
      </c>
      <c r="T11" s="269"/>
      <c r="U11" s="270"/>
      <c r="V11" s="268">
        <f t="shared" si="19"/>
        <v>0</v>
      </c>
      <c r="W11" s="269"/>
      <c r="X11" s="271"/>
    </row>
    <row r="12" spans="2:24" ht="23.25" customHeight="1">
      <c r="B12" s="609">
        <v>10</v>
      </c>
      <c r="C12" s="264" t="s">
        <v>171</v>
      </c>
      <c r="D12" s="265">
        <f t="shared" si="11"/>
        <v>0</v>
      </c>
      <c r="E12" s="266">
        <f t="shared" si="12"/>
        <v>0</v>
      </c>
      <c r="F12" s="267">
        <f t="shared" si="13"/>
        <v>0</v>
      </c>
      <c r="G12" s="268">
        <f t="shared" si="14"/>
        <v>0</v>
      </c>
      <c r="H12" s="269"/>
      <c r="I12" s="270"/>
      <c r="J12" s="268">
        <f t="shared" si="15"/>
        <v>0</v>
      </c>
      <c r="K12" s="269"/>
      <c r="L12" s="270"/>
      <c r="M12" s="268">
        <f t="shared" si="16"/>
        <v>0</v>
      </c>
      <c r="N12" s="269"/>
      <c r="O12" s="270"/>
      <c r="P12" s="268">
        <f t="shared" si="17"/>
        <v>0</v>
      </c>
      <c r="Q12" s="269"/>
      <c r="R12" s="270"/>
      <c r="S12" s="268">
        <f t="shared" si="18"/>
        <v>0</v>
      </c>
      <c r="T12" s="269"/>
      <c r="U12" s="270"/>
      <c r="V12" s="268">
        <f t="shared" si="19"/>
        <v>0</v>
      </c>
      <c r="W12" s="269"/>
      <c r="X12" s="271"/>
    </row>
    <row r="13" spans="2:24" ht="23.25" customHeight="1">
      <c r="B13" s="609">
        <v>11</v>
      </c>
      <c r="C13" s="264" t="s">
        <v>18</v>
      </c>
      <c r="D13" s="265">
        <f t="shared" si="11"/>
        <v>0</v>
      </c>
      <c r="E13" s="266">
        <f t="shared" si="12"/>
        <v>0</v>
      </c>
      <c r="F13" s="267">
        <f t="shared" si="13"/>
        <v>0</v>
      </c>
      <c r="G13" s="268">
        <f t="shared" si="14"/>
        <v>0</v>
      </c>
      <c r="H13" s="269"/>
      <c r="I13" s="270"/>
      <c r="J13" s="268">
        <f t="shared" si="15"/>
        <v>0</v>
      </c>
      <c r="K13" s="269"/>
      <c r="L13" s="270"/>
      <c r="M13" s="268">
        <f t="shared" si="16"/>
        <v>0</v>
      </c>
      <c r="N13" s="269"/>
      <c r="O13" s="270"/>
      <c r="P13" s="268">
        <f t="shared" si="17"/>
        <v>0</v>
      </c>
      <c r="Q13" s="269"/>
      <c r="R13" s="270"/>
      <c r="S13" s="268">
        <f t="shared" si="18"/>
        <v>0</v>
      </c>
      <c r="T13" s="269"/>
      <c r="U13" s="270"/>
      <c r="V13" s="268">
        <f t="shared" si="19"/>
        <v>0</v>
      </c>
      <c r="W13" s="269"/>
      <c r="X13" s="271"/>
    </row>
    <row r="14" spans="2:24" ht="23.25" customHeight="1">
      <c r="B14" s="609">
        <v>12</v>
      </c>
      <c r="C14" s="273" t="s">
        <v>868</v>
      </c>
      <c r="D14" s="265">
        <f t="shared" ref="D14" si="20">E14+F14</f>
        <v>0</v>
      </c>
      <c r="E14" s="266">
        <f t="shared" ref="E14" si="21">H14+K14+N14+Q14+T14+W14</f>
        <v>0</v>
      </c>
      <c r="F14" s="267">
        <f t="shared" ref="F14" si="22">+I14+L14+O14+R14+U14+X14</f>
        <v>0</v>
      </c>
      <c r="G14" s="268">
        <f t="shared" ref="G14" si="23">+H14+I14</f>
        <v>0</v>
      </c>
      <c r="H14" s="269"/>
      <c r="I14" s="270"/>
      <c r="J14" s="268">
        <f t="shared" ref="J14" si="24">+K14+L14</f>
        <v>0</v>
      </c>
      <c r="K14" s="269"/>
      <c r="L14" s="270"/>
      <c r="M14" s="268">
        <f t="shared" ref="M14" si="25">+N14+O14</f>
        <v>0</v>
      </c>
      <c r="N14" s="269"/>
      <c r="O14" s="270"/>
      <c r="P14" s="268">
        <f t="shared" ref="P14" si="26">+Q14+R14</f>
        <v>0</v>
      </c>
      <c r="Q14" s="269"/>
      <c r="R14" s="270"/>
      <c r="S14" s="268">
        <f t="shared" ref="S14" si="27">+T14+U14</f>
        <v>0</v>
      </c>
      <c r="T14" s="269"/>
      <c r="U14" s="270"/>
      <c r="V14" s="268">
        <f t="shared" ref="V14" si="28">+W14+X14</f>
        <v>0</v>
      </c>
      <c r="W14" s="269"/>
      <c r="X14" s="271"/>
    </row>
    <row r="15" spans="2:24" ht="23.25" customHeight="1">
      <c r="B15" s="609">
        <v>13</v>
      </c>
      <c r="C15" s="264" t="s">
        <v>834</v>
      </c>
      <c r="D15" s="265">
        <f t="shared" si="0"/>
        <v>0</v>
      </c>
      <c r="E15" s="266">
        <f t="shared" si="9"/>
        <v>0</v>
      </c>
      <c r="F15" s="267">
        <f t="shared" si="10"/>
        <v>0</v>
      </c>
      <c r="G15" s="268">
        <f t="shared" si="3"/>
        <v>0</v>
      </c>
      <c r="H15" s="269"/>
      <c r="I15" s="270"/>
      <c r="J15" s="268">
        <f t="shared" si="4"/>
        <v>0</v>
      </c>
      <c r="K15" s="269"/>
      <c r="L15" s="270"/>
      <c r="M15" s="268">
        <f t="shared" si="5"/>
        <v>0</v>
      </c>
      <c r="N15" s="269"/>
      <c r="O15" s="270"/>
      <c r="P15" s="268">
        <f t="shared" si="6"/>
        <v>0</v>
      </c>
      <c r="Q15" s="269"/>
      <c r="R15" s="270"/>
      <c r="S15" s="268">
        <f t="shared" si="7"/>
        <v>0</v>
      </c>
      <c r="T15" s="269"/>
      <c r="U15" s="270"/>
      <c r="V15" s="268">
        <f t="shared" si="8"/>
        <v>0</v>
      </c>
      <c r="W15" s="269"/>
      <c r="X15" s="271"/>
    </row>
    <row r="16" spans="2:24" ht="23.25" customHeight="1">
      <c r="B16" s="609">
        <v>14</v>
      </c>
      <c r="C16" s="264" t="s">
        <v>162</v>
      </c>
      <c r="D16" s="265">
        <f t="shared" si="0"/>
        <v>0</v>
      </c>
      <c r="E16" s="266">
        <f t="shared" si="9"/>
        <v>0</v>
      </c>
      <c r="F16" s="267">
        <f t="shared" si="10"/>
        <v>0</v>
      </c>
      <c r="G16" s="268">
        <f t="shared" si="3"/>
        <v>0</v>
      </c>
      <c r="H16" s="269"/>
      <c r="I16" s="270"/>
      <c r="J16" s="268">
        <f t="shared" si="4"/>
        <v>0</v>
      </c>
      <c r="K16" s="269"/>
      <c r="L16" s="270"/>
      <c r="M16" s="268">
        <f t="shared" si="5"/>
        <v>0</v>
      </c>
      <c r="N16" s="269"/>
      <c r="O16" s="270"/>
      <c r="P16" s="268">
        <f t="shared" si="6"/>
        <v>0</v>
      </c>
      <c r="Q16" s="269"/>
      <c r="R16" s="270"/>
      <c r="S16" s="268">
        <f t="shared" si="7"/>
        <v>0</v>
      </c>
      <c r="T16" s="269"/>
      <c r="U16" s="270"/>
      <c r="V16" s="268">
        <f t="shared" si="8"/>
        <v>0</v>
      </c>
      <c r="W16" s="269"/>
      <c r="X16" s="271"/>
    </row>
    <row r="17" spans="2:24" ht="23.25" customHeight="1">
      <c r="B17" s="609">
        <v>15</v>
      </c>
      <c r="C17" s="264" t="s">
        <v>163</v>
      </c>
      <c r="D17" s="265">
        <f t="shared" si="0"/>
        <v>0</v>
      </c>
      <c r="E17" s="266">
        <f t="shared" si="9"/>
        <v>0</v>
      </c>
      <c r="F17" s="267">
        <f t="shared" si="10"/>
        <v>0</v>
      </c>
      <c r="G17" s="268">
        <f t="shared" si="3"/>
        <v>0</v>
      </c>
      <c r="H17" s="269"/>
      <c r="I17" s="270"/>
      <c r="J17" s="268">
        <f t="shared" si="4"/>
        <v>0</v>
      </c>
      <c r="K17" s="269"/>
      <c r="L17" s="270"/>
      <c r="M17" s="268">
        <f t="shared" si="5"/>
        <v>0</v>
      </c>
      <c r="N17" s="269"/>
      <c r="O17" s="270"/>
      <c r="P17" s="268">
        <f t="shared" si="6"/>
        <v>0</v>
      </c>
      <c r="Q17" s="269"/>
      <c r="R17" s="270"/>
      <c r="S17" s="268">
        <f t="shared" si="7"/>
        <v>0</v>
      </c>
      <c r="T17" s="269"/>
      <c r="U17" s="270"/>
      <c r="V17" s="268">
        <f t="shared" si="8"/>
        <v>0</v>
      </c>
      <c r="W17" s="269"/>
      <c r="X17" s="271"/>
    </row>
    <row r="18" spans="2:24" ht="23.25" customHeight="1">
      <c r="B18" s="609">
        <v>16</v>
      </c>
      <c r="C18" s="264" t="s">
        <v>161</v>
      </c>
      <c r="D18" s="265">
        <f t="shared" si="0"/>
        <v>0</v>
      </c>
      <c r="E18" s="266">
        <f t="shared" si="9"/>
        <v>0</v>
      </c>
      <c r="F18" s="267">
        <f t="shared" si="10"/>
        <v>0</v>
      </c>
      <c r="G18" s="268">
        <f t="shared" si="3"/>
        <v>0</v>
      </c>
      <c r="H18" s="269"/>
      <c r="I18" s="270"/>
      <c r="J18" s="268">
        <f t="shared" si="4"/>
        <v>0</v>
      </c>
      <c r="K18" s="269"/>
      <c r="L18" s="270"/>
      <c r="M18" s="268">
        <f t="shared" si="5"/>
        <v>0</v>
      </c>
      <c r="N18" s="269"/>
      <c r="O18" s="270"/>
      <c r="P18" s="268">
        <f t="shared" si="6"/>
        <v>0</v>
      </c>
      <c r="Q18" s="269"/>
      <c r="R18" s="270"/>
      <c r="S18" s="268">
        <f t="shared" si="7"/>
        <v>0</v>
      </c>
      <c r="T18" s="269"/>
      <c r="U18" s="270"/>
      <c r="V18" s="268">
        <f t="shared" si="8"/>
        <v>0</v>
      </c>
      <c r="W18" s="269"/>
      <c r="X18" s="271"/>
    </row>
    <row r="19" spans="2:24" ht="23.25" customHeight="1">
      <c r="B19" s="609">
        <v>17</v>
      </c>
      <c r="C19" s="274" t="s">
        <v>1530</v>
      </c>
      <c r="D19" s="275">
        <f t="shared" si="0"/>
        <v>0</v>
      </c>
      <c r="E19" s="276">
        <f t="shared" si="9"/>
        <v>0</v>
      </c>
      <c r="F19" s="277">
        <f t="shared" si="10"/>
        <v>0</v>
      </c>
      <c r="G19" s="278">
        <f t="shared" si="3"/>
        <v>0</v>
      </c>
      <c r="H19" s="279"/>
      <c r="I19" s="280"/>
      <c r="J19" s="278">
        <f t="shared" si="4"/>
        <v>0</v>
      </c>
      <c r="K19" s="279"/>
      <c r="L19" s="280"/>
      <c r="M19" s="278">
        <f t="shared" si="5"/>
        <v>0</v>
      </c>
      <c r="N19" s="279"/>
      <c r="O19" s="280"/>
      <c r="P19" s="278">
        <f t="shared" si="6"/>
        <v>0</v>
      </c>
      <c r="Q19" s="279"/>
      <c r="R19" s="280"/>
      <c r="S19" s="278">
        <f t="shared" si="7"/>
        <v>0</v>
      </c>
      <c r="T19" s="279"/>
      <c r="U19" s="280"/>
      <c r="V19" s="278">
        <f t="shared" si="8"/>
        <v>0</v>
      </c>
      <c r="W19" s="279"/>
      <c r="X19" s="281"/>
    </row>
    <row r="20" spans="2:24" ht="23.25" customHeight="1" thickBot="1">
      <c r="B20" s="609">
        <v>18</v>
      </c>
      <c r="C20" s="282" t="s">
        <v>827</v>
      </c>
      <c r="D20" s="283">
        <f t="shared" si="0"/>
        <v>0</v>
      </c>
      <c r="E20" s="284">
        <f t="shared" si="9"/>
        <v>0</v>
      </c>
      <c r="F20" s="285">
        <f t="shared" si="10"/>
        <v>0</v>
      </c>
      <c r="G20" s="286">
        <f t="shared" si="3"/>
        <v>0</v>
      </c>
      <c r="H20" s="287"/>
      <c r="I20" s="288"/>
      <c r="J20" s="286">
        <f t="shared" si="4"/>
        <v>0</v>
      </c>
      <c r="K20" s="287"/>
      <c r="L20" s="288"/>
      <c r="M20" s="286">
        <f t="shared" si="5"/>
        <v>0</v>
      </c>
      <c r="N20" s="287"/>
      <c r="O20" s="288"/>
      <c r="P20" s="286">
        <f t="shared" si="6"/>
        <v>0</v>
      </c>
      <c r="Q20" s="287"/>
      <c r="R20" s="288"/>
      <c r="S20" s="286">
        <f t="shared" si="7"/>
        <v>0</v>
      </c>
      <c r="T20" s="287"/>
      <c r="U20" s="288"/>
      <c r="V20" s="286">
        <f t="shared" si="8"/>
        <v>0</v>
      </c>
      <c r="W20" s="287"/>
      <c r="X20" s="289"/>
    </row>
    <row r="21" spans="2:24" ht="18" thickTop="1">
      <c r="C21" s="290"/>
      <c r="D21" s="291"/>
      <c r="E21" s="291"/>
      <c r="F21" s="291"/>
      <c r="G21" s="292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</row>
    <row r="22" spans="2:24" ht="15.6">
      <c r="C22" s="294" t="s">
        <v>273</v>
      </c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1"/>
    </row>
    <row r="23" spans="2:24" ht="18" customHeight="1">
      <c r="B23" s="609">
        <v>19</v>
      </c>
      <c r="C23" s="832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4"/>
    </row>
    <row r="24" spans="2:24" ht="18" customHeight="1">
      <c r="C24" s="835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7"/>
    </row>
    <row r="25" spans="2:24" ht="18" customHeight="1">
      <c r="C25" s="835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6"/>
      <c r="V25" s="836"/>
      <c r="W25" s="836"/>
      <c r="X25" s="837"/>
    </row>
    <row r="26" spans="2:24" ht="18" customHeight="1">
      <c r="C26" s="835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6"/>
      <c r="V26" s="836"/>
      <c r="W26" s="836"/>
      <c r="X26" s="837"/>
    </row>
    <row r="27" spans="2:24" ht="18" customHeight="1">
      <c r="C27" s="838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</row>
  </sheetData>
  <sheetProtection algorithmName="SHA-512" hashValue="mC6ijioMg2e1YKfgs/ASJAP87BfvR71/pdgfjwjIMXyyHRP26qPdmF7K6E6PkzLUpaRgFa6UdGwVNwLursv6Ew==" saltValue="wytYXi05WoH4VGtydx45Cg==" spinCount="100000" sheet="1" objects="1" scenarios="1"/>
  <mergeCells count="10">
    <mergeCell ref="H22:X22"/>
    <mergeCell ref="C23:X27"/>
    <mergeCell ref="C3:C4"/>
    <mergeCell ref="D3:F3"/>
    <mergeCell ref="G3:I3"/>
    <mergeCell ref="J3:L3"/>
    <mergeCell ref="M3:O3"/>
    <mergeCell ref="P3:R3"/>
    <mergeCell ref="S3:U3"/>
    <mergeCell ref="V3:X3"/>
  </mergeCells>
  <conditionalFormatting sqref="D5:G20 J5:J20 M5:M20 P5:P20 S5:S20 V5:V20">
    <cfRule type="cellIs" dxfId="25" priority="272" operator="equal">
      <formula>0</formula>
    </cfRule>
  </conditionalFormatting>
  <conditionalFormatting sqref="H21">
    <cfRule type="containsText" dxfId="24" priority="270" operator="containsText" text="¡VERIFICAR!">
      <formula>NOT(ISERROR(SEARCH("¡VERIFICAR!",H21)))</formula>
    </cfRule>
  </conditionalFormatting>
  <dataValidations count="1">
    <dataValidation type="whole" operator="greaterThanOrEqual" allowBlank="1" showInputMessage="1" showErrorMessage="1" sqref="D5:X20" xr:uid="{00000000-0002-0000-0D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77" orientation="landscape" r:id="rId1"/>
  <headerFooter scaleWithDoc="0">
    <oddFooter>&amp;R&amp;"Goudy,Negrita Cursiva"Técnica Diurna&amp;"Goudy,Cursiva",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2">
    <pageSetUpPr fitToPage="1"/>
  </sheetPr>
  <dimension ref="B1:K17"/>
  <sheetViews>
    <sheetView showGridLines="0" zoomScale="90" zoomScaleNormal="90" workbookViewId="0"/>
  </sheetViews>
  <sheetFormatPr baseColWidth="10" defaultColWidth="11.44140625" defaultRowHeight="13.8"/>
  <cols>
    <col min="1" max="1" width="8.109375" style="44" customWidth="1"/>
    <col min="2" max="2" width="2.44140625" style="448" hidden="1" customWidth="1"/>
    <col min="3" max="3" width="70.5546875" style="44" customWidth="1"/>
    <col min="4" max="5" width="9" style="44" customWidth="1"/>
    <col min="6" max="8" width="12.5546875" style="44" customWidth="1"/>
    <col min="9" max="11" width="12.109375" style="44" customWidth="1"/>
    <col min="12" max="16384" width="11.44140625" style="44"/>
  </cols>
  <sheetData>
    <row r="1" spans="2:11" ht="17.399999999999999">
      <c r="C1" s="26" t="s">
        <v>795</v>
      </c>
      <c r="D1" s="51"/>
      <c r="E1" s="51"/>
      <c r="F1" s="51"/>
      <c r="G1" s="51"/>
      <c r="H1" s="51"/>
      <c r="I1" s="51"/>
    </row>
    <row r="2" spans="2:11" ht="18" thickBot="1">
      <c r="C2" s="26" t="s">
        <v>875</v>
      </c>
      <c r="D2" s="143"/>
      <c r="E2" s="143"/>
      <c r="F2" s="143"/>
      <c r="G2" s="143"/>
      <c r="H2" s="143"/>
    </row>
    <row r="3" spans="2:11" ht="26.25" customHeight="1" thickTop="1" thickBot="1">
      <c r="B3" s="448">
        <v>1</v>
      </c>
      <c r="C3" s="617" t="s">
        <v>166</v>
      </c>
      <c r="D3" s="56"/>
      <c r="E3" s="226"/>
      <c r="F3" s="57" t="s">
        <v>0</v>
      </c>
      <c r="G3" s="227" t="s">
        <v>164</v>
      </c>
      <c r="H3" s="228" t="s">
        <v>165</v>
      </c>
    </row>
    <row r="4" spans="2:11" ht="34.5" customHeight="1" thickTop="1" thickBot="1">
      <c r="B4" s="448">
        <v>2</v>
      </c>
      <c r="C4" s="229" t="s">
        <v>304</v>
      </c>
      <c r="D4" s="229"/>
      <c r="E4" s="621"/>
      <c r="F4" s="230">
        <f t="shared" ref="F4:F9" si="0">+G4+H4</f>
        <v>0</v>
      </c>
      <c r="G4" s="157">
        <f>SUM(G5:G9)</f>
        <v>0</v>
      </c>
      <c r="H4" s="231">
        <f>SUM(H5:H9)</f>
        <v>0</v>
      </c>
    </row>
    <row r="5" spans="2:11" ht="34.5" customHeight="1">
      <c r="B5" s="448">
        <v>3</v>
      </c>
      <c r="C5" s="232" t="s">
        <v>2580</v>
      </c>
      <c r="D5" s="623" t="s">
        <v>2614</v>
      </c>
      <c r="E5" s="639" t="str">
        <f>IF(AND(F5=0,'CUADRO 12'!E5&gt;0),"**","")</f>
        <v/>
      </c>
      <c r="F5" s="67">
        <f t="shared" si="0"/>
        <v>0</v>
      </c>
      <c r="G5" s="233"/>
      <c r="H5" s="234"/>
    </row>
    <row r="6" spans="2:11" ht="34.5" customHeight="1">
      <c r="B6" s="448">
        <v>4</v>
      </c>
      <c r="C6" s="235" t="s">
        <v>2581</v>
      </c>
      <c r="D6" s="625" t="s">
        <v>2614</v>
      </c>
      <c r="E6" s="640" t="str">
        <f>IF(AND(F6=0,'CUADRO 12'!E11&gt;0),"**","")</f>
        <v/>
      </c>
      <c r="F6" s="236">
        <f t="shared" si="0"/>
        <v>0</v>
      </c>
      <c r="G6" s="237"/>
      <c r="H6" s="238"/>
    </row>
    <row r="7" spans="2:11" ht="34.5" customHeight="1">
      <c r="B7" s="448">
        <v>5</v>
      </c>
      <c r="C7" s="235" t="s">
        <v>838</v>
      </c>
      <c r="D7" s="235"/>
      <c r="E7" s="640" t="str">
        <f>IF(AND(F7=0,'CUADRO 12'!E16&gt;0),"**","")</f>
        <v/>
      </c>
      <c r="F7" s="236">
        <f t="shared" si="0"/>
        <v>0</v>
      </c>
      <c r="G7" s="237"/>
      <c r="H7" s="238"/>
    </row>
    <row r="8" spans="2:11" ht="34.5" customHeight="1">
      <c r="B8" s="448">
        <v>6</v>
      </c>
      <c r="C8" s="235" t="s">
        <v>2582</v>
      </c>
      <c r="D8" s="235"/>
      <c r="E8" s="640" t="str">
        <f>IF(AND(F8=0,'CUADRO 12'!E34&gt;0),"**","")</f>
        <v/>
      </c>
      <c r="F8" s="236">
        <f t="shared" si="0"/>
        <v>0</v>
      </c>
      <c r="G8" s="237"/>
      <c r="H8" s="238"/>
      <c r="I8" s="848" t="str">
        <f>IF(AND(OR(F8=0),AND(('CUADRO 8'!G7+'CUADRO 8'!M7)&gt;0)),"¿Quién atiende los estudiantes que reciben Servicio de Apoyo Educativo?",(IF(AND(OR(F8&gt;0),AND(('CUADRO 8'!G7+'CUADRO 8'!M7)=0)),"¡No reportó datos en el Cuadro 8!","")))</f>
        <v/>
      </c>
      <c r="J8" s="848"/>
      <c r="K8" s="848"/>
    </row>
    <row r="9" spans="2:11" ht="34.5" customHeight="1" thickBot="1">
      <c r="B9" s="448">
        <v>7</v>
      </c>
      <c r="C9" s="239" t="s">
        <v>2583</v>
      </c>
      <c r="D9" s="624" t="s">
        <v>2614</v>
      </c>
      <c r="E9" s="641" t="str">
        <f>IF(AND(F9=0,'CUADRO 12'!E45&gt;0),"**","")</f>
        <v/>
      </c>
      <c r="F9" s="240">
        <f t="shared" si="0"/>
        <v>0</v>
      </c>
      <c r="G9" s="241"/>
      <c r="H9" s="242"/>
      <c r="I9" s="243"/>
      <c r="J9" s="243"/>
      <c r="K9" s="243"/>
    </row>
    <row r="10" spans="2:11" ht="23.4" customHeight="1" thickTop="1">
      <c r="C10" s="622" t="s">
        <v>2615</v>
      </c>
      <c r="D10" s="244"/>
      <c r="E10" s="244"/>
      <c r="F10" s="245"/>
      <c r="G10" s="191"/>
      <c r="H10" s="191"/>
    </row>
    <row r="11" spans="2:11" ht="23.4" customHeight="1">
      <c r="C11" s="626" t="str">
        <f>IF(OR(E5="**",E6="**",E7="**",E8="**",E9="**"),"** En el Cuadro 12 se indicaron datos, debe completar este Cuadro.","")</f>
        <v/>
      </c>
      <c r="D11" s="244"/>
      <c r="E11" s="244"/>
      <c r="F11" s="245"/>
      <c r="G11" s="191"/>
      <c r="H11" s="191"/>
    </row>
    <row r="12" spans="2:11" ht="21" customHeight="1">
      <c r="C12" s="195" t="s">
        <v>273</v>
      </c>
      <c r="D12" s="195"/>
      <c r="E12" s="195"/>
      <c r="G12" s="847"/>
      <c r="H12" s="847"/>
    </row>
    <row r="13" spans="2:11">
      <c r="B13" s="448">
        <v>8</v>
      </c>
      <c r="C13" s="723"/>
      <c r="D13" s="724"/>
      <c r="E13" s="724"/>
      <c r="F13" s="724"/>
      <c r="G13" s="724"/>
      <c r="H13" s="725"/>
    </row>
    <row r="14" spans="2:11">
      <c r="C14" s="726"/>
      <c r="D14" s="727"/>
      <c r="E14" s="727"/>
      <c r="F14" s="727"/>
      <c r="G14" s="727"/>
      <c r="H14" s="728"/>
    </row>
    <row r="15" spans="2:11" ht="18" customHeight="1">
      <c r="C15" s="726"/>
      <c r="D15" s="727"/>
      <c r="E15" s="727"/>
      <c r="F15" s="727"/>
      <c r="G15" s="727"/>
      <c r="H15" s="728"/>
    </row>
    <row r="16" spans="2:11" ht="18" customHeight="1">
      <c r="C16" s="726"/>
      <c r="D16" s="727"/>
      <c r="E16" s="727"/>
      <c r="F16" s="727"/>
      <c r="G16" s="727"/>
      <c r="H16" s="728"/>
    </row>
    <row r="17" spans="3:8" ht="18" customHeight="1">
      <c r="C17" s="729"/>
      <c r="D17" s="730"/>
      <c r="E17" s="730"/>
      <c r="F17" s="730"/>
      <c r="G17" s="730"/>
      <c r="H17" s="731"/>
    </row>
  </sheetData>
  <sheetProtection algorithmName="SHA-512" hashValue="oBtZO7iYvfTkKVwNI1Nua5u+EhNgVPKjFI58IbIo4eRwqzQ37Chnf7iA8cpbbnKUqTgsMBkedwrlZVR+MhVu0g==" saltValue="sD/eA3T78zY0AI3vGQggvw==" spinCount="100000" sheet="1" objects="1" scenarios="1"/>
  <mergeCells count="3">
    <mergeCell ref="C13:H17"/>
    <mergeCell ref="G12:H12"/>
    <mergeCell ref="I8:K8"/>
  </mergeCells>
  <conditionalFormatting sqref="F4:F9">
    <cfRule type="cellIs" dxfId="23" priority="4" operator="equal">
      <formula>0</formula>
    </cfRule>
  </conditionalFormatting>
  <conditionalFormatting sqref="F4:H4">
    <cfRule type="cellIs" dxfId="22" priority="3" operator="equal">
      <formula>0</formula>
    </cfRule>
  </conditionalFormatting>
  <dataValidations count="1">
    <dataValidation type="whole" operator="greaterThanOrEqual" allowBlank="1" showInputMessage="1" showErrorMessage="1" sqref="F4:H9" xr:uid="{00000000-0002-0000-0E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83" orientation="landscape" r:id="rId1"/>
  <headerFooter scaleWithDoc="0">
    <oddFooter>&amp;R&amp;"Goudy,Negrita Cursiva"Técnica Diurna&amp;"Goudy,Cursiva",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3">
    <pageSetUpPr fitToPage="1"/>
  </sheetPr>
  <dimension ref="B1:G70"/>
  <sheetViews>
    <sheetView showGridLines="0" zoomScale="90" zoomScaleNormal="90" workbookViewId="0"/>
  </sheetViews>
  <sheetFormatPr baseColWidth="10" defaultColWidth="11.44140625" defaultRowHeight="13.8"/>
  <cols>
    <col min="1" max="1" width="5.6640625" style="24" customWidth="1"/>
    <col min="2" max="2" width="5.6640625" style="448" hidden="1" customWidth="1"/>
    <col min="3" max="3" width="60.109375" style="24" customWidth="1"/>
    <col min="4" max="4" width="9.88671875" style="448" customWidth="1"/>
    <col min="5" max="7" width="15.44140625" style="24" customWidth="1"/>
    <col min="8" max="16384" width="11.44140625" style="24"/>
  </cols>
  <sheetData>
    <row r="1" spans="2:7" ht="17.399999999999999">
      <c r="C1" s="197" t="s">
        <v>796</v>
      </c>
      <c r="D1" s="611"/>
      <c r="E1" s="198"/>
      <c r="F1" s="198"/>
      <c r="G1" s="198"/>
    </row>
    <row r="2" spans="2:7" ht="18" thickBot="1">
      <c r="C2" s="199" t="s">
        <v>1693</v>
      </c>
      <c r="D2" s="630"/>
      <c r="E2" s="200"/>
      <c r="F2" s="200"/>
      <c r="G2" s="200"/>
    </row>
    <row r="3" spans="2:7" ht="30" customHeight="1" thickTop="1" thickBot="1">
      <c r="B3" s="448">
        <v>1</v>
      </c>
      <c r="C3" s="201" t="s">
        <v>166</v>
      </c>
      <c r="D3" s="647"/>
      <c r="E3" s="202" t="s">
        <v>0</v>
      </c>
      <c r="F3" s="203" t="s">
        <v>164</v>
      </c>
      <c r="G3" s="201" t="s">
        <v>165</v>
      </c>
    </row>
    <row r="4" spans="2:7" ht="19.5" customHeight="1" thickTop="1" thickBot="1">
      <c r="B4" s="448">
        <v>2</v>
      </c>
      <c r="C4" s="204" t="s">
        <v>181</v>
      </c>
      <c r="D4" s="631" t="str">
        <f>IF(AND(E4&gt;0,'CUADRO 11'!F4=0),"|**|","")</f>
        <v/>
      </c>
      <c r="E4" s="156">
        <f t="shared" ref="E4:E33" si="0">+F4+G4</f>
        <v>0</v>
      </c>
      <c r="F4" s="205">
        <f>+F5+F11+F16+F34+F45</f>
        <v>0</v>
      </c>
      <c r="G4" s="206">
        <f>+G5+G11+G16+G34+G45</f>
        <v>0</v>
      </c>
    </row>
    <row r="5" spans="2:7" ht="19.5" customHeight="1">
      <c r="B5" s="448">
        <v>3</v>
      </c>
      <c r="C5" s="207" t="s">
        <v>2624</v>
      </c>
      <c r="D5" s="632" t="str">
        <f>IF(OR('CUADRO 11'!F5&gt;E5,'CUADRO 11'!G5&gt;F5,'CUADRO 11'!H5&gt;G5),"*","")</f>
        <v/>
      </c>
      <c r="E5" s="208">
        <f t="shared" si="0"/>
        <v>0</v>
      </c>
      <c r="F5" s="209">
        <f>SUM(F6:F10)</f>
        <v>0</v>
      </c>
      <c r="G5" s="210">
        <f>SUM(G6:G10)</f>
        <v>0</v>
      </c>
    </row>
    <row r="6" spans="2:7" ht="19.5" customHeight="1">
      <c r="B6" s="448">
        <v>4</v>
      </c>
      <c r="C6" s="165" t="s">
        <v>167</v>
      </c>
      <c r="D6" s="633"/>
      <c r="E6" s="167">
        <f t="shared" si="0"/>
        <v>0</v>
      </c>
      <c r="F6" s="168"/>
      <c r="G6" s="213"/>
    </row>
    <row r="7" spans="2:7" ht="19.5" customHeight="1">
      <c r="B7" s="448">
        <v>5</v>
      </c>
      <c r="C7" s="165" t="s">
        <v>841</v>
      </c>
      <c r="D7" s="633"/>
      <c r="E7" s="167">
        <f t="shared" si="0"/>
        <v>0</v>
      </c>
      <c r="F7" s="168"/>
      <c r="G7" s="213"/>
    </row>
    <row r="8" spans="2:7" ht="19.5" customHeight="1">
      <c r="B8" s="448">
        <v>6</v>
      </c>
      <c r="C8" s="165" t="s">
        <v>168</v>
      </c>
      <c r="D8" s="633"/>
      <c r="E8" s="167">
        <f t="shared" si="0"/>
        <v>0</v>
      </c>
      <c r="F8" s="168"/>
      <c r="G8" s="213"/>
    </row>
    <row r="9" spans="2:7" ht="19.5" customHeight="1">
      <c r="B9" s="448">
        <v>7</v>
      </c>
      <c r="C9" s="627" t="s">
        <v>292</v>
      </c>
      <c r="D9" s="634"/>
      <c r="E9" s="214">
        <f t="shared" si="0"/>
        <v>0</v>
      </c>
      <c r="F9" s="215"/>
      <c r="G9" s="216"/>
    </row>
    <row r="10" spans="2:7" ht="19.5" customHeight="1">
      <c r="B10" s="448">
        <v>8</v>
      </c>
      <c r="C10" s="217" t="s">
        <v>843</v>
      </c>
      <c r="D10" s="634"/>
      <c r="E10" s="218">
        <f t="shared" si="0"/>
        <v>0</v>
      </c>
      <c r="F10" s="219"/>
      <c r="G10" s="221"/>
    </row>
    <row r="11" spans="2:7" ht="19.5" customHeight="1">
      <c r="B11" s="448">
        <v>9</v>
      </c>
      <c r="C11" s="637" t="s">
        <v>2625</v>
      </c>
      <c r="D11" s="635" t="str">
        <f>IF(OR('CUADRO 11'!F6&gt;E11,'CUADRO 11'!G6&gt;F11,'CUADRO 11'!H6&gt;G11),"*","")</f>
        <v/>
      </c>
      <c r="E11" s="67">
        <f t="shared" si="0"/>
        <v>0</v>
      </c>
      <c r="F11" s="220">
        <f>SUM(F12:F15)</f>
        <v>0</v>
      </c>
      <c r="G11" s="85">
        <f>SUM(G12:G15)</f>
        <v>0</v>
      </c>
    </row>
    <row r="12" spans="2:7" ht="19.5" customHeight="1">
      <c r="B12" s="448">
        <v>10</v>
      </c>
      <c r="C12" s="165" t="s">
        <v>293</v>
      </c>
      <c r="D12" s="633"/>
      <c r="E12" s="167">
        <f t="shared" si="0"/>
        <v>0</v>
      </c>
      <c r="F12" s="168"/>
      <c r="G12" s="213"/>
    </row>
    <row r="13" spans="2:7" ht="19.5" customHeight="1">
      <c r="B13" s="448">
        <v>11</v>
      </c>
      <c r="C13" s="165" t="s">
        <v>294</v>
      </c>
      <c r="D13" s="633"/>
      <c r="E13" s="167">
        <f t="shared" si="0"/>
        <v>0</v>
      </c>
      <c r="F13" s="168"/>
      <c r="G13" s="213"/>
    </row>
    <row r="14" spans="2:7" ht="19.5" customHeight="1">
      <c r="B14" s="448">
        <v>12</v>
      </c>
      <c r="C14" s="627" t="s">
        <v>295</v>
      </c>
      <c r="D14" s="634"/>
      <c r="E14" s="214">
        <f t="shared" si="0"/>
        <v>0</v>
      </c>
      <c r="F14" s="215"/>
      <c r="G14" s="216"/>
    </row>
    <row r="15" spans="2:7" ht="19.5" customHeight="1">
      <c r="B15" s="448">
        <v>13</v>
      </c>
      <c r="C15" s="217" t="s">
        <v>844</v>
      </c>
      <c r="D15" s="636"/>
      <c r="E15" s="218">
        <f t="shared" si="0"/>
        <v>0</v>
      </c>
      <c r="F15" s="219"/>
      <c r="G15" s="221"/>
    </row>
    <row r="16" spans="2:7" ht="19.5" customHeight="1">
      <c r="B16" s="448">
        <v>14</v>
      </c>
      <c r="C16" s="211" t="s">
        <v>170</v>
      </c>
      <c r="D16" s="635" t="str">
        <f>IF(OR('CUADRO 11'!F7&gt;E16,'CUADRO 11'!G7&gt;F16,'CUADRO 11'!H7&gt;G16),"*","")</f>
        <v/>
      </c>
      <c r="E16" s="184">
        <f t="shared" si="0"/>
        <v>0</v>
      </c>
      <c r="F16" s="161">
        <f>SUM(F17:F33)</f>
        <v>0</v>
      </c>
      <c r="G16" s="212">
        <f>SUM(G17:G33)</f>
        <v>0</v>
      </c>
    </row>
    <row r="17" spans="2:7" ht="19.5" customHeight="1">
      <c r="B17" s="448">
        <v>15</v>
      </c>
      <c r="C17" s="165" t="s">
        <v>277</v>
      </c>
      <c r="D17" s="633"/>
      <c r="E17" s="167">
        <f t="shared" si="0"/>
        <v>0</v>
      </c>
      <c r="F17" s="168"/>
      <c r="G17" s="213"/>
    </row>
    <row r="18" spans="2:7" ht="19.5" customHeight="1">
      <c r="B18" s="448">
        <v>16</v>
      </c>
      <c r="C18" s="165" t="s">
        <v>278</v>
      </c>
      <c r="D18" s="633"/>
      <c r="E18" s="167">
        <f t="shared" si="0"/>
        <v>0</v>
      </c>
      <c r="F18" s="168"/>
      <c r="G18" s="213"/>
    </row>
    <row r="19" spans="2:7" ht="19.5" customHeight="1">
      <c r="B19" s="448">
        <v>17</v>
      </c>
      <c r="C19" s="165" t="s">
        <v>280</v>
      </c>
      <c r="D19" s="633"/>
      <c r="E19" s="167">
        <f t="shared" si="0"/>
        <v>0</v>
      </c>
      <c r="F19" s="168"/>
      <c r="G19" s="213"/>
    </row>
    <row r="20" spans="2:7" ht="19.5" customHeight="1">
      <c r="B20" s="448">
        <v>18</v>
      </c>
      <c r="C20" s="165" t="s">
        <v>279</v>
      </c>
      <c r="D20" s="633"/>
      <c r="E20" s="167">
        <f t="shared" si="0"/>
        <v>0</v>
      </c>
      <c r="F20" s="168"/>
      <c r="G20" s="213"/>
    </row>
    <row r="21" spans="2:7" ht="19.5" customHeight="1">
      <c r="B21" s="448">
        <v>19</v>
      </c>
      <c r="C21" s="165" t="s">
        <v>831</v>
      </c>
      <c r="D21" s="633"/>
      <c r="E21" s="167">
        <f t="shared" si="0"/>
        <v>0</v>
      </c>
      <c r="F21" s="168"/>
      <c r="G21" s="213"/>
    </row>
    <row r="22" spans="2:7" ht="19.5" customHeight="1">
      <c r="B22" s="448">
        <v>20</v>
      </c>
      <c r="C22" s="165" t="s">
        <v>832</v>
      </c>
      <c r="D22" s="633"/>
      <c r="E22" s="167">
        <f t="shared" si="0"/>
        <v>0</v>
      </c>
      <c r="F22" s="168"/>
      <c r="G22" s="213"/>
    </row>
    <row r="23" spans="2:7" ht="19.5" customHeight="1">
      <c r="B23" s="448">
        <v>21</v>
      </c>
      <c r="C23" s="171" t="s">
        <v>833</v>
      </c>
      <c r="D23" s="633"/>
      <c r="E23" s="167">
        <f t="shared" si="0"/>
        <v>0</v>
      </c>
      <c r="F23" s="168"/>
      <c r="G23" s="213"/>
    </row>
    <row r="24" spans="2:7" ht="19.5" customHeight="1">
      <c r="B24" s="448">
        <v>22</v>
      </c>
      <c r="C24" s="171" t="s">
        <v>171</v>
      </c>
      <c r="D24" s="633"/>
      <c r="E24" s="167">
        <f t="shared" si="0"/>
        <v>0</v>
      </c>
      <c r="F24" s="168"/>
      <c r="G24" s="213"/>
    </row>
    <row r="25" spans="2:7" ht="19.5" customHeight="1">
      <c r="B25" s="448">
        <v>23</v>
      </c>
      <c r="C25" s="171" t="s">
        <v>18</v>
      </c>
      <c r="D25" s="633"/>
      <c r="E25" s="167">
        <f t="shared" si="0"/>
        <v>0</v>
      </c>
      <c r="F25" s="168"/>
      <c r="G25" s="213"/>
    </row>
    <row r="26" spans="2:7" ht="19.5" customHeight="1">
      <c r="B26" s="448">
        <v>24</v>
      </c>
      <c r="C26" s="171" t="s">
        <v>834</v>
      </c>
      <c r="D26" s="633"/>
      <c r="E26" s="167">
        <f t="shared" si="0"/>
        <v>0</v>
      </c>
      <c r="F26" s="168"/>
      <c r="G26" s="213"/>
    </row>
    <row r="27" spans="2:7" ht="19.5" customHeight="1">
      <c r="B27" s="448">
        <v>25</v>
      </c>
      <c r="C27" s="171" t="s">
        <v>162</v>
      </c>
      <c r="D27" s="633"/>
      <c r="E27" s="167">
        <f t="shared" si="0"/>
        <v>0</v>
      </c>
      <c r="F27" s="168"/>
      <c r="G27" s="213"/>
    </row>
    <row r="28" spans="2:7" ht="19.5" customHeight="1">
      <c r="B28" s="448">
        <v>26</v>
      </c>
      <c r="C28" s="171" t="s">
        <v>163</v>
      </c>
      <c r="D28" s="633"/>
      <c r="E28" s="167">
        <f t="shared" si="0"/>
        <v>0</v>
      </c>
      <c r="F28" s="168"/>
      <c r="G28" s="213"/>
    </row>
    <row r="29" spans="2:7" ht="19.5" customHeight="1">
      <c r="B29" s="448">
        <v>27</v>
      </c>
      <c r="C29" s="171" t="s">
        <v>161</v>
      </c>
      <c r="D29" s="633"/>
      <c r="E29" s="167">
        <f t="shared" si="0"/>
        <v>0</v>
      </c>
      <c r="F29" s="168"/>
      <c r="G29" s="213"/>
    </row>
    <row r="30" spans="2:7" ht="19.5" customHeight="1">
      <c r="B30" s="448">
        <v>28</v>
      </c>
      <c r="C30" s="165" t="s">
        <v>1530</v>
      </c>
      <c r="D30" s="633"/>
      <c r="E30" s="167">
        <f t="shared" si="0"/>
        <v>0</v>
      </c>
      <c r="F30" s="168"/>
      <c r="G30" s="213"/>
    </row>
    <row r="31" spans="2:7" ht="19.5" customHeight="1">
      <c r="B31" s="448">
        <v>29</v>
      </c>
      <c r="C31" s="171" t="s">
        <v>868</v>
      </c>
      <c r="D31" s="633"/>
      <c r="E31" s="167">
        <f t="shared" si="0"/>
        <v>0</v>
      </c>
      <c r="F31" s="168"/>
      <c r="G31" s="213"/>
    </row>
    <row r="32" spans="2:7" ht="19.5" customHeight="1">
      <c r="B32" s="448">
        <v>30</v>
      </c>
      <c r="C32" s="628" t="s">
        <v>845</v>
      </c>
      <c r="D32" s="648"/>
      <c r="E32" s="167">
        <f t="shared" si="0"/>
        <v>0</v>
      </c>
      <c r="F32" s="168"/>
      <c r="G32" s="213"/>
    </row>
    <row r="33" spans="2:7" ht="19.5" customHeight="1">
      <c r="B33" s="448">
        <v>31</v>
      </c>
      <c r="C33" s="627" t="s">
        <v>297</v>
      </c>
      <c r="D33" s="634"/>
      <c r="E33" s="214">
        <f t="shared" si="0"/>
        <v>0</v>
      </c>
      <c r="F33" s="215"/>
      <c r="G33" s="216"/>
    </row>
    <row r="34" spans="2:7" ht="21" customHeight="1">
      <c r="B34" s="448">
        <v>32</v>
      </c>
      <c r="C34" s="642" t="s">
        <v>291</v>
      </c>
      <c r="D34" s="635" t="str">
        <f>IF(OR('CUADRO 11'!F8&gt;E34,'CUADRO 11'!G8&gt;F34,'CUADRO 11'!H8&gt;G34),"*","")</f>
        <v/>
      </c>
      <c r="E34" s="352">
        <f t="shared" ref="E34:E39" si="1">+F34+G34</f>
        <v>0</v>
      </c>
      <c r="F34" s="353">
        <f>SUM(F35:F44)</f>
        <v>0</v>
      </c>
      <c r="G34" s="354">
        <f>SUM(G35:G44)</f>
        <v>0</v>
      </c>
    </row>
    <row r="35" spans="2:7" ht="21" customHeight="1">
      <c r="B35" s="448">
        <v>33</v>
      </c>
      <c r="C35" s="165" t="s">
        <v>191</v>
      </c>
      <c r="D35" s="633"/>
      <c r="E35" s="167">
        <f t="shared" si="1"/>
        <v>0</v>
      </c>
      <c r="F35" s="168"/>
      <c r="G35" s="213"/>
    </row>
    <row r="36" spans="2:7" ht="21" customHeight="1">
      <c r="B36" s="448">
        <v>34</v>
      </c>
      <c r="C36" s="165" t="s">
        <v>182</v>
      </c>
      <c r="D36" s="633"/>
      <c r="E36" s="167">
        <f t="shared" si="1"/>
        <v>0</v>
      </c>
      <c r="F36" s="168"/>
      <c r="G36" s="213"/>
    </row>
    <row r="37" spans="2:7" ht="21" customHeight="1">
      <c r="B37" s="448">
        <v>35</v>
      </c>
      <c r="C37" s="165" t="s">
        <v>183</v>
      </c>
      <c r="D37" s="633"/>
      <c r="E37" s="167">
        <f t="shared" si="1"/>
        <v>0</v>
      </c>
      <c r="F37" s="168"/>
      <c r="G37" s="213"/>
    </row>
    <row r="38" spans="2:7" ht="21" customHeight="1">
      <c r="B38" s="448">
        <v>36</v>
      </c>
      <c r="C38" s="171" t="s">
        <v>1690</v>
      </c>
      <c r="D38" s="633"/>
      <c r="E38" s="167">
        <f t="shared" si="1"/>
        <v>0</v>
      </c>
      <c r="F38" s="168"/>
      <c r="G38" s="213"/>
    </row>
    <row r="39" spans="2:7" ht="21" customHeight="1">
      <c r="B39" s="448">
        <v>37</v>
      </c>
      <c r="C39" s="171" t="s">
        <v>189</v>
      </c>
      <c r="D39" s="633"/>
      <c r="E39" s="167">
        <f t="shared" si="1"/>
        <v>0</v>
      </c>
      <c r="F39" s="168"/>
      <c r="G39" s="213"/>
    </row>
    <row r="40" spans="2:7" ht="21" customHeight="1">
      <c r="B40" s="448">
        <v>38</v>
      </c>
      <c r="C40" s="171" t="s">
        <v>184</v>
      </c>
      <c r="D40" s="633"/>
      <c r="E40" s="167">
        <f t="shared" ref="E40:E58" si="2">+F40+G40</f>
        <v>0</v>
      </c>
      <c r="F40" s="168"/>
      <c r="G40" s="213"/>
    </row>
    <row r="41" spans="2:7" ht="21" customHeight="1">
      <c r="B41" s="448">
        <v>39</v>
      </c>
      <c r="C41" s="171" t="s">
        <v>187</v>
      </c>
      <c r="D41" s="633"/>
      <c r="E41" s="167">
        <f t="shared" si="2"/>
        <v>0</v>
      </c>
      <c r="F41" s="168"/>
      <c r="G41" s="213"/>
    </row>
    <row r="42" spans="2:7" ht="21" customHeight="1">
      <c r="B42" s="448">
        <v>40</v>
      </c>
      <c r="C42" s="171" t="s">
        <v>188</v>
      </c>
      <c r="D42" s="633"/>
      <c r="E42" s="167">
        <f t="shared" si="2"/>
        <v>0</v>
      </c>
      <c r="F42" s="168"/>
      <c r="G42" s="213"/>
    </row>
    <row r="43" spans="2:7" ht="21" customHeight="1">
      <c r="B43" s="448">
        <v>41</v>
      </c>
      <c r="C43" s="171" t="s">
        <v>846</v>
      </c>
      <c r="D43" s="633"/>
      <c r="E43" s="167">
        <f t="shared" si="2"/>
        <v>0</v>
      </c>
      <c r="F43" s="168"/>
      <c r="G43" s="213"/>
    </row>
    <row r="44" spans="2:7" ht="21" customHeight="1">
      <c r="B44" s="448">
        <v>42</v>
      </c>
      <c r="C44" s="629" t="s">
        <v>296</v>
      </c>
      <c r="D44" s="636"/>
      <c r="E44" s="218">
        <f t="shared" si="2"/>
        <v>0</v>
      </c>
      <c r="F44" s="219"/>
      <c r="G44" s="221"/>
    </row>
    <row r="45" spans="2:7" ht="21" customHeight="1">
      <c r="B45" s="448">
        <v>43</v>
      </c>
      <c r="C45" s="638" t="s">
        <v>172</v>
      </c>
      <c r="D45" s="635" t="str">
        <f>IF(OR('CUADRO 11'!F9&gt;E45,'CUADRO 11'!G9&gt;F45,'CUADRO 11'!H9&gt;G45),"*","")</f>
        <v/>
      </c>
      <c r="E45" s="67">
        <f t="shared" si="2"/>
        <v>0</v>
      </c>
      <c r="F45" s="220">
        <f>SUM(F46:F58)</f>
        <v>0</v>
      </c>
      <c r="G45" s="85">
        <f>SUM(G46:G58)</f>
        <v>0</v>
      </c>
    </row>
    <row r="46" spans="2:7" ht="21" customHeight="1">
      <c r="B46" s="448">
        <v>44</v>
      </c>
      <c r="C46" s="171" t="s">
        <v>2616</v>
      </c>
      <c r="D46" s="633"/>
      <c r="E46" s="167">
        <f t="shared" si="2"/>
        <v>0</v>
      </c>
      <c r="F46" s="168"/>
      <c r="G46" s="213"/>
    </row>
    <row r="47" spans="2:7" ht="21" customHeight="1">
      <c r="B47" s="448">
        <v>45</v>
      </c>
      <c r="C47" s="171" t="s">
        <v>258</v>
      </c>
      <c r="D47" s="633"/>
      <c r="E47" s="167">
        <f t="shared" si="2"/>
        <v>0</v>
      </c>
      <c r="F47" s="168"/>
      <c r="G47" s="213"/>
    </row>
    <row r="48" spans="2:7" ht="21" customHeight="1">
      <c r="B48" s="448">
        <v>46</v>
      </c>
      <c r="C48" s="171" t="s">
        <v>259</v>
      </c>
      <c r="D48" s="633"/>
      <c r="E48" s="167">
        <f t="shared" si="2"/>
        <v>0</v>
      </c>
      <c r="F48" s="168"/>
      <c r="G48" s="213"/>
    </row>
    <row r="49" spans="2:7" ht="21" customHeight="1">
      <c r="B49" s="448">
        <v>47</v>
      </c>
      <c r="C49" s="171" t="s">
        <v>190</v>
      </c>
      <c r="D49" s="633"/>
      <c r="E49" s="167">
        <f t="shared" si="2"/>
        <v>0</v>
      </c>
      <c r="F49" s="168"/>
      <c r="G49" s="213"/>
    </row>
    <row r="50" spans="2:7" ht="21" customHeight="1">
      <c r="B50" s="448">
        <v>48</v>
      </c>
      <c r="C50" s="171" t="s">
        <v>1691</v>
      </c>
      <c r="D50" s="633"/>
      <c r="E50" s="167">
        <f t="shared" si="2"/>
        <v>0</v>
      </c>
      <c r="F50" s="168"/>
      <c r="G50" s="213"/>
    </row>
    <row r="51" spans="2:7" ht="21" customHeight="1">
      <c r="B51" s="448">
        <v>49</v>
      </c>
      <c r="C51" s="171" t="s">
        <v>1692</v>
      </c>
      <c r="D51" s="633"/>
      <c r="E51" s="167">
        <f t="shared" si="2"/>
        <v>0</v>
      </c>
      <c r="F51" s="168"/>
      <c r="G51" s="213"/>
    </row>
    <row r="52" spans="2:7" ht="21" customHeight="1">
      <c r="B52" s="448">
        <v>50</v>
      </c>
      <c r="C52" s="171" t="s">
        <v>2617</v>
      </c>
      <c r="D52" s="633"/>
      <c r="E52" s="167">
        <f t="shared" si="2"/>
        <v>0</v>
      </c>
      <c r="F52" s="168"/>
      <c r="G52" s="213"/>
    </row>
    <row r="53" spans="2:7" ht="21" customHeight="1">
      <c r="B53" s="448">
        <v>51</v>
      </c>
      <c r="C53" s="165" t="s">
        <v>2618</v>
      </c>
      <c r="D53" s="633"/>
      <c r="E53" s="167">
        <f t="shared" si="2"/>
        <v>0</v>
      </c>
      <c r="F53" s="168"/>
      <c r="G53" s="213"/>
    </row>
    <row r="54" spans="2:7" ht="21" customHeight="1">
      <c r="B54" s="448">
        <v>52</v>
      </c>
      <c r="C54" s="165" t="s">
        <v>2619</v>
      </c>
      <c r="D54" s="633"/>
      <c r="E54" s="167">
        <f t="shared" si="2"/>
        <v>0</v>
      </c>
      <c r="F54" s="168"/>
      <c r="G54" s="213"/>
    </row>
    <row r="55" spans="2:7" ht="21" customHeight="1">
      <c r="B55" s="448">
        <v>53</v>
      </c>
      <c r="C55" s="165" t="s">
        <v>2620</v>
      </c>
      <c r="D55" s="633"/>
      <c r="E55" s="167">
        <f t="shared" si="2"/>
        <v>0</v>
      </c>
      <c r="F55" s="168"/>
      <c r="G55" s="213"/>
    </row>
    <row r="56" spans="2:7" ht="21" customHeight="1">
      <c r="B56" s="448">
        <v>54</v>
      </c>
      <c r="C56" s="165" t="s">
        <v>2621</v>
      </c>
      <c r="D56" s="633"/>
      <c r="E56" s="167">
        <f t="shared" si="2"/>
        <v>0</v>
      </c>
      <c r="F56" s="168"/>
      <c r="G56" s="213"/>
    </row>
    <row r="57" spans="2:7" ht="21" customHeight="1">
      <c r="B57" s="448">
        <v>55</v>
      </c>
      <c r="C57" s="222" t="s">
        <v>2622</v>
      </c>
      <c r="D57" s="649"/>
      <c r="E57" s="167">
        <f t="shared" si="2"/>
        <v>0</v>
      </c>
      <c r="F57" s="168"/>
      <c r="G57" s="213"/>
    </row>
    <row r="58" spans="2:7" ht="21" customHeight="1" thickBot="1">
      <c r="B58" s="448">
        <v>56</v>
      </c>
      <c r="C58" s="627" t="s">
        <v>2623</v>
      </c>
      <c r="D58" s="634"/>
      <c r="E58" s="214">
        <f t="shared" si="2"/>
        <v>0</v>
      </c>
      <c r="F58" s="215"/>
      <c r="G58" s="216"/>
    </row>
    <row r="59" spans="2:7" ht="21" customHeight="1" thickBot="1">
      <c r="B59" s="448">
        <v>57</v>
      </c>
      <c r="C59" s="643" t="s">
        <v>299</v>
      </c>
      <c r="D59" s="650" t="str">
        <f>IF(AND('CUADRO 1'!E15=0,E59=0),"",(IF(AND('CUADRO 1'!E15&gt;0,E59=0),"***",(IF(AND('CUADRO 1'!E15=0,E59&gt;0),"/**/","")))))</f>
        <v/>
      </c>
      <c r="E59" s="644">
        <f>+F59+G59</f>
        <v>0</v>
      </c>
      <c r="F59" s="645"/>
      <c r="G59" s="646"/>
    </row>
    <row r="60" spans="2:7" ht="21" customHeight="1" thickTop="1">
      <c r="C60" s="84" t="s">
        <v>2615</v>
      </c>
    </row>
    <row r="61" spans="2:7" ht="21" customHeight="1">
      <c r="C61" s="849" t="str">
        <f>IF(D4="|**|","|**| El Cuadro 11 no tiene información.","")</f>
        <v/>
      </c>
      <c r="D61" s="849"/>
      <c r="E61" s="849"/>
      <c r="F61" s="849"/>
      <c r="G61" s="849"/>
    </row>
    <row r="62" spans="2:7" ht="21" customHeight="1">
      <c r="C62" s="850" t="str">
        <f>IF(OR(D5="*",D16="*",D11="*",D34="*",D45="*"),"*  Los datos del Cuadro 11 son mayores a los reportados en este Cuadro. Recuerde, los datos de este Cuadro pueden ser mayores, en caso de que una persona desempeñe más de un cargo, sino, deben ser iguales a los indicados en el Cuadro 11.","")</f>
        <v/>
      </c>
      <c r="D62" s="850"/>
      <c r="E62" s="850"/>
      <c r="F62" s="850"/>
      <c r="G62" s="850"/>
    </row>
    <row r="63" spans="2:7" ht="21" customHeight="1">
      <c r="C63" s="850"/>
      <c r="D63" s="850"/>
      <c r="E63" s="850"/>
      <c r="F63" s="850"/>
      <c r="G63" s="850"/>
    </row>
    <row r="64" spans="2:7" ht="21" customHeight="1">
      <c r="C64" s="850"/>
      <c r="D64" s="850"/>
      <c r="E64" s="850"/>
      <c r="F64" s="850"/>
      <c r="G64" s="850"/>
    </row>
    <row r="65" spans="2:7" ht="21" customHeight="1">
      <c r="C65" s="568" t="str">
        <f>IF(D59="***","*** Indique los docentes que atienden los Proyectos de Educación Abierta.",IF(D59="/**/","/**/ Indique la matrícula en el Cuadro 1",""))</f>
        <v/>
      </c>
      <c r="F65" s="32"/>
      <c r="G65" s="191"/>
    </row>
    <row r="66" spans="2:7" ht="21" customHeight="1">
      <c r="C66" s="195" t="s">
        <v>273</v>
      </c>
      <c r="D66" s="651"/>
      <c r="E66" s="224"/>
      <c r="F66" s="225"/>
      <c r="G66" s="225"/>
    </row>
    <row r="67" spans="2:7" ht="21.6" customHeight="1">
      <c r="B67" s="448">
        <v>58</v>
      </c>
      <c r="C67" s="832"/>
      <c r="D67" s="833"/>
      <c r="E67" s="833"/>
      <c r="F67" s="833"/>
      <c r="G67" s="834"/>
    </row>
    <row r="68" spans="2:7" ht="21.6" customHeight="1">
      <c r="C68" s="835"/>
      <c r="D68" s="836"/>
      <c r="E68" s="836"/>
      <c r="F68" s="836"/>
      <c r="G68" s="837"/>
    </row>
    <row r="69" spans="2:7" ht="21.6" customHeight="1">
      <c r="C69" s="835"/>
      <c r="D69" s="836"/>
      <c r="E69" s="836"/>
      <c r="F69" s="836"/>
      <c r="G69" s="837"/>
    </row>
    <row r="70" spans="2:7" ht="21.6" customHeight="1">
      <c r="C70" s="838"/>
      <c r="D70" s="839"/>
      <c r="E70" s="839"/>
      <c r="F70" s="839"/>
      <c r="G70" s="840"/>
    </row>
  </sheetData>
  <sheetProtection algorithmName="SHA-512" hashValue="6dQtRzDkf2rRJxwSvat4Knz2AYp4aTN/N70is66jQezzoHFAvbB2dlOiWWSzrl1am64Ewa1YJ6MZlNphomV50w==" saltValue="NxNZW9pi7O3XPaHlu2U58Q==" spinCount="100000" sheet="1" objects="1" scenarios="1"/>
  <mergeCells count="3">
    <mergeCell ref="C67:G70"/>
    <mergeCell ref="C61:G61"/>
    <mergeCell ref="C62:G64"/>
  </mergeCells>
  <conditionalFormatting sqref="E4:G5 E6:E59 F11:G11 F16:G16 F34:G34 F45:G45">
    <cfRule type="cellIs" dxfId="21" priority="5" operator="equal">
      <formula>0</formula>
    </cfRule>
  </conditionalFormatting>
  <dataValidations count="1">
    <dataValidation type="whole" operator="greaterThanOrEqual" allowBlank="1" showInputMessage="1" showErrorMessage="1" sqref="E4:G59" xr:uid="{00000000-0002-0000-0F00-000000000000}">
      <formula1>0</formula1>
    </dataValidation>
  </dataValidations>
  <printOptions horizontalCentered="1" verticalCentered="1"/>
  <pageMargins left="0.19685039370078741" right="0.25" top="0.23622047244094491" bottom="0.38" header="0.43307086614173229" footer="0.19"/>
  <pageSetup scale="51" orientation="portrait" r:id="rId1"/>
  <headerFooter scaleWithDoc="0">
    <oddFooter>&amp;R&amp;"Goudy,Negrita Cursiva"Técnica Diurna&amp;"Goudy,Cursiva",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4">
    <pageSetUpPr fitToPage="1"/>
  </sheetPr>
  <dimension ref="B1:M40"/>
  <sheetViews>
    <sheetView showGridLines="0" zoomScale="90" zoomScaleNormal="90" workbookViewId="0"/>
  </sheetViews>
  <sheetFormatPr baseColWidth="10" defaultColWidth="11.44140625" defaultRowHeight="13.8"/>
  <cols>
    <col min="1" max="1" width="5.33203125" style="24" customWidth="1"/>
    <col min="2" max="2" width="5.33203125" style="448" hidden="1" customWidth="1"/>
    <col min="3" max="3" width="46.109375" style="24" customWidth="1"/>
    <col min="4" max="4" width="5.44140625" style="147" customWidth="1"/>
    <col min="5" max="13" width="9.109375" style="24" customWidth="1"/>
    <col min="14" max="16384" width="11.44140625" style="24"/>
  </cols>
  <sheetData>
    <row r="1" spans="2:13" ht="17.399999999999999">
      <c r="C1" s="22" t="s">
        <v>835</v>
      </c>
      <c r="D1" s="149"/>
      <c r="E1" s="150"/>
      <c r="I1" s="51"/>
      <c r="J1" s="51"/>
      <c r="K1" s="51"/>
      <c r="L1" s="51"/>
      <c r="M1" s="51"/>
    </row>
    <row r="2" spans="2:13" ht="18" thickBot="1">
      <c r="C2" s="151" t="s">
        <v>1694</v>
      </c>
      <c r="D2" s="152"/>
      <c r="E2" s="153"/>
      <c r="F2" s="153"/>
      <c r="G2" s="153"/>
      <c r="H2" s="153"/>
      <c r="I2" s="153"/>
      <c r="J2" s="153"/>
      <c r="K2" s="153"/>
      <c r="L2" s="153"/>
      <c r="M2" s="153"/>
    </row>
    <row r="3" spans="2:13" s="44" customFormat="1" ht="42.6" customHeight="1" thickTop="1" thickBot="1">
      <c r="B3" s="448">
        <v>1</v>
      </c>
      <c r="C3" s="830" t="s">
        <v>166</v>
      </c>
      <c r="D3" s="852"/>
      <c r="E3" s="654" t="s">
        <v>0</v>
      </c>
      <c r="F3" s="227" t="s">
        <v>2574</v>
      </c>
      <c r="G3" s="227" t="s">
        <v>2575</v>
      </c>
      <c r="H3" s="227" t="s">
        <v>2576</v>
      </c>
      <c r="I3" s="227" t="s">
        <v>2577</v>
      </c>
      <c r="J3" s="227" t="s">
        <v>2578</v>
      </c>
      <c r="K3" s="227" t="s">
        <v>2579</v>
      </c>
      <c r="L3" s="227" t="s">
        <v>298</v>
      </c>
      <c r="M3" s="655" t="s">
        <v>169</v>
      </c>
    </row>
    <row r="4" spans="2:13" ht="24.75" customHeight="1" thickTop="1" thickBot="1">
      <c r="B4" s="448">
        <v>2</v>
      </c>
      <c r="C4" s="154" t="s">
        <v>1574</v>
      </c>
      <c r="D4" s="155"/>
      <c r="E4" s="156">
        <f t="shared" ref="E4:M4" si="0">+E5+E23</f>
        <v>0</v>
      </c>
      <c r="F4" s="205">
        <f t="shared" si="0"/>
        <v>0</v>
      </c>
      <c r="G4" s="652">
        <f t="shared" si="0"/>
        <v>0</v>
      </c>
      <c r="H4" s="652">
        <f t="shared" si="0"/>
        <v>0</v>
      </c>
      <c r="I4" s="652">
        <f t="shared" si="0"/>
        <v>0</v>
      </c>
      <c r="J4" s="652">
        <f t="shared" si="0"/>
        <v>0</v>
      </c>
      <c r="K4" s="652">
        <f t="shared" si="0"/>
        <v>0</v>
      </c>
      <c r="L4" s="205">
        <f t="shared" si="0"/>
        <v>0</v>
      </c>
      <c r="M4" s="653">
        <f t="shared" si="0"/>
        <v>0</v>
      </c>
    </row>
    <row r="5" spans="2:13" ht="22.5" customHeight="1">
      <c r="B5" s="448">
        <v>3</v>
      </c>
      <c r="C5" s="158" t="s">
        <v>170</v>
      </c>
      <c r="D5" s="159"/>
      <c r="E5" s="160">
        <f t="shared" ref="E5:M5" si="1">SUM(E6:E22)</f>
        <v>0</v>
      </c>
      <c r="F5" s="161">
        <f t="shared" si="1"/>
        <v>0</v>
      </c>
      <c r="G5" s="162">
        <f t="shared" si="1"/>
        <v>0</v>
      </c>
      <c r="H5" s="162">
        <f t="shared" si="1"/>
        <v>0</v>
      </c>
      <c r="I5" s="162">
        <f t="shared" si="1"/>
        <v>0</v>
      </c>
      <c r="J5" s="162">
        <f t="shared" si="1"/>
        <v>0</v>
      </c>
      <c r="K5" s="162">
        <f t="shared" si="1"/>
        <v>0</v>
      </c>
      <c r="L5" s="163">
        <f t="shared" si="1"/>
        <v>0</v>
      </c>
      <c r="M5" s="164">
        <f t="shared" si="1"/>
        <v>0</v>
      </c>
    </row>
    <row r="6" spans="2:13" ht="22.5" customHeight="1">
      <c r="B6" s="448">
        <v>4</v>
      </c>
      <c r="C6" s="165" t="s">
        <v>277</v>
      </c>
      <c r="D6" s="166" t="str">
        <f>IF(AND(E6&lt;&gt;'CUADRO 12'!E17),"**","")</f>
        <v/>
      </c>
      <c r="E6" s="167">
        <f t="shared" ref="E6:E22" si="2">SUM(F6:M6)</f>
        <v>0</v>
      </c>
      <c r="F6" s="168"/>
      <c r="G6" s="169"/>
      <c r="H6" s="169"/>
      <c r="I6" s="169"/>
      <c r="J6" s="169"/>
      <c r="K6" s="169"/>
      <c r="L6" s="168"/>
      <c r="M6" s="170"/>
    </row>
    <row r="7" spans="2:13" ht="22.5" customHeight="1">
      <c r="B7" s="448">
        <v>5</v>
      </c>
      <c r="C7" s="165" t="s">
        <v>278</v>
      </c>
      <c r="D7" s="166" t="str">
        <f>IF(AND(E7&lt;&gt;'CUADRO 12'!E18),"**","")</f>
        <v/>
      </c>
      <c r="E7" s="167">
        <f t="shared" si="2"/>
        <v>0</v>
      </c>
      <c r="F7" s="168"/>
      <c r="G7" s="169"/>
      <c r="H7" s="169"/>
      <c r="I7" s="169"/>
      <c r="J7" s="169"/>
      <c r="K7" s="169"/>
      <c r="L7" s="168"/>
      <c r="M7" s="170"/>
    </row>
    <row r="8" spans="2:13" ht="22.5" customHeight="1">
      <c r="B8" s="448">
        <v>6</v>
      </c>
      <c r="C8" s="165" t="s">
        <v>280</v>
      </c>
      <c r="D8" s="166" t="str">
        <f>IF(AND(E8&lt;&gt;'CUADRO 12'!E19),"**","")</f>
        <v/>
      </c>
      <c r="E8" s="167">
        <f t="shared" si="2"/>
        <v>0</v>
      </c>
      <c r="F8" s="168"/>
      <c r="G8" s="169"/>
      <c r="H8" s="169"/>
      <c r="I8" s="169"/>
      <c r="J8" s="169"/>
      <c r="K8" s="169"/>
      <c r="L8" s="168"/>
      <c r="M8" s="170"/>
    </row>
    <row r="9" spans="2:13" ht="22.5" customHeight="1">
      <c r="B9" s="448">
        <v>7</v>
      </c>
      <c r="C9" s="165" t="s">
        <v>279</v>
      </c>
      <c r="D9" s="166" t="str">
        <f>IF(AND(E9&lt;&gt;'CUADRO 12'!E20),"**","")</f>
        <v/>
      </c>
      <c r="E9" s="167">
        <f t="shared" si="2"/>
        <v>0</v>
      </c>
      <c r="F9" s="168"/>
      <c r="G9" s="169"/>
      <c r="H9" s="169"/>
      <c r="I9" s="169"/>
      <c r="J9" s="169"/>
      <c r="K9" s="169"/>
      <c r="L9" s="168"/>
      <c r="M9" s="170"/>
    </row>
    <row r="10" spans="2:13" ht="22.5" customHeight="1">
      <c r="B10" s="448">
        <v>8</v>
      </c>
      <c r="C10" s="171" t="s">
        <v>831</v>
      </c>
      <c r="D10" s="166" t="str">
        <f>IF(AND(E10&lt;&gt;'CUADRO 12'!E21),"**","")</f>
        <v/>
      </c>
      <c r="E10" s="167">
        <f t="shared" si="2"/>
        <v>0</v>
      </c>
      <c r="F10" s="168"/>
      <c r="G10" s="172"/>
      <c r="H10" s="169"/>
      <c r="I10" s="169"/>
      <c r="J10" s="169"/>
      <c r="K10" s="169"/>
      <c r="L10" s="168"/>
      <c r="M10" s="170"/>
    </row>
    <row r="11" spans="2:13" ht="22.5" customHeight="1">
      <c r="B11" s="448">
        <v>9</v>
      </c>
      <c r="C11" s="171" t="s">
        <v>832</v>
      </c>
      <c r="D11" s="166" t="str">
        <f>IF(AND(E11&lt;&gt;'CUADRO 12'!E22),"**","")</f>
        <v/>
      </c>
      <c r="E11" s="167">
        <f t="shared" si="2"/>
        <v>0</v>
      </c>
      <c r="F11" s="168"/>
      <c r="G11" s="173"/>
      <c r="H11" s="173"/>
      <c r="I11" s="173"/>
      <c r="J11" s="173"/>
      <c r="K11" s="173"/>
      <c r="L11" s="168"/>
      <c r="M11" s="170"/>
    </row>
    <row r="12" spans="2:13" ht="22.5" customHeight="1">
      <c r="B12" s="448">
        <v>10</v>
      </c>
      <c r="C12" s="171" t="s">
        <v>833</v>
      </c>
      <c r="D12" s="166" t="str">
        <f>IF(AND(E12&lt;&gt;'CUADRO 12'!E23),"**","")</f>
        <v/>
      </c>
      <c r="E12" s="167">
        <f t="shared" si="2"/>
        <v>0</v>
      </c>
      <c r="F12" s="168"/>
      <c r="G12" s="173"/>
      <c r="H12" s="173"/>
      <c r="I12" s="173"/>
      <c r="J12" s="173"/>
      <c r="K12" s="173"/>
      <c r="L12" s="168"/>
      <c r="M12" s="170"/>
    </row>
    <row r="13" spans="2:13" ht="22.5" customHeight="1">
      <c r="B13" s="448">
        <v>11</v>
      </c>
      <c r="C13" s="171" t="s">
        <v>171</v>
      </c>
      <c r="D13" s="166" t="str">
        <f>IF(AND(E13&lt;&gt;'CUADRO 12'!E24),"**","")</f>
        <v/>
      </c>
      <c r="E13" s="167">
        <f t="shared" si="2"/>
        <v>0</v>
      </c>
      <c r="F13" s="168"/>
      <c r="G13" s="173"/>
      <c r="H13" s="174"/>
      <c r="I13" s="173"/>
      <c r="J13" s="174"/>
      <c r="K13" s="174"/>
      <c r="L13" s="168"/>
      <c r="M13" s="175"/>
    </row>
    <row r="14" spans="2:13" ht="22.5" customHeight="1">
      <c r="B14" s="448">
        <v>12</v>
      </c>
      <c r="C14" s="171" t="s">
        <v>18</v>
      </c>
      <c r="D14" s="166" t="str">
        <f>IF(AND(E14&lt;&gt;'CUADRO 12'!E25),"**","")</f>
        <v/>
      </c>
      <c r="E14" s="167">
        <f t="shared" si="2"/>
        <v>0</v>
      </c>
      <c r="F14" s="168"/>
      <c r="G14" s="173"/>
      <c r="H14" s="174"/>
      <c r="I14" s="173"/>
      <c r="J14" s="174"/>
      <c r="K14" s="174"/>
      <c r="L14" s="168"/>
      <c r="M14" s="175"/>
    </row>
    <row r="15" spans="2:13" ht="22.5" customHeight="1">
      <c r="B15" s="448">
        <v>13</v>
      </c>
      <c r="C15" s="171" t="s">
        <v>834</v>
      </c>
      <c r="D15" s="166" t="str">
        <f>IF(AND(E15&lt;&gt;'CUADRO 12'!E26),"**","")</f>
        <v/>
      </c>
      <c r="E15" s="167">
        <f t="shared" si="2"/>
        <v>0</v>
      </c>
      <c r="F15" s="168"/>
      <c r="G15" s="169"/>
      <c r="H15" s="169"/>
      <c r="I15" s="169"/>
      <c r="J15" s="169"/>
      <c r="K15" s="169"/>
      <c r="L15" s="168"/>
      <c r="M15" s="170"/>
    </row>
    <row r="16" spans="2:13" ht="22.5" customHeight="1">
      <c r="B16" s="448">
        <v>14</v>
      </c>
      <c r="C16" s="171" t="s">
        <v>162</v>
      </c>
      <c r="D16" s="166" t="str">
        <f>IF(AND(E16&lt;&gt;'CUADRO 12'!E27),"**","")</f>
        <v/>
      </c>
      <c r="E16" s="167">
        <f t="shared" si="2"/>
        <v>0</v>
      </c>
      <c r="F16" s="168"/>
      <c r="G16" s="169"/>
      <c r="H16" s="169"/>
      <c r="I16" s="169"/>
      <c r="J16" s="169"/>
      <c r="K16" s="169"/>
      <c r="L16" s="168"/>
      <c r="M16" s="170"/>
    </row>
    <row r="17" spans="2:13" ht="22.5" customHeight="1">
      <c r="B17" s="448">
        <v>15</v>
      </c>
      <c r="C17" s="171" t="s">
        <v>163</v>
      </c>
      <c r="D17" s="166" t="str">
        <f>IF(AND(E17&lt;&gt;'CUADRO 12'!E28),"**","")</f>
        <v/>
      </c>
      <c r="E17" s="167">
        <f t="shared" si="2"/>
        <v>0</v>
      </c>
      <c r="F17" s="168"/>
      <c r="G17" s="169"/>
      <c r="H17" s="169"/>
      <c r="I17" s="169"/>
      <c r="J17" s="169"/>
      <c r="K17" s="169"/>
      <c r="L17" s="168"/>
      <c r="M17" s="170"/>
    </row>
    <row r="18" spans="2:13" ht="22.5" customHeight="1">
      <c r="B18" s="448">
        <v>16</v>
      </c>
      <c r="C18" s="171" t="s">
        <v>161</v>
      </c>
      <c r="D18" s="166" t="str">
        <f>IF(AND(E18&lt;&gt;'CUADRO 12'!E29),"**","")</f>
        <v/>
      </c>
      <c r="E18" s="167">
        <f t="shared" si="2"/>
        <v>0</v>
      </c>
      <c r="F18" s="168"/>
      <c r="G18" s="169"/>
      <c r="H18" s="169"/>
      <c r="I18" s="169"/>
      <c r="J18" s="169"/>
      <c r="K18" s="169"/>
      <c r="L18" s="168"/>
      <c r="M18" s="170"/>
    </row>
    <row r="19" spans="2:13" ht="22.5" customHeight="1">
      <c r="B19" s="448">
        <v>17</v>
      </c>
      <c r="C19" s="171" t="s">
        <v>1530</v>
      </c>
      <c r="D19" s="166" t="str">
        <f>IF(AND(E19&lt;&gt;'CUADRO 12'!E30),"**","")</f>
        <v/>
      </c>
      <c r="E19" s="167">
        <f t="shared" si="2"/>
        <v>0</v>
      </c>
      <c r="F19" s="168"/>
      <c r="G19" s="169"/>
      <c r="H19" s="169"/>
      <c r="I19" s="169"/>
      <c r="J19" s="169"/>
      <c r="K19" s="169"/>
      <c r="L19" s="168"/>
      <c r="M19" s="170"/>
    </row>
    <row r="20" spans="2:13" ht="22.5" customHeight="1">
      <c r="B20" s="448">
        <v>18</v>
      </c>
      <c r="C20" s="171" t="s">
        <v>868</v>
      </c>
      <c r="D20" s="166" t="str">
        <f>IF(AND(E20&lt;&gt;'CUADRO 12'!E31),"**","")</f>
        <v/>
      </c>
      <c r="E20" s="167">
        <f t="shared" si="2"/>
        <v>0</v>
      </c>
      <c r="F20" s="168"/>
      <c r="G20" s="169"/>
      <c r="H20" s="169"/>
      <c r="I20" s="169"/>
      <c r="J20" s="169"/>
      <c r="K20" s="169"/>
      <c r="L20" s="168"/>
      <c r="M20" s="170"/>
    </row>
    <row r="21" spans="2:13" ht="22.5" customHeight="1">
      <c r="B21" s="448">
        <v>19</v>
      </c>
      <c r="C21" s="171" t="s">
        <v>845</v>
      </c>
      <c r="D21" s="166" t="str">
        <f>IF(AND(E21&lt;&gt;'CUADRO 12'!E32),"**","")</f>
        <v/>
      </c>
      <c r="E21" s="167">
        <f t="shared" si="2"/>
        <v>0</v>
      </c>
      <c r="F21" s="168"/>
      <c r="G21" s="169"/>
      <c r="H21" s="169"/>
      <c r="I21" s="169"/>
      <c r="J21" s="169"/>
      <c r="K21" s="169"/>
      <c r="L21" s="168"/>
      <c r="M21" s="170"/>
    </row>
    <row r="22" spans="2:13" ht="22.5" customHeight="1">
      <c r="B22" s="448">
        <v>20</v>
      </c>
      <c r="C22" s="176" t="s">
        <v>297</v>
      </c>
      <c r="D22" s="177" t="str">
        <f>IF(AND(E22&lt;&gt;'CUADRO 12'!E33),"**","")</f>
        <v/>
      </c>
      <c r="E22" s="178">
        <f t="shared" si="2"/>
        <v>0</v>
      </c>
      <c r="F22" s="179"/>
      <c r="G22" s="180"/>
      <c r="H22" s="180"/>
      <c r="I22" s="180"/>
      <c r="J22" s="180"/>
      <c r="K22" s="180"/>
      <c r="L22" s="179"/>
      <c r="M22" s="181"/>
    </row>
    <row r="23" spans="2:13" ht="22.5" customHeight="1">
      <c r="B23" s="448">
        <v>21</v>
      </c>
      <c r="C23" s="182" t="s">
        <v>291</v>
      </c>
      <c r="D23" s="183"/>
      <c r="E23" s="184">
        <f t="shared" ref="E23:M23" si="3">SUM(E24:E33)</f>
        <v>0</v>
      </c>
      <c r="F23" s="161">
        <f t="shared" si="3"/>
        <v>0</v>
      </c>
      <c r="G23" s="162">
        <f t="shared" si="3"/>
        <v>0</v>
      </c>
      <c r="H23" s="162">
        <f t="shared" si="3"/>
        <v>0</v>
      </c>
      <c r="I23" s="162">
        <f t="shared" si="3"/>
        <v>0</v>
      </c>
      <c r="J23" s="162">
        <f t="shared" si="3"/>
        <v>0</v>
      </c>
      <c r="K23" s="162">
        <f t="shared" si="3"/>
        <v>0</v>
      </c>
      <c r="L23" s="161">
        <f t="shared" si="3"/>
        <v>0</v>
      </c>
      <c r="M23" s="164">
        <f t="shared" si="3"/>
        <v>0</v>
      </c>
    </row>
    <row r="24" spans="2:13" ht="22.5" customHeight="1">
      <c r="B24" s="448">
        <v>22</v>
      </c>
      <c r="C24" s="171" t="s">
        <v>191</v>
      </c>
      <c r="D24" s="166" t="str">
        <f>IF(AND(E24&lt;&gt;'CUADRO 12'!E35),"**","")</f>
        <v/>
      </c>
      <c r="E24" s="167">
        <f>SUM(F24:M24)</f>
        <v>0</v>
      </c>
      <c r="F24" s="168"/>
      <c r="G24" s="169"/>
      <c r="H24" s="169"/>
      <c r="I24" s="169"/>
      <c r="J24" s="169"/>
      <c r="K24" s="169"/>
      <c r="L24" s="168"/>
      <c r="M24" s="170"/>
    </row>
    <row r="25" spans="2:13" ht="22.5" customHeight="1">
      <c r="B25" s="448">
        <v>23</v>
      </c>
      <c r="C25" s="171" t="s">
        <v>182</v>
      </c>
      <c r="D25" s="166" t="str">
        <f>IF(AND(E25&lt;&gt;'CUADRO 12'!E36),"**","")</f>
        <v/>
      </c>
      <c r="E25" s="167">
        <f t="shared" ref="E25:E33" si="4">SUM(F25:M25)</f>
        <v>0</v>
      </c>
      <c r="F25" s="168"/>
      <c r="G25" s="169"/>
      <c r="H25" s="169"/>
      <c r="I25" s="169"/>
      <c r="J25" s="169"/>
      <c r="K25" s="169"/>
      <c r="L25" s="168"/>
      <c r="M25" s="170"/>
    </row>
    <row r="26" spans="2:13" ht="22.5" customHeight="1">
      <c r="B26" s="448">
        <v>24</v>
      </c>
      <c r="C26" s="171" t="s">
        <v>183</v>
      </c>
      <c r="D26" s="166" t="str">
        <f>IF(AND(E26&lt;&gt;'CUADRO 12'!E37),"**","")</f>
        <v/>
      </c>
      <c r="E26" s="167">
        <f t="shared" si="4"/>
        <v>0</v>
      </c>
      <c r="F26" s="168"/>
      <c r="G26" s="169"/>
      <c r="H26" s="169"/>
      <c r="I26" s="169"/>
      <c r="J26" s="169"/>
      <c r="K26" s="169"/>
      <c r="L26" s="168"/>
      <c r="M26" s="170"/>
    </row>
    <row r="27" spans="2:13" ht="22.5" customHeight="1">
      <c r="B27" s="448">
        <v>25</v>
      </c>
      <c r="C27" s="171" t="s">
        <v>1690</v>
      </c>
      <c r="D27" s="166" t="str">
        <f>IF(AND(E27&lt;&gt;'CUADRO 12'!E38),"**","")</f>
        <v/>
      </c>
      <c r="E27" s="167">
        <f t="shared" si="4"/>
        <v>0</v>
      </c>
      <c r="F27" s="168"/>
      <c r="G27" s="169"/>
      <c r="H27" s="169"/>
      <c r="I27" s="169"/>
      <c r="J27" s="169"/>
      <c r="K27" s="169"/>
      <c r="L27" s="168"/>
      <c r="M27" s="170"/>
    </row>
    <row r="28" spans="2:13" ht="22.5" customHeight="1">
      <c r="B28" s="448">
        <v>26</v>
      </c>
      <c r="C28" s="165" t="s">
        <v>189</v>
      </c>
      <c r="D28" s="166" t="str">
        <f>IF(AND(E28&lt;&gt;'CUADRO 12'!E39),"**","")</f>
        <v/>
      </c>
      <c r="E28" s="167">
        <f t="shared" si="4"/>
        <v>0</v>
      </c>
      <c r="F28" s="168"/>
      <c r="G28" s="169"/>
      <c r="H28" s="169"/>
      <c r="I28" s="169"/>
      <c r="J28" s="169"/>
      <c r="K28" s="169"/>
      <c r="L28" s="168"/>
      <c r="M28" s="170"/>
    </row>
    <row r="29" spans="2:13" ht="22.5" customHeight="1">
      <c r="B29" s="448">
        <v>27</v>
      </c>
      <c r="C29" s="165" t="s">
        <v>184</v>
      </c>
      <c r="D29" s="166" t="str">
        <f>IF(AND(E29&lt;&gt;'CUADRO 12'!E40),"**","")</f>
        <v/>
      </c>
      <c r="E29" s="167">
        <f t="shared" si="4"/>
        <v>0</v>
      </c>
      <c r="F29" s="168"/>
      <c r="G29" s="169"/>
      <c r="H29" s="169"/>
      <c r="I29" s="169"/>
      <c r="J29" s="169"/>
      <c r="K29" s="169"/>
      <c r="L29" s="168"/>
      <c r="M29" s="170"/>
    </row>
    <row r="30" spans="2:13" ht="22.5" customHeight="1">
      <c r="B30" s="448">
        <v>28</v>
      </c>
      <c r="C30" s="165" t="s">
        <v>187</v>
      </c>
      <c r="D30" s="166" t="str">
        <f>IF(AND(E30&lt;&gt;'CUADRO 12'!E41),"**","")</f>
        <v/>
      </c>
      <c r="E30" s="167">
        <f t="shared" si="4"/>
        <v>0</v>
      </c>
      <c r="F30" s="168"/>
      <c r="G30" s="169"/>
      <c r="H30" s="169"/>
      <c r="I30" s="169"/>
      <c r="J30" s="169"/>
      <c r="K30" s="169"/>
      <c r="L30" s="168"/>
      <c r="M30" s="170"/>
    </row>
    <row r="31" spans="2:13" ht="22.5" customHeight="1">
      <c r="B31" s="448">
        <v>29</v>
      </c>
      <c r="C31" s="165" t="s">
        <v>188</v>
      </c>
      <c r="D31" s="166" t="str">
        <f>IF(AND(E31&lt;&gt;'CUADRO 12'!E42),"**","")</f>
        <v/>
      </c>
      <c r="E31" s="167">
        <f t="shared" si="4"/>
        <v>0</v>
      </c>
      <c r="F31" s="168"/>
      <c r="G31" s="169"/>
      <c r="H31" s="169"/>
      <c r="I31" s="169"/>
      <c r="J31" s="169"/>
      <c r="K31" s="169"/>
      <c r="L31" s="168"/>
      <c r="M31" s="170"/>
    </row>
    <row r="32" spans="2:13" ht="22.5" customHeight="1">
      <c r="B32" s="448">
        <v>30</v>
      </c>
      <c r="C32" s="165" t="s">
        <v>846</v>
      </c>
      <c r="D32" s="166" t="str">
        <f>IF(AND(E32&lt;&gt;'CUADRO 12'!E43),"**","")</f>
        <v/>
      </c>
      <c r="E32" s="167">
        <f t="shared" si="4"/>
        <v>0</v>
      </c>
      <c r="F32" s="168"/>
      <c r="G32" s="169"/>
      <c r="H32" s="169"/>
      <c r="I32" s="169"/>
      <c r="J32" s="169"/>
      <c r="K32" s="169"/>
      <c r="L32" s="168"/>
      <c r="M32" s="170"/>
    </row>
    <row r="33" spans="2:13" ht="22.5" customHeight="1" thickBot="1">
      <c r="B33" s="448">
        <v>31</v>
      </c>
      <c r="C33" s="185" t="s">
        <v>296</v>
      </c>
      <c r="D33" s="186" t="str">
        <f>IF(AND(E33&lt;&gt;'CUADRO 12'!E44),"**","")</f>
        <v/>
      </c>
      <c r="E33" s="187">
        <f t="shared" si="4"/>
        <v>0</v>
      </c>
      <c r="F33" s="188"/>
      <c r="G33" s="189"/>
      <c r="H33" s="189"/>
      <c r="I33" s="189"/>
      <c r="J33" s="189"/>
      <c r="K33" s="189"/>
      <c r="L33" s="188"/>
      <c r="M33" s="190"/>
    </row>
    <row r="34" spans="2:13" s="44" customFormat="1" ht="15.75" customHeight="1" thickTop="1">
      <c r="B34" s="448"/>
      <c r="C34" s="84"/>
      <c r="D34" s="25"/>
      <c r="E34" s="191" t="str">
        <f>IF(OR(E6&lt;&gt;'CUADRO 12'!E17,E7&lt;&gt;'CUADRO 12'!E18,E8&lt;&gt;'CUADRO 12'!E19,E9&lt;&gt;'CUADRO 12'!E20,E10&lt;&gt;'CUADRO 12'!E21,E11&lt;&gt;'CUADRO 12'!E22,E12&lt;&gt;'CUADRO 12'!E23,E13&lt;&gt;'CUADRO 12'!E24,E14&lt;&gt;'CUADRO 12'!E25,E15&lt;&gt;'CUADRO 12'!E26,E16&lt;&gt;'CUADRO 12'!E27,E17&lt;&gt;'CUADRO 12'!E28,E18&lt;&gt;'CUADRO 12'!E29,E19&lt;&gt;'CUADRO 12'!E30,E20&lt;&gt;'CUADRO 12'!E31,E21&lt;&gt;'CUADRO 12'!E32,E22&lt;&gt;'CUADRO 12'!E33,E24&lt;&gt;'CUADRO 12'!E35,E25&lt;&gt;'CUADRO 12'!E36,E26&lt;&gt;'CUADRO 12'!E37,E27&lt;&gt;'CUADRO 12'!E38,E28&lt;&gt;'CUADRO 12'!E39,E29&lt;&gt;'CUADRO 12'!E40,E30&lt;&gt;'CUADRO 12'!E41,E31&lt;&gt;'CUADRO 12'!E42,E32&lt;&gt;'CUADRO 12'!E43,E33&lt;&gt;'CUADRO 12'!E44),"**","")</f>
        <v/>
      </c>
      <c r="F34" s="191"/>
      <c r="G34" s="191"/>
      <c r="H34" s="191"/>
      <c r="I34" s="191"/>
      <c r="J34" s="191"/>
      <c r="K34" s="191"/>
      <c r="L34" s="192"/>
      <c r="M34" s="192"/>
    </row>
    <row r="35" spans="2:13" s="44" customFormat="1" ht="15" customHeight="1">
      <c r="B35" s="448"/>
      <c r="C35" s="193"/>
      <c r="D35" s="194"/>
      <c r="E35" s="771" t="str">
        <f>IF(E34="**","** ¡VERIFICAR!.  La cifra digitada en alguno de los Cargos es diferente a la que se reportó en el Cuadro 12.","")</f>
        <v/>
      </c>
      <c r="F35" s="771"/>
      <c r="G35" s="771"/>
      <c r="H35" s="771"/>
      <c r="I35" s="771"/>
      <c r="J35" s="771"/>
      <c r="K35" s="771"/>
      <c r="L35" s="771"/>
      <c r="M35" s="771"/>
    </row>
    <row r="36" spans="2:13" ht="24.75" customHeight="1">
      <c r="C36" s="195" t="s">
        <v>273</v>
      </c>
      <c r="D36" s="196"/>
      <c r="E36" s="851"/>
      <c r="F36" s="851"/>
      <c r="G36" s="851"/>
      <c r="H36" s="851"/>
      <c r="I36" s="851"/>
      <c r="J36" s="851"/>
      <c r="K36" s="851"/>
      <c r="L36" s="851"/>
      <c r="M36" s="851"/>
    </row>
    <row r="37" spans="2:13" ht="26.25" customHeight="1">
      <c r="B37" s="448">
        <v>32</v>
      </c>
      <c r="C37" s="832"/>
      <c r="D37" s="833"/>
      <c r="E37" s="833"/>
      <c r="F37" s="833"/>
      <c r="G37" s="833"/>
      <c r="H37" s="833"/>
      <c r="I37" s="833"/>
      <c r="J37" s="833"/>
      <c r="K37" s="833"/>
      <c r="L37" s="833"/>
      <c r="M37" s="834"/>
    </row>
    <row r="38" spans="2:13" ht="26.25" customHeight="1">
      <c r="C38" s="835"/>
      <c r="D38" s="836"/>
      <c r="E38" s="836"/>
      <c r="F38" s="836"/>
      <c r="G38" s="836"/>
      <c r="H38" s="836"/>
      <c r="I38" s="836"/>
      <c r="J38" s="836"/>
      <c r="K38" s="836"/>
      <c r="L38" s="836"/>
      <c r="M38" s="837"/>
    </row>
    <row r="39" spans="2:13" ht="26.25" customHeight="1">
      <c r="C39" s="835"/>
      <c r="D39" s="836"/>
      <c r="E39" s="836"/>
      <c r="F39" s="836"/>
      <c r="G39" s="836"/>
      <c r="H39" s="836"/>
      <c r="I39" s="836"/>
      <c r="J39" s="836"/>
      <c r="K39" s="836"/>
      <c r="L39" s="836"/>
      <c r="M39" s="837"/>
    </row>
    <row r="40" spans="2:13" ht="26.25" customHeight="1">
      <c r="C40" s="838"/>
      <c r="D40" s="839"/>
      <c r="E40" s="839"/>
      <c r="F40" s="839"/>
      <c r="G40" s="839"/>
      <c r="H40" s="839"/>
      <c r="I40" s="839"/>
      <c r="J40" s="839"/>
      <c r="K40" s="839"/>
      <c r="L40" s="839"/>
      <c r="M40" s="840"/>
    </row>
  </sheetData>
  <sheetProtection algorithmName="SHA-512" hashValue="TM6cGkectlwwCv2beG8q9xCOEB3nzx1E8PN/eZH6uTFzJgDs/QUBWxNxYOOXnEelLaJidoDu1N+b2Nq9YkjJYw==" saltValue="wcDMc4WBGnuSqVjjmlzGnw==" spinCount="100000" sheet="1" objects="1" scenarios="1"/>
  <mergeCells count="3">
    <mergeCell ref="C37:M40"/>
    <mergeCell ref="E35:M36"/>
    <mergeCell ref="C3:D3"/>
  </mergeCells>
  <conditionalFormatting sqref="E4:E33">
    <cfRule type="cellIs" dxfId="20" priority="2" operator="equal">
      <formula>0</formula>
    </cfRule>
  </conditionalFormatting>
  <conditionalFormatting sqref="F4:M5 F23:M23">
    <cfRule type="cellIs" dxfId="19" priority="5" operator="equal">
      <formula>0</formula>
    </cfRule>
  </conditionalFormatting>
  <dataValidations count="1">
    <dataValidation type="whole" operator="greaterThanOrEqual" allowBlank="1" showInputMessage="1" showErrorMessage="1" sqref="E4:M33" xr:uid="{00000000-0002-0000-10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63" orientation="landscape" r:id="rId1"/>
  <headerFooter scaleWithDoc="0">
    <oddFooter>&amp;R&amp;"Goudy,Negrita Cursiva"Técnica Diurna&amp;"Goudy,Cursiva",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B1A2-4AF1-4459-8109-739F1F3838AC}">
  <sheetPr codeName="Hoja3">
    <pageSetUpPr fitToPage="1"/>
  </sheetPr>
  <dimension ref="B1:M94"/>
  <sheetViews>
    <sheetView showGridLines="0" showRuler="0" zoomScale="90" zoomScaleNormal="90" zoomScaleSheetLayoutView="90" zoomScalePageLayoutView="86" workbookViewId="0">
      <selection activeCell="F59" sqref="F59"/>
    </sheetView>
  </sheetViews>
  <sheetFormatPr baseColWidth="10" defaultColWidth="11.44140625" defaultRowHeight="13.8"/>
  <cols>
    <col min="1" max="1" width="9.21875" style="24" customWidth="1"/>
    <col min="2" max="2" width="6.77734375" style="20" hidden="1" customWidth="1"/>
    <col min="3" max="3" width="35.88671875" style="21" hidden="1" customWidth="1"/>
    <col min="4" max="4" width="4.6640625" style="25" customWidth="1"/>
    <col min="5" max="5" width="85.6640625" style="23" customWidth="1"/>
    <col min="6" max="6" width="11.44140625" style="24"/>
    <col min="7" max="7" width="54" style="24" customWidth="1"/>
    <col min="8" max="9" width="9.21875" style="24" hidden="1" customWidth="1"/>
    <col min="10" max="10" width="9.21875" style="24" customWidth="1"/>
    <col min="11" max="16384" width="11.44140625" style="24"/>
  </cols>
  <sheetData>
    <row r="1" spans="2:13" ht="21" customHeight="1">
      <c r="D1" s="22" t="s">
        <v>1575</v>
      </c>
      <c r="F1" s="23"/>
    </row>
    <row r="2" spans="2:13" ht="37.799999999999997" customHeight="1">
      <c r="D2" s="860" t="s">
        <v>2571</v>
      </c>
      <c r="E2" s="860"/>
      <c r="F2" s="860"/>
      <c r="G2" s="860"/>
    </row>
    <row r="3" spans="2:13" ht="8.4" customHeight="1">
      <c r="E3" s="26"/>
      <c r="F3" s="27"/>
    </row>
    <row r="4" spans="2:13" ht="18.75" customHeight="1">
      <c r="B4" s="20">
        <v>1</v>
      </c>
      <c r="C4" s="21" t="s">
        <v>2365</v>
      </c>
      <c r="D4" s="28" t="s">
        <v>197</v>
      </c>
      <c r="E4" s="861" t="s">
        <v>1785</v>
      </c>
      <c r="F4" s="29"/>
      <c r="G4" s="30" t="str">
        <f>IF(F4="","Responda la pregunta 1","")</f>
        <v>Responda la pregunta 1</v>
      </c>
      <c r="H4" s="31" t="s">
        <v>302</v>
      </c>
      <c r="I4" s="31" t="s">
        <v>302</v>
      </c>
    </row>
    <row r="5" spans="2:13" ht="18.75" customHeight="1">
      <c r="D5" s="28"/>
      <c r="E5" s="861"/>
      <c r="H5" s="31" t="s">
        <v>303</v>
      </c>
      <c r="I5" s="31" t="s">
        <v>303</v>
      </c>
    </row>
    <row r="6" spans="2:13" ht="18.75" customHeight="1">
      <c r="D6" s="28"/>
      <c r="E6" s="861"/>
      <c r="H6" s="31"/>
      <c r="I6" s="32" t="s">
        <v>2366</v>
      </c>
    </row>
    <row r="7" spans="2:13" ht="11.4" customHeight="1">
      <c r="D7" s="28"/>
      <c r="E7" s="33"/>
      <c r="F7" s="34"/>
      <c r="H7" s="31" t="s">
        <v>798</v>
      </c>
      <c r="I7" s="32"/>
    </row>
    <row r="8" spans="2:13" ht="18.75" customHeight="1">
      <c r="B8" s="20">
        <f>1+B4</f>
        <v>2</v>
      </c>
      <c r="C8" s="35" t="s">
        <v>2367</v>
      </c>
      <c r="D8" s="28" t="s">
        <v>198</v>
      </c>
      <c r="E8" s="36" t="s">
        <v>1668</v>
      </c>
    </row>
    <row r="9" spans="2:13" ht="18.75" customHeight="1">
      <c r="B9" s="20">
        <f>+B8+1</f>
        <v>3</v>
      </c>
      <c r="C9" s="35" t="s">
        <v>2367</v>
      </c>
      <c r="D9" s="28"/>
      <c r="E9" s="37" t="s">
        <v>2368</v>
      </c>
      <c r="F9" s="29"/>
      <c r="G9" s="30" t="str">
        <f>IF(F9="","Responda la pregunta","")</f>
        <v>Responda la pregunta</v>
      </c>
    </row>
    <row r="10" spans="2:13" ht="18.600000000000001" customHeight="1">
      <c r="B10" s="20">
        <f t="shared" ref="B10:B57" si="0">+B9+1</f>
        <v>4</v>
      </c>
      <c r="C10" s="35" t="s">
        <v>2367</v>
      </c>
      <c r="D10" s="28"/>
      <c r="E10" s="38" t="s">
        <v>2369</v>
      </c>
      <c r="F10" s="29"/>
      <c r="G10" s="30" t="str">
        <f t="shared" ref="G10:G15" si="1">IF(F10="","Responda la pregunta","")</f>
        <v>Responda la pregunta</v>
      </c>
    </row>
    <row r="11" spans="2:13" ht="18.75" customHeight="1">
      <c r="B11" s="20">
        <f t="shared" si="0"/>
        <v>5</v>
      </c>
      <c r="C11" s="35" t="s">
        <v>2367</v>
      </c>
      <c r="D11" s="28"/>
      <c r="E11" s="38" t="s">
        <v>2370</v>
      </c>
      <c r="F11" s="29"/>
      <c r="G11" s="30" t="str">
        <f t="shared" si="1"/>
        <v>Responda la pregunta</v>
      </c>
    </row>
    <row r="12" spans="2:13" ht="18.600000000000001" customHeight="1">
      <c r="B12" s="20">
        <f t="shared" si="0"/>
        <v>6</v>
      </c>
      <c r="C12" s="35" t="s">
        <v>2367</v>
      </c>
      <c r="D12" s="28"/>
      <c r="E12" s="38" t="s">
        <v>2371</v>
      </c>
      <c r="F12" s="29"/>
      <c r="G12" s="30" t="str">
        <f t="shared" si="1"/>
        <v>Responda la pregunta</v>
      </c>
    </row>
    <row r="13" spans="2:13" ht="18.75" customHeight="1">
      <c r="B13" s="20">
        <f t="shared" si="0"/>
        <v>7</v>
      </c>
      <c r="C13" s="35" t="s">
        <v>2367</v>
      </c>
      <c r="D13" s="28"/>
      <c r="E13" s="38" t="s">
        <v>2372</v>
      </c>
      <c r="F13" s="29"/>
      <c r="G13" s="30" t="str">
        <f t="shared" si="1"/>
        <v>Responda la pregunta</v>
      </c>
    </row>
    <row r="14" spans="2:13" ht="11.4" customHeight="1">
      <c r="C14" s="23"/>
      <c r="D14" s="28"/>
      <c r="E14" s="39"/>
      <c r="F14" s="40"/>
    </row>
    <row r="15" spans="2:13" ht="18.600000000000001" customHeight="1">
      <c r="B15" s="20">
        <v>8</v>
      </c>
      <c r="C15" s="23" t="s">
        <v>2373</v>
      </c>
      <c r="D15" s="28" t="s">
        <v>199</v>
      </c>
      <c r="E15" s="36" t="s">
        <v>2374</v>
      </c>
      <c r="F15" s="29"/>
      <c r="G15" s="30" t="str">
        <f t="shared" si="1"/>
        <v>Responda la pregunta</v>
      </c>
    </row>
    <row r="16" spans="2:13" ht="18.600000000000001" customHeight="1">
      <c r="C16" s="23"/>
      <c r="D16" s="28"/>
      <c r="E16" s="41" t="str">
        <f>IF(F15="Sí","Responda lo que se le solicita en 3.1",IF(F15="No","Seleccione el o los motivos por los que no se ha habilitado (ver punto 3.2):",""))</f>
        <v/>
      </c>
      <c r="F16" s="42"/>
      <c r="G16" s="705" t="str">
        <f>IF(AND($F$17="",$F$15="Sí"),1,"")</f>
        <v/>
      </c>
      <c r="L16" s="701"/>
      <c r="M16" s="701"/>
    </row>
    <row r="17" spans="2:7" ht="18.75" customHeight="1">
      <c r="B17" s="20">
        <v>9</v>
      </c>
      <c r="C17" s="23" t="s">
        <v>2375</v>
      </c>
      <c r="D17" s="702" t="s">
        <v>2376</v>
      </c>
      <c r="E17" s="703" t="s">
        <v>2377</v>
      </c>
      <c r="F17" s="49"/>
      <c r="G17" s="862" t="str">
        <f>IF(F15="Sí","* Artículo 4 del Reglamento de condiciones para las salas de lactancia materna en los centros de trabajo Nº 41080-MTSS-S","")</f>
        <v/>
      </c>
    </row>
    <row r="18" spans="2:7" ht="24" customHeight="1">
      <c r="B18" s="20">
        <f t="shared" ref="B18:B28" si="2">+B17+1</f>
        <v>10</v>
      </c>
      <c r="C18" s="23" t="s">
        <v>2378</v>
      </c>
      <c r="D18" s="702" t="s">
        <v>2379</v>
      </c>
      <c r="E18" s="703" t="s">
        <v>2638</v>
      </c>
      <c r="G18" s="862"/>
    </row>
    <row r="19" spans="2:7" ht="18.75" customHeight="1">
      <c r="B19" s="20">
        <f t="shared" si="2"/>
        <v>11</v>
      </c>
      <c r="C19" s="23" t="s">
        <v>2378</v>
      </c>
      <c r="D19" s="702"/>
      <c r="E19" s="704" t="s">
        <v>2380</v>
      </c>
      <c r="F19" s="49"/>
      <c r="G19" s="863" t="str">
        <f>IF(AND(OR(F15="",F15="Sí"),F19="",F20="",F21="",F22=""),"",IF(AND(F15="No",OR(F19="X",F20="X",F21="X",F22="X")),"","Se indicó que NO tiene Sala para Lactancia, debe seleccionar al menos un motivo"))</f>
        <v/>
      </c>
    </row>
    <row r="20" spans="2:7" ht="18.75" customHeight="1">
      <c r="B20" s="20">
        <f t="shared" si="2"/>
        <v>12</v>
      </c>
      <c r="C20" s="23" t="s">
        <v>2378</v>
      </c>
      <c r="D20" s="702"/>
      <c r="E20" s="704" t="s">
        <v>2381</v>
      </c>
      <c r="F20" s="49"/>
      <c r="G20" s="863"/>
    </row>
    <row r="21" spans="2:7" ht="18.75" customHeight="1">
      <c r="B21" s="20">
        <f t="shared" si="2"/>
        <v>13</v>
      </c>
      <c r="C21" s="23" t="s">
        <v>2378</v>
      </c>
      <c r="D21" s="702"/>
      <c r="E21" s="704" t="s">
        <v>2382</v>
      </c>
      <c r="F21" s="49"/>
      <c r="G21" s="864" t="str">
        <f>IF(F15="No","** Artículo 100 del Código de Trabajo, Ley de Fomento a la Lactancia Materna, Reglamento a la Ley de Fomento a la Lactancia Materna, Ley N°7430, Decreto Ejecutivo 24576.","")</f>
        <v/>
      </c>
    </row>
    <row r="22" spans="2:7" ht="18.75" customHeight="1">
      <c r="B22" s="20">
        <f t="shared" si="2"/>
        <v>14</v>
      </c>
      <c r="C22" s="23" t="s">
        <v>2378</v>
      </c>
      <c r="D22" s="702"/>
      <c r="E22" s="704" t="s">
        <v>2383</v>
      </c>
      <c r="F22" s="49"/>
      <c r="G22" s="864"/>
    </row>
    <row r="23" spans="2:7" ht="12" customHeight="1">
      <c r="D23" s="28"/>
      <c r="E23" s="43"/>
      <c r="F23" s="37"/>
      <c r="G23" s="706"/>
    </row>
    <row r="24" spans="2:7" ht="18.75" customHeight="1">
      <c r="B24" s="20">
        <v>15</v>
      </c>
      <c r="C24" s="21" t="s">
        <v>2384</v>
      </c>
      <c r="D24" s="28" t="s">
        <v>200</v>
      </c>
      <c r="E24" s="36" t="s">
        <v>1821</v>
      </c>
    </row>
    <row r="25" spans="2:7" ht="18.75" customHeight="1">
      <c r="B25" s="20">
        <f t="shared" si="2"/>
        <v>16</v>
      </c>
      <c r="C25" s="21" t="s">
        <v>2384</v>
      </c>
      <c r="D25" s="28"/>
      <c r="E25" s="37" t="s">
        <v>2385</v>
      </c>
      <c r="F25" s="29"/>
      <c r="G25" s="853" t="str">
        <f>IF(OR(F25="X",F26="X",F27="X",F28="X"),"","Responda la pregunta 4")</f>
        <v>Responda la pregunta 4</v>
      </c>
    </row>
    <row r="26" spans="2:7" ht="18.75" customHeight="1">
      <c r="B26" s="20">
        <f t="shared" si="2"/>
        <v>17</v>
      </c>
      <c r="C26" s="21" t="s">
        <v>2384</v>
      </c>
      <c r="D26" s="28"/>
      <c r="E26" s="37" t="s">
        <v>2386</v>
      </c>
      <c r="F26" s="29"/>
      <c r="G26" s="853"/>
    </row>
    <row r="27" spans="2:7" ht="18.75" customHeight="1">
      <c r="B27" s="20">
        <f t="shared" si="2"/>
        <v>18</v>
      </c>
      <c r="C27" s="21" t="s">
        <v>2384</v>
      </c>
      <c r="D27" s="28"/>
      <c r="E27" s="37" t="s">
        <v>2387</v>
      </c>
      <c r="F27" s="29"/>
      <c r="G27" s="853"/>
    </row>
    <row r="28" spans="2:7" ht="18.75" customHeight="1">
      <c r="B28" s="20">
        <f t="shared" si="2"/>
        <v>19</v>
      </c>
      <c r="C28" s="21" t="s">
        <v>2384</v>
      </c>
      <c r="D28" s="28"/>
      <c r="E28" s="38" t="s">
        <v>2388</v>
      </c>
      <c r="F28" s="29"/>
      <c r="G28" s="853"/>
    </row>
    <row r="29" spans="2:7" ht="12" customHeight="1">
      <c r="D29" s="28"/>
      <c r="E29" s="43"/>
    </row>
    <row r="30" spans="2:7" ht="18.75" customHeight="1">
      <c r="B30" s="20">
        <v>20</v>
      </c>
      <c r="C30" s="21" t="s">
        <v>2389</v>
      </c>
      <c r="D30" s="28" t="s">
        <v>201</v>
      </c>
      <c r="E30" s="36" t="s">
        <v>1822</v>
      </c>
    </row>
    <row r="31" spans="2:7" ht="18.75" customHeight="1">
      <c r="B31" s="20">
        <f t="shared" si="0"/>
        <v>21</v>
      </c>
      <c r="C31" s="21" t="s">
        <v>2389</v>
      </c>
      <c r="D31" s="28"/>
      <c r="E31" s="38" t="s">
        <v>2390</v>
      </c>
      <c r="F31" s="29"/>
      <c r="G31" s="853" t="str">
        <f>IF(OR(F31="X",F32="X",F33="X",F34="X",F35="X",F36="X",F37="X",F38="X",F39="X",F40="X",F41="X"),"","Responda la pregunta 5")</f>
        <v>Responda la pregunta 5</v>
      </c>
    </row>
    <row r="32" spans="2:7" ht="18.75" customHeight="1">
      <c r="B32" s="20">
        <f t="shared" si="0"/>
        <v>22</v>
      </c>
      <c r="C32" s="21" t="s">
        <v>2389</v>
      </c>
      <c r="D32" s="28"/>
      <c r="E32" s="38" t="s">
        <v>2391</v>
      </c>
      <c r="F32" s="29"/>
      <c r="G32" s="853"/>
    </row>
    <row r="33" spans="2:7" ht="18.75" customHeight="1">
      <c r="B33" s="20">
        <f t="shared" si="0"/>
        <v>23</v>
      </c>
      <c r="C33" s="21" t="s">
        <v>2389</v>
      </c>
      <c r="D33" s="28"/>
      <c r="E33" s="38" t="s">
        <v>2392</v>
      </c>
      <c r="F33" s="29"/>
      <c r="G33" s="853"/>
    </row>
    <row r="34" spans="2:7" ht="18.75" customHeight="1">
      <c r="B34" s="20">
        <f t="shared" si="0"/>
        <v>24</v>
      </c>
      <c r="C34" s="21" t="s">
        <v>2389</v>
      </c>
      <c r="D34" s="28"/>
      <c r="E34" s="38" t="s">
        <v>2393</v>
      </c>
      <c r="F34" s="29"/>
      <c r="G34" s="853"/>
    </row>
    <row r="35" spans="2:7" ht="18.75" customHeight="1">
      <c r="B35" s="20">
        <f t="shared" si="0"/>
        <v>25</v>
      </c>
      <c r="C35" s="21" t="s">
        <v>2389</v>
      </c>
      <c r="D35" s="28"/>
      <c r="E35" s="38" t="s">
        <v>2394</v>
      </c>
      <c r="F35" s="29"/>
    </row>
    <row r="36" spans="2:7" ht="18.75" customHeight="1">
      <c r="B36" s="20">
        <f t="shared" si="0"/>
        <v>26</v>
      </c>
      <c r="C36" s="21" t="s">
        <v>2389</v>
      </c>
      <c r="D36" s="28"/>
      <c r="E36" s="38" t="s">
        <v>2395</v>
      </c>
      <c r="F36" s="29"/>
    </row>
    <row r="37" spans="2:7" ht="18.75" customHeight="1">
      <c r="B37" s="20">
        <f t="shared" si="0"/>
        <v>27</v>
      </c>
      <c r="C37" s="21" t="s">
        <v>2389</v>
      </c>
      <c r="D37" s="28"/>
      <c r="E37" s="38" t="s">
        <v>1670</v>
      </c>
      <c r="F37" s="29"/>
    </row>
    <row r="38" spans="2:7" ht="18.75" customHeight="1">
      <c r="B38" s="20">
        <f t="shared" si="0"/>
        <v>28</v>
      </c>
      <c r="C38" s="21" t="s">
        <v>2389</v>
      </c>
      <c r="D38" s="28"/>
      <c r="E38" s="38" t="s">
        <v>1671</v>
      </c>
      <c r="F38" s="29"/>
    </row>
    <row r="39" spans="2:7" ht="18.75" customHeight="1">
      <c r="B39" s="20">
        <f t="shared" si="0"/>
        <v>29</v>
      </c>
      <c r="C39" s="21" t="s">
        <v>2389</v>
      </c>
      <c r="D39" s="28"/>
      <c r="E39" s="38" t="s">
        <v>2396</v>
      </c>
      <c r="F39" s="29"/>
    </row>
    <row r="40" spans="2:7" ht="18.75" customHeight="1">
      <c r="B40" s="20">
        <f t="shared" si="0"/>
        <v>30</v>
      </c>
      <c r="C40" s="21" t="s">
        <v>2389</v>
      </c>
      <c r="D40" s="28"/>
      <c r="E40" s="38" t="s">
        <v>2397</v>
      </c>
      <c r="F40" s="29"/>
    </row>
    <row r="41" spans="2:7" ht="18.75" customHeight="1">
      <c r="B41" s="20">
        <f t="shared" si="0"/>
        <v>31</v>
      </c>
      <c r="C41" s="21" t="s">
        <v>2389</v>
      </c>
      <c r="D41" s="28"/>
      <c r="E41" s="38" t="s">
        <v>254</v>
      </c>
      <c r="F41" s="29"/>
    </row>
    <row r="42" spans="2:7" ht="12" customHeight="1">
      <c r="D42" s="28"/>
      <c r="E42" s="43"/>
      <c r="F42" s="44"/>
    </row>
    <row r="43" spans="2:7" ht="18.75" customHeight="1">
      <c r="B43" s="20">
        <v>32</v>
      </c>
      <c r="C43" s="21" t="s">
        <v>2398</v>
      </c>
      <c r="D43" s="28" t="s">
        <v>202</v>
      </c>
      <c r="E43" s="36" t="s">
        <v>255</v>
      </c>
      <c r="F43" s="44"/>
    </row>
    <row r="44" spans="2:7" ht="18.75" customHeight="1">
      <c r="B44" s="20">
        <f t="shared" si="0"/>
        <v>33</v>
      </c>
      <c r="C44" s="21" t="s">
        <v>2398</v>
      </c>
      <c r="D44" s="28"/>
      <c r="E44" s="38" t="s">
        <v>2399</v>
      </c>
      <c r="F44" s="29"/>
      <c r="G44" s="853" t="str">
        <f>IF(OR(F44="X",F45="X",F46="X",F47="X",F48="X",F49="X"),"","Responda la pregunta 6")</f>
        <v>Responda la pregunta 6</v>
      </c>
    </row>
    <row r="45" spans="2:7" ht="18.75" customHeight="1">
      <c r="B45" s="20">
        <f t="shared" si="0"/>
        <v>34</v>
      </c>
      <c r="C45" s="21" t="s">
        <v>2398</v>
      </c>
      <c r="D45" s="28"/>
      <c r="E45" s="38" t="s">
        <v>2400</v>
      </c>
      <c r="F45" s="29"/>
      <c r="G45" s="853"/>
    </row>
    <row r="46" spans="2:7" ht="18.75" customHeight="1">
      <c r="B46" s="20">
        <f t="shared" si="0"/>
        <v>35</v>
      </c>
      <c r="C46" s="21" t="s">
        <v>2398</v>
      </c>
      <c r="D46" s="28"/>
      <c r="E46" s="38" t="s">
        <v>2401</v>
      </c>
      <c r="F46" s="29"/>
      <c r="G46" s="853"/>
    </row>
    <row r="47" spans="2:7" ht="18.75" customHeight="1">
      <c r="B47" s="20">
        <f t="shared" si="0"/>
        <v>36</v>
      </c>
      <c r="C47" s="21" t="s">
        <v>2398</v>
      </c>
      <c r="D47" s="28"/>
      <c r="E47" s="38" t="s">
        <v>2402</v>
      </c>
      <c r="F47" s="29"/>
      <c r="G47" s="853"/>
    </row>
    <row r="48" spans="2:7" ht="18.75" customHeight="1">
      <c r="B48" s="20">
        <f t="shared" si="0"/>
        <v>37</v>
      </c>
      <c r="C48" s="21" t="s">
        <v>2398</v>
      </c>
      <c r="D48" s="28"/>
      <c r="E48" s="38" t="s">
        <v>2403</v>
      </c>
      <c r="F48" s="29"/>
    </row>
    <row r="49" spans="2:7" ht="18.75" customHeight="1">
      <c r="B49" s="20">
        <f t="shared" si="0"/>
        <v>38</v>
      </c>
      <c r="C49" s="21" t="s">
        <v>2398</v>
      </c>
      <c r="D49" s="28"/>
      <c r="E49" s="38" t="s">
        <v>254</v>
      </c>
      <c r="F49" s="29"/>
    </row>
    <row r="50" spans="2:7" ht="12" customHeight="1">
      <c r="D50" s="28"/>
      <c r="E50" s="35"/>
      <c r="F50" s="44"/>
    </row>
    <row r="51" spans="2:7" ht="24.6" customHeight="1">
      <c r="B51" s="20">
        <v>39</v>
      </c>
      <c r="C51" s="21" t="s">
        <v>2404</v>
      </c>
      <c r="D51" s="28" t="s">
        <v>203</v>
      </c>
      <c r="E51" s="36" t="s">
        <v>1823</v>
      </c>
      <c r="F51" s="44"/>
    </row>
    <row r="52" spans="2:7" ht="18.75" customHeight="1">
      <c r="B52" s="20">
        <f t="shared" si="0"/>
        <v>40</v>
      </c>
      <c r="C52" s="21" t="s">
        <v>2404</v>
      </c>
      <c r="D52" s="28"/>
      <c r="E52" s="38" t="s">
        <v>2405</v>
      </c>
      <c r="F52" s="29"/>
      <c r="G52" s="853" t="str">
        <f>IF(OR(F52="X",F53="X",F54="X",F55="X",F56="X",F57="X"),"","Responda la pregunta 7")</f>
        <v>Responda la pregunta 7</v>
      </c>
    </row>
    <row r="53" spans="2:7" ht="18.75" customHeight="1">
      <c r="B53" s="20">
        <f t="shared" si="0"/>
        <v>41</v>
      </c>
      <c r="C53" s="21" t="s">
        <v>2404</v>
      </c>
      <c r="D53" s="28"/>
      <c r="E53" s="38" t="s">
        <v>2406</v>
      </c>
      <c r="F53" s="29"/>
      <c r="G53" s="853"/>
    </row>
    <row r="54" spans="2:7" ht="18.75" customHeight="1">
      <c r="B54" s="20">
        <f t="shared" si="0"/>
        <v>42</v>
      </c>
      <c r="C54" s="21" t="s">
        <v>2404</v>
      </c>
      <c r="D54" s="28"/>
      <c r="E54" s="38" t="s">
        <v>2407</v>
      </c>
      <c r="F54" s="29"/>
      <c r="G54" s="853"/>
    </row>
    <row r="55" spans="2:7" ht="18.75" customHeight="1">
      <c r="B55" s="20">
        <f t="shared" si="0"/>
        <v>43</v>
      </c>
      <c r="C55" s="21" t="s">
        <v>2404</v>
      </c>
      <c r="D55" s="28"/>
      <c r="E55" s="38" t="s">
        <v>2408</v>
      </c>
      <c r="F55" s="29"/>
      <c r="G55" s="853"/>
    </row>
    <row r="56" spans="2:7" ht="18.75" customHeight="1">
      <c r="B56" s="20">
        <f t="shared" si="0"/>
        <v>44</v>
      </c>
      <c r="C56" s="21" t="s">
        <v>2404</v>
      </c>
      <c r="D56" s="28"/>
      <c r="E56" s="38" t="s">
        <v>2409</v>
      </c>
      <c r="F56" s="29"/>
    </row>
    <row r="57" spans="2:7" ht="18.75" customHeight="1">
      <c r="B57" s="20">
        <f t="shared" si="0"/>
        <v>45</v>
      </c>
      <c r="C57" s="21" t="s">
        <v>2404</v>
      </c>
      <c r="D57" s="28"/>
      <c r="E57" s="38" t="s">
        <v>2410</v>
      </c>
      <c r="F57" s="29"/>
    </row>
    <row r="58" spans="2:7" ht="12.6" customHeight="1">
      <c r="D58" s="28"/>
    </row>
    <row r="59" spans="2:7" ht="18.75" customHeight="1">
      <c r="B59" s="20">
        <v>46</v>
      </c>
      <c r="C59" s="21" t="s">
        <v>2411</v>
      </c>
      <c r="D59" s="28" t="s">
        <v>204</v>
      </c>
      <c r="E59" s="36" t="s">
        <v>1577</v>
      </c>
      <c r="F59" s="29"/>
      <c r="G59" s="30" t="str">
        <f>IF(F59="","Responda la pregunta 8","")</f>
        <v>Responda la pregunta 8</v>
      </c>
    </row>
    <row r="60" spans="2:7" ht="18.75" customHeight="1">
      <c r="B60" s="20">
        <f>+B59+1</f>
        <v>47</v>
      </c>
      <c r="C60" s="21" t="s">
        <v>2411</v>
      </c>
      <c r="D60" s="28"/>
      <c r="E60" s="45" t="str">
        <f>IF(F59="Sí","Indique nombre y código presupuestario de la institución con la que se comparte","")</f>
        <v/>
      </c>
      <c r="G60" s="46"/>
    </row>
    <row r="61" spans="2:7" ht="18.75" customHeight="1">
      <c r="B61" s="20">
        <f>+B60+1</f>
        <v>48</v>
      </c>
      <c r="C61" s="21" t="s">
        <v>2411</v>
      </c>
      <c r="D61" s="28"/>
      <c r="E61" s="47"/>
      <c r="F61" s="29"/>
      <c r="G61" s="853" t="str">
        <f>IF(F59="No","",IF(AND(F59="Sí",(OR(E61&lt;&gt;"",E62&lt;&gt;"",E63&lt;&gt;"",E64&lt;&gt;""))),"","Se indicó que comparte el edificio, complete lo que se le solicita"))</f>
        <v>Se indicó que comparte el edificio, complete lo que se le solicita</v>
      </c>
    </row>
    <row r="62" spans="2:7" ht="18.75" customHeight="1">
      <c r="B62" s="20">
        <f>+B61+1</f>
        <v>49</v>
      </c>
      <c r="C62" s="21" t="s">
        <v>2411</v>
      </c>
      <c r="D62" s="28"/>
      <c r="E62" s="47"/>
      <c r="F62" s="29"/>
      <c r="G62" s="853"/>
    </row>
    <row r="63" spans="2:7" ht="18.75" customHeight="1">
      <c r="B63" s="20">
        <f>+B62+1</f>
        <v>50</v>
      </c>
      <c r="C63" s="21" t="s">
        <v>2411</v>
      </c>
      <c r="D63" s="28"/>
      <c r="E63" s="47"/>
      <c r="F63" s="29"/>
      <c r="G63" s="853"/>
    </row>
    <row r="64" spans="2:7" ht="18.75" customHeight="1">
      <c r="B64" s="20">
        <f>+B63+1</f>
        <v>51</v>
      </c>
      <c r="C64" s="21" t="s">
        <v>2411</v>
      </c>
      <c r="D64" s="28"/>
      <c r="E64" s="47"/>
      <c r="F64" s="29"/>
      <c r="G64" s="853"/>
    </row>
    <row r="65" spans="2:6" ht="12" customHeight="1">
      <c r="D65" s="28"/>
      <c r="E65" s="48"/>
      <c r="F65" s="49"/>
    </row>
    <row r="66" spans="2:6" ht="18.600000000000001" customHeight="1">
      <c r="D66" s="28"/>
      <c r="E66" s="50" t="s">
        <v>273</v>
      </c>
    </row>
    <row r="67" spans="2:6" ht="18.75" customHeight="1">
      <c r="B67" s="20">
        <v>52</v>
      </c>
      <c r="C67" s="21" t="s">
        <v>2412</v>
      </c>
      <c r="D67" s="28"/>
      <c r="E67" s="854"/>
      <c r="F67" s="855"/>
    </row>
    <row r="68" spans="2:6" ht="18.75" customHeight="1">
      <c r="D68" s="28"/>
      <c r="E68" s="856"/>
      <c r="F68" s="857"/>
    </row>
    <row r="69" spans="2:6" ht="15.6">
      <c r="D69" s="28"/>
      <c r="E69" s="856"/>
      <c r="F69" s="857"/>
    </row>
    <row r="70" spans="2:6" ht="15.6">
      <c r="D70" s="28"/>
      <c r="E70" s="856"/>
      <c r="F70" s="857"/>
    </row>
    <row r="71" spans="2:6" ht="15.6">
      <c r="D71" s="28"/>
      <c r="E71" s="856"/>
      <c r="F71" s="857"/>
    </row>
    <row r="72" spans="2:6" ht="15.6">
      <c r="D72" s="28"/>
      <c r="E72" s="858"/>
      <c r="F72" s="859"/>
    </row>
    <row r="73" spans="2:6" ht="15.6">
      <c r="D73" s="28"/>
    </row>
    <row r="74" spans="2:6" ht="15.6">
      <c r="D74" s="28"/>
    </row>
    <row r="75" spans="2:6" ht="15.6">
      <c r="D75" s="28"/>
    </row>
    <row r="76" spans="2:6" ht="15.6">
      <c r="D76" s="28"/>
    </row>
    <row r="77" spans="2:6" ht="15.6">
      <c r="D77" s="28"/>
    </row>
    <row r="78" spans="2:6" ht="15.6">
      <c r="D78" s="28"/>
    </row>
    <row r="79" spans="2:6" ht="15.6">
      <c r="D79" s="28"/>
    </row>
    <row r="80" spans="2:6" ht="15.6">
      <c r="D80" s="28"/>
    </row>
    <row r="81" spans="2:4" s="23" customFormat="1" ht="15.6">
      <c r="B81" s="20"/>
      <c r="C81" s="21"/>
      <c r="D81" s="28"/>
    </row>
    <row r="82" spans="2:4" s="23" customFormat="1" ht="15.6">
      <c r="B82" s="20"/>
      <c r="C82" s="21"/>
      <c r="D82" s="28"/>
    </row>
    <row r="83" spans="2:4" s="23" customFormat="1" ht="15.6">
      <c r="B83" s="20"/>
      <c r="C83" s="21"/>
      <c r="D83" s="28"/>
    </row>
    <row r="84" spans="2:4" s="23" customFormat="1" ht="15.6">
      <c r="B84" s="20"/>
      <c r="C84" s="21"/>
      <c r="D84" s="28"/>
    </row>
    <row r="85" spans="2:4" s="23" customFormat="1" ht="15.6">
      <c r="B85" s="20"/>
      <c r="C85" s="21"/>
      <c r="D85" s="28"/>
    </row>
    <row r="86" spans="2:4" s="23" customFormat="1" ht="15.6">
      <c r="B86" s="20"/>
      <c r="C86" s="21"/>
      <c r="D86" s="28"/>
    </row>
    <row r="87" spans="2:4" s="23" customFormat="1" ht="15.6">
      <c r="B87" s="20"/>
      <c r="C87" s="21"/>
      <c r="D87" s="28"/>
    </row>
    <row r="88" spans="2:4" s="23" customFormat="1" ht="15.6">
      <c r="B88" s="20"/>
      <c r="C88" s="21"/>
      <c r="D88" s="28"/>
    </row>
    <row r="89" spans="2:4" s="23" customFormat="1" ht="15.6">
      <c r="B89" s="20"/>
      <c r="C89" s="21"/>
      <c r="D89" s="28"/>
    </row>
    <row r="90" spans="2:4" s="23" customFormat="1" ht="15.6">
      <c r="B90" s="20"/>
      <c r="C90" s="21"/>
      <c r="D90" s="28"/>
    </row>
    <row r="91" spans="2:4" s="23" customFormat="1" ht="15.6">
      <c r="B91" s="20"/>
      <c r="C91" s="21"/>
      <c r="D91" s="28"/>
    </row>
    <row r="92" spans="2:4" s="23" customFormat="1" ht="15.6">
      <c r="B92" s="20"/>
      <c r="C92" s="21"/>
      <c r="D92" s="28"/>
    </row>
    <row r="93" spans="2:4" s="23" customFormat="1" ht="15.6">
      <c r="B93" s="20"/>
      <c r="C93" s="21"/>
      <c r="D93" s="28"/>
    </row>
    <row r="94" spans="2:4" s="23" customFormat="1" ht="15.6">
      <c r="B94" s="20"/>
      <c r="C94" s="21"/>
      <c r="D94" s="28"/>
    </row>
  </sheetData>
  <sheetProtection algorithmName="SHA-512" hashValue="GGwbiaV3uPg5txkmOxPZU4c2bqBUeObJptb/fwAcvBTIrkDFWxMxYpg8tze2SYjTsl1x3dcQoV1tSd86mD7NeQ==" saltValue="vKG+SfSAdESdf5fXlt80Wg==" spinCount="100000" sheet="1" objects="1" scenarios="1"/>
  <mergeCells count="11">
    <mergeCell ref="G25:G28"/>
    <mergeCell ref="D2:G2"/>
    <mergeCell ref="E4:E6"/>
    <mergeCell ref="G17:G18"/>
    <mergeCell ref="G19:G20"/>
    <mergeCell ref="G21:G22"/>
    <mergeCell ref="G31:G34"/>
    <mergeCell ref="G44:G47"/>
    <mergeCell ref="G52:G55"/>
    <mergeCell ref="G61:G64"/>
    <mergeCell ref="E67:F72"/>
  </mergeCells>
  <conditionalFormatting sqref="C8:C13">
    <cfRule type="cellIs" dxfId="18" priority="17" operator="equal">
      <formula>"Error!"</formula>
    </cfRule>
  </conditionalFormatting>
  <conditionalFormatting sqref="C24:D28">
    <cfRule type="cellIs" dxfId="17" priority="22" operator="equal">
      <formula>"Error!"</formula>
    </cfRule>
  </conditionalFormatting>
  <conditionalFormatting sqref="C30:D41">
    <cfRule type="cellIs" dxfId="16" priority="21" operator="equal">
      <formula>"Error!"</formula>
    </cfRule>
  </conditionalFormatting>
  <conditionalFormatting sqref="D17:E17">
    <cfRule type="expression" dxfId="15" priority="7">
      <formula>$F$15="Sí"</formula>
    </cfRule>
  </conditionalFormatting>
  <conditionalFormatting sqref="D18:E22">
    <cfRule type="expression" dxfId="14" priority="6">
      <formula>$F$15="No"</formula>
    </cfRule>
  </conditionalFormatting>
  <conditionalFormatting sqref="E8">
    <cfRule type="cellIs" dxfId="13" priority="19" operator="equal">
      <formula>"Error!"</formula>
    </cfRule>
  </conditionalFormatting>
  <conditionalFormatting sqref="E23:E42">
    <cfRule type="cellIs" dxfId="12" priority="23" operator="equal">
      <formula>"Error!"</formula>
    </cfRule>
  </conditionalFormatting>
  <conditionalFormatting sqref="F4">
    <cfRule type="containsBlanks" dxfId="11" priority="20">
      <formula>LEN(TRIM(F4))=0</formula>
    </cfRule>
  </conditionalFormatting>
  <conditionalFormatting sqref="F9:F13">
    <cfRule type="containsBlanks" dxfId="10" priority="15">
      <formula>LEN(TRIM(F9))=0</formula>
    </cfRule>
  </conditionalFormatting>
  <conditionalFormatting sqref="F15">
    <cfRule type="containsBlanks" dxfId="9" priority="13">
      <formula>LEN(TRIM(F15))=0</formula>
    </cfRule>
  </conditionalFormatting>
  <conditionalFormatting sqref="F17">
    <cfRule type="expression" dxfId="8" priority="5">
      <formula>$G$16=1</formula>
    </cfRule>
    <cfRule type="expression" dxfId="7" priority="9">
      <formula>$F$15="Sí"</formula>
    </cfRule>
  </conditionalFormatting>
  <conditionalFormatting sqref="F19:F22">
    <cfRule type="expression" dxfId="6" priority="2">
      <formula>$F$15="No"</formula>
    </cfRule>
  </conditionalFormatting>
  <conditionalFormatting sqref="F59">
    <cfRule type="containsBlanks" dxfId="5" priority="18">
      <formula>LEN(TRIM(F59))=0</formula>
    </cfRule>
  </conditionalFormatting>
  <dataValidations count="2">
    <dataValidation type="list" allowBlank="1" showInputMessage="1" showErrorMessage="1" sqref="F4 F9:F13 F59 F15 F17" xr:uid="{4E5084D5-22A5-4D05-8ABA-A98AF3F85B79}">
      <formula1>SINO</formula1>
    </dataValidation>
    <dataValidation type="list" allowBlank="1" showInputMessage="1" showErrorMessage="1" sqref="F31:F41 F25:F28 F44:F49 F52:F57 F19:F22" xr:uid="{B73327CA-BB42-48F3-8044-EF0BD59D6002}">
      <formula1>MARCA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44" orientation="landscape" r:id="rId1"/>
  <headerFooter scaleWithDoc="0">
    <oddFooter>&amp;R&amp;"Goudy,Negrita Cursiva"Técnica Diurna&amp;"Goudy,Cursiva",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8319-C04D-477B-B948-F879D065658C}">
  <sheetPr codeName="Hoja4">
    <pageSetUpPr fitToPage="1"/>
  </sheetPr>
  <dimension ref="B1:K36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24" customWidth="1"/>
    <col min="2" max="2" width="4.109375" style="32" hidden="1" customWidth="1"/>
    <col min="3" max="3" width="60.109375" style="24" customWidth="1"/>
    <col min="4" max="4" width="8.44140625" style="24" customWidth="1"/>
    <col min="5" max="6" width="15.77734375" style="24" customWidth="1"/>
    <col min="7" max="7" width="15.88671875" style="24" customWidth="1"/>
    <col min="8" max="16384" width="11.44140625" style="24"/>
  </cols>
  <sheetData>
    <row r="1" spans="2:11" ht="17.399999999999999">
      <c r="C1" s="22" t="s">
        <v>1636</v>
      </c>
      <c r="E1" s="22"/>
      <c r="H1" s="22"/>
      <c r="K1" s="51"/>
    </row>
    <row r="2" spans="2:11" ht="18" thickBot="1">
      <c r="C2" s="22" t="s">
        <v>2570</v>
      </c>
      <c r="E2" s="52"/>
      <c r="F2" s="53"/>
      <c r="G2" s="54"/>
    </row>
    <row r="3" spans="2:11" ht="28.8" thickTop="1" thickBot="1">
      <c r="B3" s="32">
        <v>1</v>
      </c>
      <c r="C3" s="55"/>
      <c r="D3" s="56"/>
      <c r="E3" s="57" t="s">
        <v>300</v>
      </c>
      <c r="F3" s="58" t="s">
        <v>2413</v>
      </c>
    </row>
    <row r="4" spans="2:11" ht="21.6" customHeight="1" thickTop="1">
      <c r="B4" s="32">
        <v>2</v>
      </c>
      <c r="C4" s="59" t="s">
        <v>1667</v>
      </c>
      <c r="D4" s="59"/>
      <c r="E4" s="60">
        <f>+E5+E7+E6</f>
        <v>0</v>
      </c>
      <c r="F4" s="61">
        <f>+F5+F7+F6</f>
        <v>0</v>
      </c>
    </row>
    <row r="5" spans="2:11" ht="21.6" customHeight="1">
      <c r="B5" s="32">
        <v>3</v>
      </c>
      <c r="C5" s="62" t="s">
        <v>1576</v>
      </c>
      <c r="D5" s="63"/>
      <c r="E5" s="64"/>
      <c r="F5" s="65"/>
      <c r="G5" s="66" t="str">
        <f>IF(AND(OR(E5&gt;0),AND(F5="")),"¿Nada en buen estado?",IF(AND(OR(E5&gt;=0),AND(F5&gt;E5)),"Verifique la cantidad total",""))</f>
        <v/>
      </c>
    </row>
    <row r="6" spans="2:11" ht="21.6" customHeight="1">
      <c r="C6" s="62" t="s">
        <v>305</v>
      </c>
      <c r="D6" s="63"/>
      <c r="E6" s="64"/>
      <c r="F6" s="65"/>
      <c r="G6" s="66"/>
    </row>
    <row r="7" spans="2:11" ht="21.6" customHeight="1">
      <c r="B7" s="32">
        <v>4</v>
      </c>
      <c r="C7" s="38" t="s">
        <v>797</v>
      </c>
      <c r="D7" s="38"/>
      <c r="E7" s="67">
        <f>+E8+E9+E10</f>
        <v>0</v>
      </c>
      <c r="F7" s="68">
        <f>+F8+F9+F10</f>
        <v>0</v>
      </c>
    </row>
    <row r="8" spans="2:11" ht="21.6" customHeight="1">
      <c r="B8" s="32">
        <v>5</v>
      </c>
      <c r="C8" s="69"/>
      <c r="D8" s="700"/>
      <c r="E8" s="70"/>
      <c r="F8" s="71"/>
      <c r="G8" s="66" t="str">
        <f>IF(AND(OR(E8&gt;0),AND(F8="")),"¿Nada en buen estado?",IF(AND(OR(E8&gt;=0),AND(F8&gt;E8)),"Verifique la cantidad total",""))</f>
        <v/>
      </c>
    </row>
    <row r="9" spans="2:11" ht="21.6" customHeight="1">
      <c r="B9" s="32">
        <v>6</v>
      </c>
      <c r="C9" s="69"/>
      <c r="D9" s="700"/>
      <c r="E9" s="70"/>
      <c r="F9" s="71"/>
      <c r="G9" s="66" t="str">
        <f t="shared" ref="G9:G24" si="0">IF(AND(OR(E9&gt;0),AND(F9="")),"¿Nada en buen estado?",IF(AND(OR(E9&gt;=0),AND(F9&gt;E9)),"Verifique la cantidad total",""))</f>
        <v/>
      </c>
    </row>
    <row r="10" spans="2:11" ht="21.6" customHeight="1">
      <c r="B10" s="32">
        <v>7</v>
      </c>
      <c r="C10" s="69"/>
      <c r="D10" s="700"/>
      <c r="E10" s="70"/>
      <c r="F10" s="71"/>
      <c r="G10" s="66" t="str">
        <f t="shared" si="0"/>
        <v/>
      </c>
    </row>
    <row r="11" spans="2:11" ht="21.6" customHeight="1">
      <c r="B11" s="32">
        <v>8</v>
      </c>
      <c r="C11" s="72" t="s">
        <v>301</v>
      </c>
      <c r="D11" s="72"/>
      <c r="E11" s="70"/>
      <c r="F11" s="73"/>
      <c r="G11" s="66" t="str">
        <f t="shared" si="0"/>
        <v/>
      </c>
    </row>
    <row r="12" spans="2:11" ht="21.6" customHeight="1">
      <c r="B12" s="32">
        <v>9</v>
      </c>
      <c r="C12" s="74" t="s">
        <v>250</v>
      </c>
      <c r="D12" s="74"/>
      <c r="E12" s="70"/>
      <c r="F12" s="73"/>
      <c r="G12" s="66" t="str">
        <f t="shared" si="0"/>
        <v/>
      </c>
    </row>
    <row r="13" spans="2:11" ht="21.6" customHeight="1">
      <c r="B13" s="32">
        <v>10</v>
      </c>
      <c r="C13" s="74" t="s">
        <v>799</v>
      </c>
      <c r="D13" s="74"/>
      <c r="E13" s="70"/>
      <c r="F13" s="73"/>
      <c r="G13" s="66" t="str">
        <f t="shared" si="0"/>
        <v/>
      </c>
    </row>
    <row r="14" spans="2:11" ht="21.6" customHeight="1">
      <c r="B14" s="32">
        <v>11</v>
      </c>
      <c r="C14" s="72" t="s">
        <v>1579</v>
      </c>
      <c r="D14" s="72"/>
      <c r="E14" s="70"/>
      <c r="F14" s="73"/>
      <c r="G14" s="66" t="str">
        <f t="shared" si="0"/>
        <v/>
      </c>
    </row>
    <row r="15" spans="2:11" ht="21.6" customHeight="1">
      <c r="B15" s="32">
        <v>12</v>
      </c>
      <c r="C15" s="74" t="s">
        <v>251</v>
      </c>
      <c r="D15" s="74"/>
      <c r="E15" s="70"/>
      <c r="F15" s="73"/>
      <c r="G15" s="66" t="str">
        <f t="shared" si="0"/>
        <v/>
      </c>
    </row>
    <row r="16" spans="2:11" ht="21.6" customHeight="1">
      <c r="B16" s="32">
        <v>13</v>
      </c>
      <c r="C16" s="74" t="s">
        <v>271</v>
      </c>
      <c r="D16" s="74"/>
      <c r="E16" s="70"/>
      <c r="F16" s="73"/>
      <c r="G16" s="66" t="str">
        <f t="shared" si="0"/>
        <v/>
      </c>
    </row>
    <row r="17" spans="2:7" ht="21.6" customHeight="1">
      <c r="B17" s="32">
        <v>14</v>
      </c>
      <c r="C17" s="72" t="s">
        <v>283</v>
      </c>
      <c r="D17" s="75" t="str">
        <f>IF(AND('CUADRO 14'!F9="Sí",OR(E17="",E17=0)),"**",IF(AND(E17&gt;0,OR('CUADRO 14'!F9="No",'CUADRO 14'!F9="")),"/**/",""))</f>
        <v/>
      </c>
      <c r="E17" s="70"/>
      <c r="F17" s="73"/>
      <c r="G17" s="66" t="str">
        <f t="shared" si="0"/>
        <v/>
      </c>
    </row>
    <row r="18" spans="2:7" ht="21.6" customHeight="1">
      <c r="B18" s="32">
        <v>15</v>
      </c>
      <c r="C18" s="74" t="s">
        <v>287</v>
      </c>
      <c r="D18" s="74"/>
      <c r="E18" s="70"/>
      <c r="F18" s="73"/>
      <c r="G18" s="66" t="str">
        <f t="shared" si="0"/>
        <v/>
      </c>
    </row>
    <row r="19" spans="2:7" ht="21.6" customHeight="1">
      <c r="B19" s="32">
        <v>16</v>
      </c>
      <c r="C19" s="74" t="s">
        <v>854</v>
      </c>
      <c r="D19" s="74"/>
      <c r="E19" s="70"/>
      <c r="F19" s="73"/>
      <c r="G19" s="66" t="str">
        <f t="shared" si="0"/>
        <v/>
      </c>
    </row>
    <row r="20" spans="2:7" ht="21.6" customHeight="1">
      <c r="B20" s="32">
        <v>17</v>
      </c>
      <c r="C20" s="74" t="s">
        <v>284</v>
      </c>
      <c r="D20" s="74"/>
      <c r="E20" s="70"/>
      <c r="F20" s="73"/>
      <c r="G20" s="66" t="str">
        <f t="shared" si="0"/>
        <v/>
      </c>
    </row>
    <row r="21" spans="2:7" ht="21.6" customHeight="1">
      <c r="B21" s="32">
        <v>18</v>
      </c>
      <c r="C21" s="74" t="s">
        <v>285</v>
      </c>
      <c r="D21" s="74"/>
      <c r="E21" s="70"/>
      <c r="F21" s="73"/>
      <c r="G21" s="66" t="str">
        <f t="shared" si="0"/>
        <v/>
      </c>
    </row>
    <row r="22" spans="2:7" ht="21.6" customHeight="1">
      <c r="B22" s="32">
        <v>19</v>
      </c>
      <c r="C22" s="74" t="s">
        <v>800</v>
      </c>
      <c r="D22" s="74"/>
      <c r="E22" s="70"/>
      <c r="F22" s="73"/>
      <c r="G22" s="66" t="str">
        <f t="shared" si="0"/>
        <v/>
      </c>
    </row>
    <row r="23" spans="2:7" ht="21.6" customHeight="1">
      <c r="B23" s="32">
        <v>20</v>
      </c>
      <c r="C23" s="76" t="s">
        <v>2414</v>
      </c>
      <c r="D23" s="77" t="str">
        <f>IF(AND('CUADRO 14'!F15="Sí",OR(E23="",E23=0)),"***",IF(AND(E23&gt;0,OR('CUADRO 14'!F15="No",'CUADRO 14'!F15="")),"++",""))</f>
        <v/>
      </c>
      <c r="E23" s="78"/>
      <c r="F23" s="79"/>
      <c r="G23" s="66" t="str">
        <f t="shared" si="0"/>
        <v/>
      </c>
    </row>
    <row r="24" spans="2:7" ht="21.6" customHeight="1" thickBot="1">
      <c r="B24" s="32">
        <v>21</v>
      </c>
      <c r="C24" s="80" t="s">
        <v>1669</v>
      </c>
      <c r="D24" s="80"/>
      <c r="E24" s="81"/>
      <c r="F24" s="82"/>
      <c r="G24" s="66" t="str">
        <f t="shared" si="0"/>
        <v/>
      </c>
    </row>
    <row r="25" spans="2:7" ht="16.2" customHeight="1" thickTop="1">
      <c r="C25" s="83" t="str">
        <f>IF(D17="**","** En el Cuadro 14 indicó que se cuenta con Servicio de Biblioteca, pero no indica espacio físico en este cuadro.","")</f>
        <v/>
      </c>
      <c r="E25" s="84"/>
      <c r="F25" s="85"/>
      <c r="G25" s="86"/>
    </row>
    <row r="26" spans="2:7" ht="16.2" customHeight="1">
      <c r="C26" s="83" t="str">
        <f>IF(D17="/**/","/**/ Indicó espacio físico para Biblioteca, pero no indica Servicio de biblioteca en el Cuadro 14.","")</f>
        <v/>
      </c>
      <c r="E26" s="84"/>
      <c r="F26" s="85"/>
      <c r="G26" s="86"/>
    </row>
    <row r="27" spans="2:7" ht="16.2" customHeight="1">
      <c r="C27" s="83" t="str">
        <f>IF(D23="***","*** Indicó que cuentan con Sala de Lactancia en el Cuadro 14, pero no indica espacio físico.",(IF(D23="++","++ Indicó datos en espacio físico, pero en el Cuadro 14, seleccionó la opción No o la dejó en blanco.","")))</f>
        <v/>
      </c>
    </row>
    <row r="29" spans="2:7" ht="15.6">
      <c r="B29" s="24"/>
      <c r="C29" s="87" t="s">
        <v>273</v>
      </c>
    </row>
    <row r="30" spans="2:7">
      <c r="B30" s="32">
        <v>22</v>
      </c>
      <c r="C30" s="854"/>
      <c r="D30" s="865"/>
      <c r="E30" s="865"/>
      <c r="F30" s="855"/>
    </row>
    <row r="31" spans="2:7">
      <c r="C31" s="856"/>
      <c r="D31" s="866"/>
      <c r="E31" s="866"/>
      <c r="F31" s="857"/>
    </row>
    <row r="32" spans="2:7">
      <c r="C32" s="856"/>
      <c r="D32" s="866"/>
      <c r="E32" s="866"/>
      <c r="F32" s="857"/>
    </row>
    <row r="33" spans="3:6">
      <c r="C33" s="856"/>
      <c r="D33" s="866"/>
      <c r="E33" s="866"/>
      <c r="F33" s="857"/>
    </row>
    <row r="34" spans="3:6">
      <c r="C34" s="856"/>
      <c r="D34" s="866"/>
      <c r="E34" s="866"/>
      <c r="F34" s="857"/>
    </row>
    <row r="35" spans="3:6">
      <c r="C35" s="856"/>
      <c r="D35" s="866"/>
      <c r="E35" s="866"/>
      <c r="F35" s="857"/>
    </row>
    <row r="36" spans="3:6">
      <c r="C36" s="858"/>
      <c r="D36" s="867"/>
      <c r="E36" s="867"/>
      <c r="F36" s="859"/>
    </row>
  </sheetData>
  <sheetProtection algorithmName="SHA-512" hashValue="nAwW2/bzzQIKk4o2ccTgIb/xQrEpjIaA+oiabdFXYyeC5XeRgyT6QJXUxkjDmLQjQeJcUG5JjcjnUmpxwST3UA==" saltValue="lT+MwvCQft4agBkQQOTl3g==" spinCount="100000" sheet="1" objects="1" scenarios="1"/>
  <mergeCells count="1">
    <mergeCell ref="C30:F36"/>
  </mergeCells>
  <conditionalFormatting sqref="E4:F4">
    <cfRule type="cellIs" dxfId="4" priority="2" operator="equal">
      <formula>0</formula>
    </cfRule>
  </conditionalFormatting>
  <conditionalFormatting sqref="E7:F7">
    <cfRule type="cellIs" dxfId="3" priority="3" operator="equal">
      <formula>0</formula>
    </cfRule>
  </conditionalFormatting>
  <conditionalFormatting sqref="G5:G6 G8:G24">
    <cfRule type="cellIs" dxfId="2" priority="1" operator="equal">
      <formula>"Error!"</formula>
    </cfRule>
  </conditionalFormatting>
  <dataValidations count="1">
    <dataValidation type="whole" operator="greaterThanOrEqual" allowBlank="1" showInputMessage="1" showErrorMessage="1" sqref="F25:G26 E4:F24" xr:uid="{B5E0FDB9-73FC-4B68-885C-BF6EC1EA911B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83" orientation="landscape" r:id="rId1"/>
  <headerFooter scaleWithDoc="0">
    <oddFooter>&amp;R&amp;"Goudy,Negrita Cursiva"Técnica Diurna&amp;"Goudy,Cursiva",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3366FF"/>
  </sheetPr>
  <dimension ref="A1:AA137"/>
  <sheetViews>
    <sheetView zoomScale="80" zoomScaleNormal="80" workbookViewId="0">
      <pane ySplit="2" topLeftCell="A91" activePane="bottomLeft" state="frozen"/>
      <selection pane="bottomLeft" activeCell="A3" sqref="A3:B137"/>
    </sheetView>
  </sheetViews>
  <sheetFormatPr baseColWidth="10" defaultColWidth="11.44140625" defaultRowHeight="14.4"/>
  <cols>
    <col min="1" max="1" width="8.109375" style="5" bestFit="1" customWidth="1"/>
    <col min="2" max="2" width="7.88671875" style="5" bestFit="1" customWidth="1"/>
    <col min="3" max="3" width="11.44140625" style="1"/>
    <col min="4" max="4" width="7.88671875" style="5" bestFit="1" customWidth="1"/>
    <col min="5" max="5" width="8.109375" style="5" bestFit="1" customWidth="1"/>
    <col min="6" max="6" width="44.33203125" style="5" bestFit="1" customWidth="1"/>
    <col min="7" max="7" width="19.6640625" style="5" bestFit="1" customWidth="1"/>
    <col min="8" max="8" width="8.109375" style="5" bestFit="1" customWidth="1"/>
    <col min="9" max="9" width="5.5546875" style="5" bestFit="1" customWidth="1"/>
    <col min="10" max="10" width="7.109375" style="5" bestFit="1" customWidth="1"/>
    <col min="11" max="11" width="6.109375" style="5" bestFit="1" customWidth="1"/>
    <col min="12" max="12" width="8.109375" style="5" customWidth="1"/>
    <col min="13" max="13" width="13.33203125" style="5" bestFit="1" customWidth="1"/>
    <col min="14" max="14" width="23.33203125" style="5" bestFit="1" customWidth="1"/>
    <col min="15" max="15" width="22.33203125" style="5" bestFit="1" customWidth="1"/>
    <col min="16" max="16" width="24.109375" style="5" bestFit="1" customWidth="1"/>
    <col min="17" max="17" width="10" style="5" bestFit="1" customWidth="1"/>
    <col min="18" max="18" width="36" style="5" bestFit="1" customWidth="1"/>
    <col min="19" max="20" width="13.88671875" style="5" customWidth="1"/>
    <col min="21" max="21" width="33.6640625" style="5" bestFit="1" customWidth="1"/>
    <col min="22" max="22" width="50.88671875" style="5" bestFit="1" customWidth="1"/>
    <col min="23" max="23" width="12.44140625" style="5" bestFit="1" customWidth="1"/>
    <col min="24" max="25" width="12.44140625" style="5" customWidth="1"/>
    <col min="26" max="16384" width="11.44140625" style="1"/>
  </cols>
  <sheetData>
    <row r="1" spans="1:27">
      <c r="A1" s="2">
        <v>1</v>
      </c>
      <c r="B1" s="2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</row>
    <row r="2" spans="1:27" s="4" customFormat="1">
      <c r="A2" s="3" t="s">
        <v>22</v>
      </c>
      <c r="B2" s="3" t="s">
        <v>21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783</v>
      </c>
      <c r="M2" s="3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3" t="s">
        <v>38</v>
      </c>
      <c r="W2" s="3" t="s">
        <v>39</v>
      </c>
      <c r="X2" s="7" t="s">
        <v>829</v>
      </c>
      <c r="Y2" s="9" t="s">
        <v>830</v>
      </c>
      <c r="Z2" s="9" t="s">
        <v>1664</v>
      </c>
      <c r="AA2" s="11" t="s">
        <v>1695</v>
      </c>
    </row>
    <row r="3" spans="1:27">
      <c r="A3" s="141" t="s">
        <v>1572</v>
      </c>
      <c r="B3" s="134" t="s">
        <v>119</v>
      </c>
      <c r="D3" s="134" t="s">
        <v>876</v>
      </c>
      <c r="E3" s="134" t="s">
        <v>1007</v>
      </c>
      <c r="F3" s="134" t="s">
        <v>1139</v>
      </c>
      <c r="G3" s="134" t="s">
        <v>1644</v>
      </c>
      <c r="H3" s="134" t="s">
        <v>7</v>
      </c>
      <c r="I3" s="134" t="s">
        <v>40</v>
      </c>
      <c r="J3" s="134" t="s">
        <v>12</v>
      </c>
      <c r="K3" s="134" t="s">
        <v>5</v>
      </c>
      <c r="L3" s="135" t="s">
        <v>377</v>
      </c>
      <c r="M3" s="135"/>
      <c r="N3" s="135"/>
      <c r="O3" s="135"/>
      <c r="P3" s="134" t="s">
        <v>1258</v>
      </c>
      <c r="Q3" s="134" t="s">
        <v>2567</v>
      </c>
      <c r="R3" s="134" t="s">
        <v>1650</v>
      </c>
      <c r="S3" s="134">
        <v>22750031</v>
      </c>
      <c r="T3" s="134">
        <v>22756714</v>
      </c>
      <c r="U3" s="134" t="s">
        <v>1307</v>
      </c>
      <c r="V3" s="134" t="s">
        <v>1308</v>
      </c>
      <c r="W3" s="134"/>
      <c r="X3" s="136" t="s">
        <v>2481</v>
      </c>
      <c r="Y3" s="134"/>
      <c r="Z3" s="136"/>
      <c r="AA3" s="136"/>
    </row>
    <row r="4" spans="1:27">
      <c r="A4" s="141" t="s">
        <v>1573</v>
      </c>
      <c r="B4" s="134" t="s">
        <v>1004</v>
      </c>
      <c r="D4" s="134" t="s">
        <v>877</v>
      </c>
      <c r="E4" s="134" t="s">
        <v>1008</v>
      </c>
      <c r="F4" s="134" t="s">
        <v>1586</v>
      </c>
      <c r="G4" s="134" t="s">
        <v>1645</v>
      </c>
      <c r="H4" s="134" t="s">
        <v>2</v>
      </c>
      <c r="I4" s="134" t="s">
        <v>40</v>
      </c>
      <c r="J4" s="134" t="s">
        <v>2</v>
      </c>
      <c r="K4" s="134" t="s">
        <v>10</v>
      </c>
      <c r="L4" s="135" t="s">
        <v>316</v>
      </c>
      <c r="M4" s="135"/>
      <c r="N4" s="135"/>
      <c r="O4" s="135"/>
      <c r="P4" s="134" t="s">
        <v>58</v>
      </c>
      <c r="Q4" s="134" t="s">
        <v>2482</v>
      </c>
      <c r="R4" s="134" t="s">
        <v>2483</v>
      </c>
      <c r="S4" s="134">
        <v>22324780</v>
      </c>
      <c r="T4" s="134">
        <v>22324780</v>
      </c>
      <c r="U4" s="134" t="s">
        <v>1309</v>
      </c>
      <c r="V4" s="134" t="s">
        <v>1310</v>
      </c>
      <c r="W4" s="134"/>
      <c r="X4" s="136" t="s">
        <v>2481</v>
      </c>
      <c r="Y4" s="134"/>
      <c r="Z4" s="136"/>
      <c r="AA4" s="136"/>
    </row>
    <row r="5" spans="1:27">
      <c r="A5" s="141" t="s">
        <v>1666</v>
      </c>
      <c r="B5" s="134" t="s">
        <v>861</v>
      </c>
      <c r="D5" s="134" t="s">
        <v>878</v>
      </c>
      <c r="E5" s="134" t="s">
        <v>1009</v>
      </c>
      <c r="F5" s="134" t="s">
        <v>1140</v>
      </c>
      <c r="G5" s="134" t="s">
        <v>1644</v>
      </c>
      <c r="H5" s="134" t="s">
        <v>2</v>
      </c>
      <c r="I5" s="134" t="s">
        <v>40</v>
      </c>
      <c r="J5" s="134" t="s">
        <v>2</v>
      </c>
      <c r="K5" s="134" t="s">
        <v>15</v>
      </c>
      <c r="L5" s="135" t="s">
        <v>319</v>
      </c>
      <c r="M5" s="135"/>
      <c r="N5" s="135"/>
      <c r="O5" s="135"/>
      <c r="P5" s="134" t="s">
        <v>784</v>
      </c>
      <c r="Q5" s="134" t="s">
        <v>2482</v>
      </c>
      <c r="R5" s="134" t="s">
        <v>2329</v>
      </c>
      <c r="S5" s="134">
        <v>22271827</v>
      </c>
      <c r="T5" s="134">
        <v>22262040</v>
      </c>
      <c r="U5" s="134" t="s">
        <v>2330</v>
      </c>
      <c r="V5" s="134" t="s">
        <v>1311</v>
      </c>
      <c r="W5" s="134"/>
      <c r="X5" s="136" t="s">
        <v>2481</v>
      </c>
      <c r="Y5" s="134"/>
      <c r="Z5" s="136"/>
      <c r="AA5" s="136" t="s">
        <v>1696</v>
      </c>
    </row>
    <row r="6" spans="1:27">
      <c r="A6" s="134" t="s">
        <v>1007</v>
      </c>
      <c r="B6" s="134" t="s">
        <v>876</v>
      </c>
      <c r="D6" s="134" t="s">
        <v>879</v>
      </c>
      <c r="E6" s="134" t="s">
        <v>1010</v>
      </c>
      <c r="F6" s="134" t="s">
        <v>1141</v>
      </c>
      <c r="G6" s="134" t="s">
        <v>42</v>
      </c>
      <c r="H6" s="134" t="s">
        <v>8</v>
      </c>
      <c r="I6" s="134" t="s">
        <v>40</v>
      </c>
      <c r="J6" s="134" t="s">
        <v>4</v>
      </c>
      <c r="K6" s="134" t="s">
        <v>2</v>
      </c>
      <c r="L6" s="135" t="s">
        <v>323</v>
      </c>
      <c r="M6" s="135"/>
      <c r="N6" s="135"/>
      <c r="O6" s="135"/>
      <c r="P6" s="134" t="s">
        <v>42</v>
      </c>
      <c r="Q6" s="134" t="s">
        <v>2482</v>
      </c>
      <c r="R6" s="134" t="s">
        <v>1587</v>
      </c>
      <c r="S6" s="134">
        <v>22592253</v>
      </c>
      <c r="T6" s="134">
        <v>22592253</v>
      </c>
      <c r="U6" s="134" t="s">
        <v>2484</v>
      </c>
      <c r="V6" s="134" t="s">
        <v>1312</v>
      </c>
      <c r="W6" s="134"/>
      <c r="X6" s="136" t="s">
        <v>2481</v>
      </c>
      <c r="Y6" s="134"/>
      <c r="Z6" s="136"/>
      <c r="AA6" s="137" t="s">
        <v>2485</v>
      </c>
    </row>
    <row r="7" spans="1:27">
      <c r="A7" s="134" t="s">
        <v>1014</v>
      </c>
      <c r="B7" s="134" t="s">
        <v>883</v>
      </c>
      <c r="D7" s="134" t="s">
        <v>880</v>
      </c>
      <c r="E7" s="134" t="s">
        <v>1011</v>
      </c>
      <c r="F7" s="134" t="s">
        <v>1142</v>
      </c>
      <c r="G7" s="134" t="s">
        <v>42</v>
      </c>
      <c r="H7" s="134" t="s">
        <v>5</v>
      </c>
      <c r="I7" s="134" t="s">
        <v>40</v>
      </c>
      <c r="J7" s="134" t="s">
        <v>4</v>
      </c>
      <c r="K7" s="134" t="s">
        <v>10</v>
      </c>
      <c r="L7" s="135" t="s">
        <v>330</v>
      </c>
      <c r="M7" s="135"/>
      <c r="N7" s="135"/>
      <c r="O7" s="135"/>
      <c r="P7" s="134" t="s">
        <v>77</v>
      </c>
      <c r="Q7" s="134" t="s">
        <v>2482</v>
      </c>
      <c r="R7" s="134" t="s">
        <v>1313</v>
      </c>
      <c r="S7" s="134">
        <v>25441394</v>
      </c>
      <c r="T7" s="134">
        <v>25441394</v>
      </c>
      <c r="U7" s="134" t="s">
        <v>1314</v>
      </c>
      <c r="V7" s="134" t="s">
        <v>2486</v>
      </c>
      <c r="W7" s="134"/>
      <c r="X7" s="136" t="s">
        <v>2481</v>
      </c>
      <c r="Y7" s="134"/>
      <c r="Z7" s="136"/>
      <c r="AA7" s="136" t="s">
        <v>1697</v>
      </c>
    </row>
    <row r="8" spans="1:27">
      <c r="A8" s="134" t="s">
        <v>1008</v>
      </c>
      <c r="B8" s="134" t="s">
        <v>877</v>
      </c>
      <c r="D8" s="134" t="s">
        <v>881</v>
      </c>
      <c r="E8" s="134" t="s">
        <v>1012</v>
      </c>
      <c r="F8" s="134" t="s">
        <v>1143</v>
      </c>
      <c r="G8" s="134" t="s">
        <v>74</v>
      </c>
      <c r="H8" s="134" t="s">
        <v>2</v>
      </c>
      <c r="I8" s="134" t="s">
        <v>40</v>
      </c>
      <c r="J8" s="134" t="s">
        <v>5</v>
      </c>
      <c r="K8" s="134" t="s">
        <v>2</v>
      </c>
      <c r="L8" s="135" t="s">
        <v>336</v>
      </c>
      <c r="M8" s="135"/>
      <c r="N8" s="135"/>
      <c r="O8" s="135"/>
      <c r="P8" s="134" t="s">
        <v>1259</v>
      </c>
      <c r="Q8" s="134" t="s">
        <v>2482</v>
      </c>
      <c r="R8" s="134" t="s">
        <v>2278</v>
      </c>
      <c r="S8" s="134">
        <v>21065400</v>
      </c>
      <c r="T8" s="134"/>
      <c r="U8" s="134" t="s">
        <v>1651</v>
      </c>
      <c r="V8" s="134" t="s">
        <v>1315</v>
      </c>
      <c r="W8" s="134"/>
      <c r="X8" s="136" t="s">
        <v>938</v>
      </c>
      <c r="Y8" s="134"/>
      <c r="Z8" s="136"/>
      <c r="AA8" s="136" t="s">
        <v>1698</v>
      </c>
    </row>
    <row r="9" spans="1:27">
      <c r="A9" s="134" t="s">
        <v>1009</v>
      </c>
      <c r="B9" s="134" t="s">
        <v>878</v>
      </c>
      <c r="D9" s="134" t="s">
        <v>882</v>
      </c>
      <c r="E9" s="134" t="s">
        <v>1013</v>
      </c>
      <c r="F9" s="134" t="s">
        <v>1144</v>
      </c>
      <c r="G9" s="134" t="s">
        <v>74</v>
      </c>
      <c r="H9" s="134" t="s">
        <v>4</v>
      </c>
      <c r="I9" s="134" t="s">
        <v>40</v>
      </c>
      <c r="J9" s="134" t="s">
        <v>5</v>
      </c>
      <c r="K9" s="134" t="s">
        <v>11</v>
      </c>
      <c r="L9" s="135" t="s">
        <v>344</v>
      </c>
      <c r="M9" s="135"/>
      <c r="N9" s="135"/>
      <c r="O9" s="135"/>
      <c r="P9" s="134" t="s">
        <v>45</v>
      </c>
      <c r="Q9" s="134" t="s">
        <v>2482</v>
      </c>
      <c r="R9" s="134" t="s">
        <v>2487</v>
      </c>
      <c r="S9" s="134">
        <v>27781010</v>
      </c>
      <c r="T9" s="134"/>
      <c r="U9" s="134" t="s">
        <v>1316</v>
      </c>
      <c r="V9" s="134" t="s">
        <v>2279</v>
      </c>
      <c r="W9" s="134"/>
      <c r="X9" s="136" t="s">
        <v>1317</v>
      </c>
      <c r="Y9" s="134"/>
      <c r="Z9" s="136"/>
      <c r="AA9" s="136"/>
    </row>
    <row r="10" spans="1:27">
      <c r="A10" s="134" t="s">
        <v>1082</v>
      </c>
      <c r="B10" s="134" t="s">
        <v>949</v>
      </c>
      <c r="D10" s="134" t="s">
        <v>883</v>
      </c>
      <c r="E10" s="134" t="s">
        <v>1014</v>
      </c>
      <c r="F10" s="134" t="s">
        <v>1145</v>
      </c>
      <c r="G10" s="134" t="s">
        <v>1646</v>
      </c>
      <c r="H10" s="134" t="s">
        <v>2</v>
      </c>
      <c r="I10" s="134" t="s">
        <v>40</v>
      </c>
      <c r="J10" s="134" t="s">
        <v>10</v>
      </c>
      <c r="K10" s="134" t="s">
        <v>4</v>
      </c>
      <c r="L10" s="135" t="s">
        <v>363</v>
      </c>
      <c r="M10" s="135"/>
      <c r="N10" s="135"/>
      <c r="O10" s="135"/>
      <c r="P10" s="134" t="s">
        <v>1260</v>
      </c>
      <c r="Q10" s="134" t="s">
        <v>2482</v>
      </c>
      <c r="R10" s="134" t="s">
        <v>2280</v>
      </c>
      <c r="S10" s="134">
        <v>22451128</v>
      </c>
      <c r="T10" s="134">
        <v>22451203</v>
      </c>
      <c r="U10" s="134" t="s">
        <v>1588</v>
      </c>
      <c r="V10" s="134" t="s">
        <v>1652</v>
      </c>
      <c r="W10" s="134"/>
      <c r="X10" s="136" t="s">
        <v>268</v>
      </c>
      <c r="Y10" s="134"/>
      <c r="Z10" s="136"/>
      <c r="AA10" s="136" t="s">
        <v>1699</v>
      </c>
    </row>
    <row r="11" spans="1:27">
      <c r="A11" s="134" t="s">
        <v>1010</v>
      </c>
      <c r="B11" s="134" t="s">
        <v>879</v>
      </c>
      <c r="D11" s="134" t="s">
        <v>884</v>
      </c>
      <c r="E11" s="134" t="s">
        <v>1015</v>
      </c>
      <c r="F11" s="134" t="s">
        <v>1146</v>
      </c>
      <c r="G11" s="134" t="s">
        <v>42</v>
      </c>
      <c r="H11" s="134" t="s">
        <v>6</v>
      </c>
      <c r="I11" s="134" t="s">
        <v>40</v>
      </c>
      <c r="J11" s="134" t="s">
        <v>16</v>
      </c>
      <c r="K11" s="134" t="s">
        <v>2</v>
      </c>
      <c r="L11" s="135" t="s">
        <v>384</v>
      </c>
      <c r="M11" s="135"/>
      <c r="N11" s="135"/>
      <c r="O11" s="135"/>
      <c r="P11" s="134" t="s">
        <v>89</v>
      </c>
      <c r="Q11" s="134" t="s">
        <v>2482</v>
      </c>
      <c r="R11" s="134" t="s">
        <v>1318</v>
      </c>
      <c r="S11" s="134">
        <v>24100840</v>
      </c>
      <c r="T11" s="134"/>
      <c r="U11" s="134" t="s">
        <v>1319</v>
      </c>
      <c r="V11" s="134" t="s">
        <v>2488</v>
      </c>
      <c r="W11" s="134"/>
      <c r="X11" s="136" t="s">
        <v>107</v>
      </c>
      <c r="Y11" s="134"/>
      <c r="Z11" s="136"/>
      <c r="AA11" s="136" t="s">
        <v>1700</v>
      </c>
    </row>
    <row r="12" spans="1:27">
      <c r="A12" s="134" t="s">
        <v>1011</v>
      </c>
      <c r="B12" s="134" t="s">
        <v>880</v>
      </c>
      <c r="D12" s="134" t="s">
        <v>885</v>
      </c>
      <c r="E12" s="134" t="s">
        <v>1016</v>
      </c>
      <c r="F12" s="134" t="s">
        <v>1147</v>
      </c>
      <c r="G12" s="134" t="s">
        <v>74</v>
      </c>
      <c r="H12" s="134" t="s">
        <v>7</v>
      </c>
      <c r="I12" s="134" t="s">
        <v>40</v>
      </c>
      <c r="J12" s="134" t="s">
        <v>99</v>
      </c>
      <c r="K12" s="134" t="s">
        <v>2</v>
      </c>
      <c r="L12" s="135" t="s">
        <v>401</v>
      </c>
      <c r="M12" s="135"/>
      <c r="N12" s="135"/>
      <c r="O12" s="135"/>
      <c r="P12" s="134" t="s">
        <v>102</v>
      </c>
      <c r="Q12" s="134" t="s">
        <v>2482</v>
      </c>
      <c r="R12" s="134" t="s">
        <v>1825</v>
      </c>
      <c r="S12" s="134">
        <v>24190256</v>
      </c>
      <c r="T12" s="134"/>
      <c r="U12" s="134" t="s">
        <v>1589</v>
      </c>
      <c r="V12" s="134" t="s">
        <v>1653</v>
      </c>
      <c r="W12" s="134"/>
      <c r="X12" s="136" t="s">
        <v>1320</v>
      </c>
      <c r="Y12" s="134"/>
      <c r="Z12" s="136"/>
      <c r="AA12" s="136"/>
    </row>
    <row r="13" spans="1:27">
      <c r="A13" s="134" t="s">
        <v>1038</v>
      </c>
      <c r="B13" s="134" t="s">
        <v>906</v>
      </c>
      <c r="D13" s="134" t="s">
        <v>886</v>
      </c>
      <c r="E13" s="134" t="s">
        <v>1017</v>
      </c>
      <c r="F13" s="134" t="s">
        <v>1148</v>
      </c>
      <c r="G13" s="134" t="s">
        <v>83</v>
      </c>
      <c r="H13" s="134" t="s">
        <v>3</v>
      </c>
      <c r="I13" s="134" t="s">
        <v>40</v>
      </c>
      <c r="J13" s="134" t="s">
        <v>141</v>
      </c>
      <c r="K13" s="134" t="s">
        <v>2</v>
      </c>
      <c r="L13" s="135" t="s">
        <v>406</v>
      </c>
      <c r="M13" s="135"/>
      <c r="N13" s="135"/>
      <c r="O13" s="135"/>
      <c r="P13" s="134" t="s">
        <v>134</v>
      </c>
      <c r="Q13" s="134" t="s">
        <v>2482</v>
      </c>
      <c r="R13" s="134" t="s">
        <v>2281</v>
      </c>
      <c r="S13" s="134">
        <v>25411043</v>
      </c>
      <c r="T13" s="134">
        <v>25411134</v>
      </c>
      <c r="U13" s="134" t="s">
        <v>1590</v>
      </c>
      <c r="V13" s="134" t="s">
        <v>2489</v>
      </c>
      <c r="W13" s="134"/>
      <c r="X13" s="136" t="s">
        <v>2481</v>
      </c>
      <c r="Y13" s="134"/>
      <c r="Z13" s="136"/>
      <c r="AA13" s="136" t="s">
        <v>1701</v>
      </c>
    </row>
    <row r="14" spans="1:27">
      <c r="A14" s="134" t="s">
        <v>1015</v>
      </c>
      <c r="B14" s="134" t="s">
        <v>884</v>
      </c>
      <c r="D14" s="134" t="s">
        <v>887</v>
      </c>
      <c r="E14" s="134" t="s">
        <v>1018</v>
      </c>
      <c r="F14" s="134" t="s">
        <v>1149</v>
      </c>
      <c r="G14" s="134" t="s">
        <v>103</v>
      </c>
      <c r="H14" s="134" t="s">
        <v>6</v>
      </c>
      <c r="I14" s="134" t="s">
        <v>40</v>
      </c>
      <c r="J14" s="134" t="s">
        <v>104</v>
      </c>
      <c r="K14" s="134" t="s">
        <v>3</v>
      </c>
      <c r="L14" s="135" t="s">
        <v>414</v>
      </c>
      <c r="M14" s="135"/>
      <c r="N14" s="135"/>
      <c r="O14" s="135"/>
      <c r="P14" s="134" t="s">
        <v>1261</v>
      </c>
      <c r="Q14" s="134" t="s">
        <v>2482</v>
      </c>
      <c r="R14" s="134" t="s">
        <v>1654</v>
      </c>
      <c r="S14" s="134">
        <v>27382457</v>
      </c>
      <c r="T14" s="134"/>
      <c r="U14" s="134" t="s">
        <v>2342</v>
      </c>
      <c r="V14" s="134" t="s">
        <v>1321</v>
      </c>
      <c r="W14" s="134"/>
      <c r="X14" s="136" t="s">
        <v>2481</v>
      </c>
      <c r="Y14" s="134"/>
      <c r="Z14" s="136"/>
      <c r="AA14" s="136" t="s">
        <v>2356</v>
      </c>
    </row>
    <row r="15" spans="1:27">
      <c r="A15" s="134" t="s">
        <v>1012</v>
      </c>
      <c r="B15" s="134" t="s">
        <v>881</v>
      </c>
      <c r="D15" s="134" t="s">
        <v>888</v>
      </c>
      <c r="E15" s="134" t="s">
        <v>1019</v>
      </c>
      <c r="F15" s="134" t="s">
        <v>1150</v>
      </c>
      <c r="G15" s="134" t="s">
        <v>103</v>
      </c>
      <c r="H15" s="134" t="s">
        <v>4</v>
      </c>
      <c r="I15" s="134" t="s">
        <v>40</v>
      </c>
      <c r="J15" s="134" t="s">
        <v>104</v>
      </c>
      <c r="K15" s="134" t="s">
        <v>4</v>
      </c>
      <c r="L15" s="135" t="s">
        <v>415</v>
      </c>
      <c r="M15" s="135"/>
      <c r="N15" s="135"/>
      <c r="O15" s="135"/>
      <c r="P15" s="134" t="s">
        <v>1262</v>
      </c>
      <c r="Q15" s="134" t="s">
        <v>2482</v>
      </c>
      <c r="R15" s="134" t="s">
        <v>1407</v>
      </c>
      <c r="S15" s="134">
        <v>27713003</v>
      </c>
      <c r="T15" s="134">
        <v>27710910</v>
      </c>
      <c r="U15" s="134" t="s">
        <v>1322</v>
      </c>
      <c r="V15" s="134" t="s">
        <v>1323</v>
      </c>
      <c r="W15" s="134"/>
      <c r="X15" s="136" t="s">
        <v>890</v>
      </c>
      <c r="Y15" s="134"/>
      <c r="Z15" s="136"/>
      <c r="AA15" s="136" t="s">
        <v>1702</v>
      </c>
    </row>
    <row r="16" spans="1:27">
      <c r="A16" s="134" t="s">
        <v>1016</v>
      </c>
      <c r="B16" s="134" t="s">
        <v>885</v>
      </c>
      <c r="D16" s="134" t="s">
        <v>889</v>
      </c>
      <c r="E16" s="134" t="s">
        <v>1020</v>
      </c>
      <c r="F16" s="134" t="s">
        <v>1151</v>
      </c>
      <c r="G16" s="134" t="s">
        <v>103</v>
      </c>
      <c r="H16" s="134" t="s">
        <v>8</v>
      </c>
      <c r="I16" s="134" t="s">
        <v>40</v>
      </c>
      <c r="J16" s="134" t="s">
        <v>104</v>
      </c>
      <c r="K16" s="134" t="s">
        <v>7</v>
      </c>
      <c r="L16" s="135" t="s">
        <v>418</v>
      </c>
      <c r="M16" s="135"/>
      <c r="N16" s="135"/>
      <c r="O16" s="135"/>
      <c r="P16" s="134" t="s">
        <v>57</v>
      </c>
      <c r="Q16" s="134" t="s">
        <v>2482</v>
      </c>
      <c r="R16" s="134" t="s">
        <v>1591</v>
      </c>
      <c r="S16" s="134">
        <v>27370025</v>
      </c>
      <c r="T16" s="134">
        <v>27370168</v>
      </c>
      <c r="U16" s="134" t="s">
        <v>2490</v>
      </c>
      <c r="V16" s="134" t="s">
        <v>1324</v>
      </c>
      <c r="W16" s="134"/>
      <c r="X16" s="136" t="s">
        <v>1325</v>
      </c>
      <c r="Y16" s="134"/>
      <c r="Z16" s="136"/>
      <c r="AA16" s="136" t="s">
        <v>1703</v>
      </c>
    </row>
    <row r="17" spans="1:27">
      <c r="A17" s="134" t="s">
        <v>1013</v>
      </c>
      <c r="B17" s="134" t="s">
        <v>882</v>
      </c>
      <c r="D17" s="134" t="s">
        <v>269</v>
      </c>
      <c r="E17" s="134" t="s">
        <v>1021</v>
      </c>
      <c r="F17" s="134" t="s">
        <v>1647</v>
      </c>
      <c r="G17" s="134" t="s">
        <v>103</v>
      </c>
      <c r="H17" s="134" t="s">
        <v>10</v>
      </c>
      <c r="I17" s="134" t="s">
        <v>40</v>
      </c>
      <c r="J17" s="134" t="s">
        <v>104</v>
      </c>
      <c r="K17" s="134" t="s">
        <v>8</v>
      </c>
      <c r="L17" s="135" t="s">
        <v>419</v>
      </c>
      <c r="M17" s="135"/>
      <c r="N17" s="135"/>
      <c r="O17" s="135"/>
      <c r="P17" s="134" t="s">
        <v>1263</v>
      </c>
      <c r="Q17" s="134" t="s">
        <v>2482</v>
      </c>
      <c r="R17" s="134" t="s">
        <v>2348</v>
      </c>
      <c r="S17" s="134">
        <v>27360459</v>
      </c>
      <c r="T17" s="134">
        <v>27360104</v>
      </c>
      <c r="U17" s="134" t="s">
        <v>2282</v>
      </c>
      <c r="V17" s="134" t="s">
        <v>2491</v>
      </c>
      <c r="W17" s="134"/>
      <c r="X17" s="136" t="s">
        <v>2481</v>
      </c>
      <c r="Y17" s="134"/>
      <c r="Z17" s="136"/>
      <c r="AA17" s="136" t="s">
        <v>1704</v>
      </c>
    </row>
    <row r="18" spans="1:27">
      <c r="A18" s="134" t="s">
        <v>1019</v>
      </c>
      <c r="B18" s="134" t="s">
        <v>888</v>
      </c>
      <c r="D18" s="134" t="s">
        <v>890</v>
      </c>
      <c r="E18" s="134" t="s">
        <v>1022</v>
      </c>
      <c r="F18" s="134" t="s">
        <v>1152</v>
      </c>
      <c r="G18" s="134" t="s">
        <v>83</v>
      </c>
      <c r="H18" s="134" t="s">
        <v>4</v>
      </c>
      <c r="I18" s="134" t="s">
        <v>40</v>
      </c>
      <c r="J18" s="134" t="s">
        <v>140</v>
      </c>
      <c r="K18" s="134" t="s">
        <v>2</v>
      </c>
      <c r="L18" s="135" t="s">
        <v>424</v>
      </c>
      <c r="M18" s="135"/>
      <c r="N18" s="135"/>
      <c r="O18" s="135"/>
      <c r="P18" s="134" t="s">
        <v>102</v>
      </c>
      <c r="Q18" s="134" t="s">
        <v>2482</v>
      </c>
      <c r="R18" s="134" t="s">
        <v>2492</v>
      </c>
      <c r="S18" s="134">
        <v>25466432</v>
      </c>
      <c r="T18" s="134">
        <v>25466432</v>
      </c>
      <c r="U18" s="134" t="s">
        <v>1592</v>
      </c>
      <c r="V18" s="134" t="s">
        <v>2493</v>
      </c>
      <c r="W18" s="134"/>
      <c r="X18" s="136" t="s">
        <v>2481</v>
      </c>
      <c r="Y18" s="134"/>
      <c r="Z18" s="136"/>
      <c r="AA18" s="136" t="s">
        <v>1705</v>
      </c>
    </row>
    <row r="19" spans="1:27">
      <c r="A19" s="134" t="s">
        <v>1020</v>
      </c>
      <c r="B19" s="134" t="s">
        <v>889</v>
      </c>
      <c r="D19" s="134" t="s">
        <v>891</v>
      </c>
      <c r="E19" s="134" t="s">
        <v>1023</v>
      </c>
      <c r="F19" s="134" t="s">
        <v>1153</v>
      </c>
      <c r="G19" s="134" t="s">
        <v>48</v>
      </c>
      <c r="H19" s="134" t="s">
        <v>2</v>
      </c>
      <c r="I19" s="134" t="s">
        <v>41</v>
      </c>
      <c r="J19" s="134" t="s">
        <v>2</v>
      </c>
      <c r="K19" s="134" t="s">
        <v>2</v>
      </c>
      <c r="L19" s="135" t="s">
        <v>430</v>
      </c>
      <c r="M19" s="135"/>
      <c r="N19" s="135"/>
      <c r="O19" s="135"/>
      <c r="P19" s="134" t="s">
        <v>116</v>
      </c>
      <c r="Q19" s="134" t="s">
        <v>2482</v>
      </c>
      <c r="R19" s="134" t="s">
        <v>1826</v>
      </c>
      <c r="S19" s="134">
        <v>24403910</v>
      </c>
      <c r="T19" s="134">
        <v>24403910</v>
      </c>
      <c r="U19" s="134" t="s">
        <v>1326</v>
      </c>
      <c r="V19" s="134" t="s">
        <v>1327</v>
      </c>
      <c r="W19" s="134"/>
      <c r="X19" s="136" t="s">
        <v>2481</v>
      </c>
      <c r="Y19" s="134"/>
      <c r="Z19" s="136"/>
      <c r="AA19" s="136"/>
    </row>
    <row r="20" spans="1:27">
      <c r="A20" s="134" t="s">
        <v>1021</v>
      </c>
      <c r="B20" s="134" t="s">
        <v>269</v>
      </c>
      <c r="D20" s="134" t="s">
        <v>892</v>
      </c>
      <c r="E20" s="134" t="s">
        <v>1024</v>
      </c>
      <c r="F20" s="134" t="s">
        <v>1154</v>
      </c>
      <c r="G20" s="134" t="s">
        <v>47</v>
      </c>
      <c r="H20" s="134" t="s">
        <v>4</v>
      </c>
      <c r="I20" s="134" t="s">
        <v>41</v>
      </c>
      <c r="J20" s="134" t="s">
        <v>3</v>
      </c>
      <c r="K20" s="134" t="s">
        <v>6</v>
      </c>
      <c r="L20" s="135" t="s">
        <v>448</v>
      </c>
      <c r="M20" s="135"/>
      <c r="N20" s="135"/>
      <c r="O20" s="135"/>
      <c r="P20" s="134" t="s">
        <v>128</v>
      </c>
      <c r="Q20" s="134" t="s">
        <v>2482</v>
      </c>
      <c r="R20" s="134" t="s">
        <v>2494</v>
      </c>
      <c r="S20" s="134">
        <v>24478348</v>
      </c>
      <c r="T20" s="134">
        <v>24478195</v>
      </c>
      <c r="U20" s="134" t="s">
        <v>1328</v>
      </c>
      <c r="V20" s="134" t="s">
        <v>2495</v>
      </c>
      <c r="W20" s="134"/>
      <c r="X20" s="136" t="s">
        <v>1329</v>
      </c>
      <c r="Y20" s="134"/>
      <c r="Z20" s="136"/>
      <c r="AA20" s="136"/>
    </row>
    <row r="21" spans="1:27">
      <c r="A21" s="134" t="s">
        <v>1018</v>
      </c>
      <c r="B21" s="134" t="s">
        <v>887</v>
      </c>
      <c r="D21" s="134" t="s">
        <v>893</v>
      </c>
      <c r="E21" s="134" t="s">
        <v>1025</v>
      </c>
      <c r="F21" s="134" t="s">
        <v>1155</v>
      </c>
      <c r="G21" s="134" t="s">
        <v>48</v>
      </c>
      <c r="H21" s="134" t="s">
        <v>11</v>
      </c>
      <c r="I21" s="134" t="s">
        <v>41</v>
      </c>
      <c r="J21" s="134" t="s">
        <v>5</v>
      </c>
      <c r="K21" s="134" t="s">
        <v>2</v>
      </c>
      <c r="L21" s="135" t="s">
        <v>464</v>
      </c>
      <c r="M21" s="135"/>
      <c r="N21" s="135"/>
      <c r="O21" s="135"/>
      <c r="P21" s="134" t="s">
        <v>121</v>
      </c>
      <c r="Q21" s="134" t="s">
        <v>2482</v>
      </c>
      <c r="R21" s="134" t="s">
        <v>2496</v>
      </c>
      <c r="S21" s="134">
        <v>24284911</v>
      </c>
      <c r="T21" s="134"/>
      <c r="U21" s="134" t="s">
        <v>1593</v>
      </c>
      <c r="V21" s="134" t="s">
        <v>1330</v>
      </c>
      <c r="W21" s="134"/>
      <c r="X21" s="136" t="s">
        <v>2481</v>
      </c>
      <c r="Y21" s="134"/>
      <c r="Z21" s="136"/>
      <c r="AA21" s="136" t="s">
        <v>1706</v>
      </c>
    </row>
    <row r="22" spans="1:27">
      <c r="A22" s="134" t="s">
        <v>1063</v>
      </c>
      <c r="B22" s="134" t="s">
        <v>931</v>
      </c>
      <c r="D22" s="134" t="s">
        <v>894</v>
      </c>
      <c r="E22" s="134" t="s">
        <v>1026</v>
      </c>
      <c r="F22" s="134" t="s">
        <v>1156</v>
      </c>
      <c r="G22" s="134" t="s">
        <v>48</v>
      </c>
      <c r="H22" s="134" t="s">
        <v>11</v>
      </c>
      <c r="I22" s="134" t="s">
        <v>41</v>
      </c>
      <c r="J22" s="134" t="s">
        <v>11</v>
      </c>
      <c r="K22" s="134" t="s">
        <v>2</v>
      </c>
      <c r="L22" s="135" t="s">
        <v>496</v>
      </c>
      <c r="M22" s="135"/>
      <c r="N22" s="135"/>
      <c r="O22" s="135"/>
      <c r="P22" s="134" t="s">
        <v>787</v>
      </c>
      <c r="Q22" s="134" t="s">
        <v>2482</v>
      </c>
      <c r="R22" s="134" t="s">
        <v>2283</v>
      </c>
      <c r="S22" s="134">
        <v>24288263</v>
      </c>
      <c r="T22" s="134">
        <v>24288263</v>
      </c>
      <c r="U22" s="134" t="s">
        <v>1331</v>
      </c>
      <c r="V22" s="134" t="s">
        <v>1332</v>
      </c>
      <c r="W22" s="134"/>
      <c r="X22" s="136" t="s">
        <v>939</v>
      </c>
      <c r="Y22" s="134"/>
      <c r="Z22" s="136"/>
      <c r="AA22" s="136"/>
    </row>
    <row r="23" spans="1:27">
      <c r="A23" s="134" t="s">
        <v>1023</v>
      </c>
      <c r="B23" s="134" t="s">
        <v>891</v>
      </c>
      <c r="D23" s="134" t="s">
        <v>895</v>
      </c>
      <c r="E23" s="134" t="s">
        <v>1027</v>
      </c>
      <c r="F23" s="134" t="s">
        <v>1157</v>
      </c>
      <c r="G23" s="134" t="s">
        <v>64</v>
      </c>
      <c r="H23" s="134" t="s">
        <v>4</v>
      </c>
      <c r="I23" s="134" t="s">
        <v>41</v>
      </c>
      <c r="J23" s="134" t="s">
        <v>12</v>
      </c>
      <c r="K23" s="134" t="s">
        <v>2</v>
      </c>
      <c r="L23" s="135" t="s">
        <v>501</v>
      </c>
      <c r="M23" s="135"/>
      <c r="N23" s="135"/>
      <c r="O23" s="135"/>
      <c r="P23" s="134" t="s">
        <v>75</v>
      </c>
      <c r="Q23" s="134" t="s">
        <v>2482</v>
      </c>
      <c r="R23" s="134" t="s">
        <v>2331</v>
      </c>
      <c r="S23" s="134">
        <v>24600958</v>
      </c>
      <c r="T23" s="134">
        <v>24600958</v>
      </c>
      <c r="U23" s="134" t="s">
        <v>1594</v>
      </c>
      <c r="V23" s="134" t="s">
        <v>1333</v>
      </c>
      <c r="W23" s="134"/>
      <c r="X23" s="136" t="s">
        <v>2481</v>
      </c>
      <c r="Y23" s="134"/>
      <c r="Z23" s="136"/>
      <c r="AA23" s="136" t="s">
        <v>1707</v>
      </c>
    </row>
    <row r="24" spans="1:27">
      <c r="A24" s="134" t="s">
        <v>1026</v>
      </c>
      <c r="B24" s="134" t="s">
        <v>894</v>
      </c>
      <c r="D24" s="134" t="s">
        <v>861</v>
      </c>
      <c r="E24" s="141" t="s">
        <v>1666</v>
      </c>
      <c r="F24" s="134" t="s">
        <v>862</v>
      </c>
      <c r="G24" s="134" t="s">
        <v>64</v>
      </c>
      <c r="H24" s="134" t="s">
        <v>3</v>
      </c>
      <c r="I24" s="134" t="s">
        <v>41</v>
      </c>
      <c r="J24" s="134" t="s">
        <v>12</v>
      </c>
      <c r="K24" s="134" t="s">
        <v>3</v>
      </c>
      <c r="L24" s="135" t="s">
        <v>502</v>
      </c>
      <c r="M24" s="135"/>
      <c r="N24" s="135"/>
      <c r="O24" s="135"/>
      <c r="P24" s="134" t="s">
        <v>129</v>
      </c>
      <c r="Q24" s="134" t="s">
        <v>257</v>
      </c>
      <c r="R24" s="134" t="s">
        <v>2326</v>
      </c>
      <c r="S24" s="134">
        <v>24756622</v>
      </c>
      <c r="T24" s="134"/>
      <c r="U24" s="134" t="s">
        <v>2327</v>
      </c>
      <c r="V24" s="134" t="s">
        <v>1595</v>
      </c>
      <c r="W24" s="134"/>
      <c r="X24" s="136" t="s">
        <v>2481</v>
      </c>
      <c r="Y24" s="134"/>
      <c r="Z24" s="136"/>
      <c r="AA24" s="136"/>
    </row>
    <row r="25" spans="1:27">
      <c r="A25" s="134" t="s">
        <v>1025</v>
      </c>
      <c r="B25" s="134" t="s">
        <v>893</v>
      </c>
      <c r="D25" s="134" t="s">
        <v>896</v>
      </c>
      <c r="E25" s="134" t="s">
        <v>1028</v>
      </c>
      <c r="F25" s="134" t="s">
        <v>1158</v>
      </c>
      <c r="G25" s="134" t="s">
        <v>64</v>
      </c>
      <c r="H25" s="134" t="s">
        <v>5</v>
      </c>
      <c r="I25" s="134" t="s">
        <v>41</v>
      </c>
      <c r="J25" s="134" t="s">
        <v>12</v>
      </c>
      <c r="K25" s="134" t="s">
        <v>5</v>
      </c>
      <c r="L25" s="135" t="s">
        <v>504</v>
      </c>
      <c r="M25" s="135"/>
      <c r="N25" s="135"/>
      <c r="O25" s="135"/>
      <c r="P25" s="134" t="s">
        <v>130</v>
      </c>
      <c r="Q25" s="134" t="s">
        <v>2482</v>
      </c>
      <c r="R25" s="134" t="s">
        <v>2335</v>
      </c>
      <c r="S25" s="134">
        <v>24744189</v>
      </c>
      <c r="T25" s="134">
        <v>24744189</v>
      </c>
      <c r="U25" s="134" t="s">
        <v>1334</v>
      </c>
      <c r="V25" s="134" t="s">
        <v>2336</v>
      </c>
      <c r="W25" s="134"/>
      <c r="X25" s="136" t="s">
        <v>124</v>
      </c>
      <c r="Y25" s="134"/>
      <c r="Z25" s="136"/>
      <c r="AA25" s="136" t="s">
        <v>1708</v>
      </c>
    </row>
    <row r="26" spans="1:27">
      <c r="A26" s="134" t="s">
        <v>1024</v>
      </c>
      <c r="B26" s="134" t="s">
        <v>892</v>
      </c>
      <c r="D26" s="134" t="s">
        <v>897</v>
      </c>
      <c r="E26" s="134" t="s">
        <v>1029</v>
      </c>
      <c r="F26" s="134" t="s">
        <v>1159</v>
      </c>
      <c r="G26" s="134" t="s">
        <v>64</v>
      </c>
      <c r="H26" s="134" t="s">
        <v>2</v>
      </c>
      <c r="I26" s="134" t="s">
        <v>41</v>
      </c>
      <c r="J26" s="134" t="s">
        <v>12</v>
      </c>
      <c r="K26" s="134" t="s">
        <v>6</v>
      </c>
      <c r="L26" s="135" t="s">
        <v>505</v>
      </c>
      <c r="M26" s="135"/>
      <c r="N26" s="135"/>
      <c r="O26" s="135"/>
      <c r="P26" s="134" t="s">
        <v>100</v>
      </c>
      <c r="Q26" s="134" t="s">
        <v>2482</v>
      </c>
      <c r="R26" s="134" t="s">
        <v>1335</v>
      </c>
      <c r="S26" s="134">
        <v>24722059</v>
      </c>
      <c r="T26" s="134">
        <v>24722059</v>
      </c>
      <c r="U26" s="134" t="s">
        <v>1336</v>
      </c>
      <c r="V26" s="134" t="s">
        <v>1337</v>
      </c>
      <c r="W26" s="134"/>
      <c r="X26" s="136" t="s">
        <v>1338</v>
      </c>
      <c r="Y26" s="134"/>
      <c r="Z26" s="136"/>
      <c r="AA26" s="136"/>
    </row>
    <row r="27" spans="1:27">
      <c r="A27" s="134" t="s">
        <v>1033</v>
      </c>
      <c r="B27" s="134" t="s">
        <v>901</v>
      </c>
      <c r="D27" s="134" t="s">
        <v>898</v>
      </c>
      <c r="E27" s="134" t="s">
        <v>1030</v>
      </c>
      <c r="F27" s="134" t="s">
        <v>1160</v>
      </c>
      <c r="G27" s="134" t="s">
        <v>64</v>
      </c>
      <c r="H27" s="134" t="s">
        <v>6</v>
      </c>
      <c r="I27" s="134" t="s">
        <v>41</v>
      </c>
      <c r="J27" s="134" t="s">
        <v>12</v>
      </c>
      <c r="K27" s="134" t="s">
        <v>7</v>
      </c>
      <c r="L27" s="135" t="s">
        <v>506</v>
      </c>
      <c r="M27" s="135"/>
      <c r="N27" s="135"/>
      <c r="O27" s="135"/>
      <c r="P27" s="134" t="s">
        <v>131</v>
      </c>
      <c r="Q27" s="134" t="s">
        <v>2482</v>
      </c>
      <c r="R27" s="134" t="s">
        <v>2497</v>
      </c>
      <c r="S27" s="134">
        <v>24733037</v>
      </c>
      <c r="T27" s="134"/>
      <c r="U27" s="134" t="s">
        <v>1596</v>
      </c>
      <c r="V27" s="134" t="s">
        <v>2498</v>
      </c>
      <c r="W27" s="134"/>
      <c r="X27" s="136" t="s">
        <v>1631</v>
      </c>
      <c r="Y27" s="134"/>
      <c r="Z27" s="136"/>
      <c r="AA27" s="136" t="s">
        <v>1709</v>
      </c>
    </row>
    <row r="28" spans="1:27">
      <c r="A28" s="134" t="s">
        <v>1028</v>
      </c>
      <c r="B28" s="134" t="s">
        <v>896</v>
      </c>
      <c r="D28" s="134" t="s">
        <v>899</v>
      </c>
      <c r="E28" s="134" t="s">
        <v>1031</v>
      </c>
      <c r="F28" s="134" t="s">
        <v>1161</v>
      </c>
      <c r="G28" s="134" t="s">
        <v>64</v>
      </c>
      <c r="H28" s="134" t="s">
        <v>7</v>
      </c>
      <c r="I28" s="134" t="s">
        <v>41</v>
      </c>
      <c r="J28" s="134" t="s">
        <v>12</v>
      </c>
      <c r="K28" s="134" t="s">
        <v>8</v>
      </c>
      <c r="L28" s="135" t="s">
        <v>507</v>
      </c>
      <c r="M28" s="135"/>
      <c r="N28" s="135"/>
      <c r="O28" s="135"/>
      <c r="P28" s="134" t="s">
        <v>1264</v>
      </c>
      <c r="Q28" s="134" t="s">
        <v>2482</v>
      </c>
      <c r="R28" s="134" t="s">
        <v>2499</v>
      </c>
      <c r="S28" s="134">
        <v>24799037</v>
      </c>
      <c r="T28" s="134">
        <v>24799037</v>
      </c>
      <c r="U28" s="134" t="s">
        <v>1339</v>
      </c>
      <c r="V28" s="134" t="s">
        <v>1340</v>
      </c>
      <c r="W28" s="134"/>
      <c r="X28" s="136" t="s">
        <v>1341</v>
      </c>
      <c r="Y28" s="134"/>
      <c r="Z28" s="136"/>
      <c r="AA28" s="136" t="s">
        <v>1710</v>
      </c>
    </row>
    <row r="29" spans="1:27">
      <c r="A29" s="134" t="s">
        <v>1035</v>
      </c>
      <c r="B29" s="134" t="s">
        <v>903</v>
      </c>
      <c r="D29" s="134" t="s">
        <v>900</v>
      </c>
      <c r="E29" s="134" t="s">
        <v>1032</v>
      </c>
      <c r="F29" s="134" t="s">
        <v>1162</v>
      </c>
      <c r="G29" s="134" t="s">
        <v>64</v>
      </c>
      <c r="H29" s="134" t="s">
        <v>10</v>
      </c>
      <c r="I29" s="134" t="s">
        <v>41</v>
      </c>
      <c r="J29" s="134" t="s">
        <v>12</v>
      </c>
      <c r="K29" s="134" t="s">
        <v>17</v>
      </c>
      <c r="L29" s="135" t="s">
        <v>513</v>
      </c>
      <c r="M29" s="135"/>
      <c r="N29" s="135"/>
      <c r="O29" s="135"/>
      <c r="P29" s="134" t="s">
        <v>106</v>
      </c>
      <c r="Q29" s="134" t="s">
        <v>2482</v>
      </c>
      <c r="R29" s="134" t="s">
        <v>1342</v>
      </c>
      <c r="S29" s="134">
        <v>24777012</v>
      </c>
      <c r="T29" s="134">
        <v>24777021</v>
      </c>
      <c r="U29" s="134" t="s">
        <v>2500</v>
      </c>
      <c r="V29" s="134" t="s">
        <v>1343</v>
      </c>
      <c r="W29" s="134"/>
      <c r="X29" s="136" t="s">
        <v>1344</v>
      </c>
      <c r="Y29" s="134"/>
      <c r="Z29" s="136"/>
      <c r="AA29" s="136" t="s">
        <v>1711</v>
      </c>
    </row>
    <row r="30" spans="1:27">
      <c r="A30" s="134" t="s">
        <v>1029</v>
      </c>
      <c r="B30" s="134" t="s">
        <v>897</v>
      </c>
      <c r="D30" s="134" t="s">
        <v>901</v>
      </c>
      <c r="E30" s="134" t="s">
        <v>1033</v>
      </c>
      <c r="F30" s="134" t="s">
        <v>1163</v>
      </c>
      <c r="G30" s="134" t="s">
        <v>47</v>
      </c>
      <c r="H30" s="134" t="s">
        <v>5</v>
      </c>
      <c r="I30" s="134" t="s">
        <v>41</v>
      </c>
      <c r="J30" s="134" t="s">
        <v>16</v>
      </c>
      <c r="K30" s="134" t="s">
        <v>2</v>
      </c>
      <c r="L30" s="135" t="s">
        <v>521</v>
      </c>
      <c r="M30" s="135"/>
      <c r="N30" s="135"/>
      <c r="O30" s="135"/>
      <c r="P30" s="134" t="s">
        <v>1265</v>
      </c>
      <c r="Q30" s="134" t="s">
        <v>2482</v>
      </c>
      <c r="R30" s="134" t="s">
        <v>2284</v>
      </c>
      <c r="S30" s="134">
        <v>24544012</v>
      </c>
      <c r="T30" s="134">
        <v>24541675</v>
      </c>
      <c r="U30" s="134" t="s">
        <v>1345</v>
      </c>
      <c r="V30" s="134" t="s">
        <v>2501</v>
      </c>
      <c r="W30" s="134"/>
      <c r="X30" s="136" t="s">
        <v>1346</v>
      </c>
      <c r="Y30" s="134"/>
      <c r="Z30" s="136"/>
      <c r="AA30" s="136"/>
    </row>
    <row r="31" spans="1:27">
      <c r="A31" s="134" t="s">
        <v>1031</v>
      </c>
      <c r="B31" s="134" t="s">
        <v>899</v>
      </c>
      <c r="D31" s="134" t="s">
        <v>902</v>
      </c>
      <c r="E31" s="134" t="s">
        <v>1034</v>
      </c>
      <c r="F31" s="134" t="s">
        <v>1164</v>
      </c>
      <c r="G31" s="134" t="s">
        <v>2325</v>
      </c>
      <c r="H31" s="134" t="s">
        <v>2</v>
      </c>
      <c r="I31" s="134" t="s">
        <v>41</v>
      </c>
      <c r="J31" s="134" t="s">
        <v>17</v>
      </c>
      <c r="K31" s="134" t="s">
        <v>2</v>
      </c>
      <c r="L31" s="135" t="s">
        <v>526</v>
      </c>
      <c r="M31" s="135"/>
      <c r="N31" s="135"/>
      <c r="O31" s="135"/>
      <c r="P31" s="134" t="s">
        <v>59</v>
      </c>
      <c r="Q31" s="134" t="s">
        <v>2482</v>
      </c>
      <c r="R31" s="134" t="s">
        <v>2285</v>
      </c>
      <c r="S31" s="134">
        <v>24700081</v>
      </c>
      <c r="T31" s="134">
        <v>24700081</v>
      </c>
      <c r="U31" s="134" t="s">
        <v>2328</v>
      </c>
      <c r="V31" s="134" t="s">
        <v>1347</v>
      </c>
      <c r="W31" s="134"/>
      <c r="X31" s="136" t="s">
        <v>1348</v>
      </c>
      <c r="Y31" s="134"/>
      <c r="Z31" s="136"/>
      <c r="AA31" s="136" t="s">
        <v>1712</v>
      </c>
    </row>
    <row r="32" spans="1:27">
      <c r="A32" s="134" t="s">
        <v>1030</v>
      </c>
      <c r="B32" s="134" t="s">
        <v>898</v>
      </c>
      <c r="D32" s="134" t="s">
        <v>903</v>
      </c>
      <c r="E32" s="134" t="s">
        <v>1035</v>
      </c>
      <c r="F32" s="134" t="s">
        <v>1165</v>
      </c>
      <c r="G32" s="134" t="s">
        <v>64</v>
      </c>
      <c r="H32" s="134" t="s">
        <v>11</v>
      </c>
      <c r="I32" s="134" t="s">
        <v>41</v>
      </c>
      <c r="J32" s="134" t="s">
        <v>65</v>
      </c>
      <c r="K32" s="134" t="s">
        <v>2</v>
      </c>
      <c r="L32" s="135" t="s">
        <v>534</v>
      </c>
      <c r="M32" s="135"/>
      <c r="N32" s="135"/>
      <c r="O32" s="135"/>
      <c r="P32" s="134" t="s">
        <v>66</v>
      </c>
      <c r="Q32" s="134" t="s">
        <v>2482</v>
      </c>
      <c r="R32" s="134" t="s">
        <v>2502</v>
      </c>
      <c r="S32" s="134">
        <v>24711110</v>
      </c>
      <c r="T32" s="134">
        <v>24711110</v>
      </c>
      <c r="U32" s="134" t="s">
        <v>2503</v>
      </c>
      <c r="V32" s="134" t="s">
        <v>1350</v>
      </c>
      <c r="W32" s="134"/>
      <c r="X32" s="136" t="s">
        <v>1351</v>
      </c>
      <c r="Y32" s="134"/>
      <c r="Z32" s="136"/>
      <c r="AA32" s="136" t="s">
        <v>1713</v>
      </c>
    </row>
    <row r="33" spans="1:27">
      <c r="A33" s="134" t="s">
        <v>1036</v>
      </c>
      <c r="B33" s="134" t="s">
        <v>904</v>
      </c>
      <c r="D33" s="134" t="s">
        <v>904</v>
      </c>
      <c r="E33" s="134" t="s">
        <v>1036</v>
      </c>
      <c r="F33" s="134" t="s">
        <v>1166</v>
      </c>
      <c r="G33" s="134" t="s">
        <v>2325</v>
      </c>
      <c r="H33" s="134" t="s">
        <v>6</v>
      </c>
      <c r="I33" s="134" t="s">
        <v>41</v>
      </c>
      <c r="J33" s="134" t="s">
        <v>60</v>
      </c>
      <c r="K33" s="134" t="s">
        <v>2</v>
      </c>
      <c r="L33" s="135" t="s">
        <v>538</v>
      </c>
      <c r="M33" s="135"/>
      <c r="N33" s="135"/>
      <c r="O33" s="135"/>
      <c r="P33" s="134" t="s">
        <v>57</v>
      </c>
      <c r="Q33" s="134" t="s">
        <v>2482</v>
      </c>
      <c r="R33" s="134" t="s">
        <v>1352</v>
      </c>
      <c r="S33" s="134">
        <v>24640181</v>
      </c>
      <c r="T33" s="134">
        <v>24640181</v>
      </c>
      <c r="U33" s="134" t="s">
        <v>1597</v>
      </c>
      <c r="V33" s="134" t="s">
        <v>1353</v>
      </c>
      <c r="W33" s="134"/>
      <c r="X33" s="136" t="s">
        <v>1354</v>
      </c>
      <c r="Y33" s="134"/>
      <c r="Z33" s="136"/>
      <c r="AA33" s="136" t="s">
        <v>1714</v>
      </c>
    </row>
    <row r="34" spans="1:27">
      <c r="A34" s="134" t="s">
        <v>1032</v>
      </c>
      <c r="B34" s="134" t="s">
        <v>900</v>
      </c>
      <c r="D34" s="134" t="s">
        <v>905</v>
      </c>
      <c r="E34" s="134" t="s">
        <v>1037</v>
      </c>
      <c r="F34" s="134" t="s">
        <v>1167</v>
      </c>
      <c r="G34" s="134" t="s">
        <v>69</v>
      </c>
      <c r="H34" s="134" t="s">
        <v>3</v>
      </c>
      <c r="I34" s="134" t="s">
        <v>44</v>
      </c>
      <c r="J34" s="134" t="s">
        <v>2</v>
      </c>
      <c r="K34" s="134" t="s">
        <v>5</v>
      </c>
      <c r="L34" s="135" t="s">
        <v>545</v>
      </c>
      <c r="M34" s="135"/>
      <c r="N34" s="135"/>
      <c r="O34" s="135"/>
      <c r="P34" s="134" t="s">
        <v>1266</v>
      </c>
      <c r="Q34" s="134" t="s">
        <v>2567</v>
      </c>
      <c r="R34" s="134" t="s">
        <v>2504</v>
      </c>
      <c r="S34" s="134">
        <v>25370505</v>
      </c>
      <c r="T34" s="134">
        <v>25372223</v>
      </c>
      <c r="U34" s="134" t="s">
        <v>2505</v>
      </c>
      <c r="V34" s="134" t="s">
        <v>1355</v>
      </c>
      <c r="W34" s="134"/>
      <c r="X34" s="136" t="s">
        <v>2481</v>
      </c>
      <c r="Y34" s="134"/>
      <c r="Z34" s="136"/>
      <c r="AA34" s="136"/>
    </row>
    <row r="35" spans="1:27">
      <c r="A35" s="134" t="s">
        <v>1027</v>
      </c>
      <c r="B35" s="134" t="s">
        <v>895</v>
      </c>
      <c r="D35" s="134" t="s">
        <v>906</v>
      </c>
      <c r="E35" s="134" t="s">
        <v>1038</v>
      </c>
      <c r="F35" s="134" t="s">
        <v>1168</v>
      </c>
      <c r="G35" s="134" t="s">
        <v>42</v>
      </c>
      <c r="H35" s="134" t="s">
        <v>5</v>
      </c>
      <c r="I35" s="134" t="s">
        <v>44</v>
      </c>
      <c r="J35" s="134" t="s">
        <v>2</v>
      </c>
      <c r="K35" s="134" t="s">
        <v>8</v>
      </c>
      <c r="L35" s="135" t="s">
        <v>548</v>
      </c>
      <c r="M35" s="135"/>
      <c r="N35" s="135"/>
      <c r="O35" s="135"/>
      <c r="P35" s="134" t="s">
        <v>1267</v>
      </c>
      <c r="Q35" s="134" t="s">
        <v>2482</v>
      </c>
      <c r="R35" s="134" t="s">
        <v>1787</v>
      </c>
      <c r="S35" s="134">
        <v>25480733</v>
      </c>
      <c r="T35" s="134">
        <v>25489813</v>
      </c>
      <c r="U35" s="134" t="s">
        <v>2506</v>
      </c>
      <c r="V35" s="134" t="s">
        <v>1827</v>
      </c>
      <c r="W35" s="134"/>
      <c r="X35" s="136" t="s">
        <v>2481</v>
      </c>
      <c r="Y35" s="134"/>
      <c r="Z35" s="136"/>
      <c r="AA35" s="136" t="s">
        <v>1715</v>
      </c>
    </row>
    <row r="36" spans="1:27">
      <c r="A36" s="134" t="s">
        <v>1037</v>
      </c>
      <c r="B36" s="134" t="s">
        <v>905</v>
      </c>
      <c r="D36" s="134" t="s">
        <v>907</v>
      </c>
      <c r="E36" s="134" t="s">
        <v>1039</v>
      </c>
      <c r="F36" s="134" t="s">
        <v>1169</v>
      </c>
      <c r="G36" s="134" t="s">
        <v>69</v>
      </c>
      <c r="H36" s="134" t="s">
        <v>7</v>
      </c>
      <c r="I36" s="134" t="s">
        <v>44</v>
      </c>
      <c r="J36" s="134" t="s">
        <v>4</v>
      </c>
      <c r="K36" s="134" t="s">
        <v>3</v>
      </c>
      <c r="L36" s="135" t="s">
        <v>559</v>
      </c>
      <c r="M36" s="135"/>
      <c r="N36" s="135"/>
      <c r="O36" s="135"/>
      <c r="P36" s="134" t="s">
        <v>133</v>
      </c>
      <c r="Q36" s="134" t="s">
        <v>2482</v>
      </c>
      <c r="R36" s="134" t="s">
        <v>1598</v>
      </c>
      <c r="S36" s="134">
        <v>22795239</v>
      </c>
      <c r="T36" s="134">
        <v>22795206</v>
      </c>
      <c r="U36" s="134" t="s">
        <v>1599</v>
      </c>
      <c r="V36" s="134" t="s">
        <v>2507</v>
      </c>
      <c r="W36" s="134"/>
      <c r="X36" s="136" t="s">
        <v>105</v>
      </c>
      <c r="Y36" s="134"/>
      <c r="Z36" s="136"/>
      <c r="AA36" s="136" t="s">
        <v>1716</v>
      </c>
    </row>
    <row r="37" spans="1:27">
      <c r="A37" s="134" t="s">
        <v>1041</v>
      </c>
      <c r="B37" s="134" t="s">
        <v>909</v>
      </c>
      <c r="D37" s="134" t="s">
        <v>908</v>
      </c>
      <c r="E37" s="134" t="s">
        <v>1040</v>
      </c>
      <c r="F37" s="134" t="s">
        <v>1170</v>
      </c>
      <c r="G37" s="134" t="s">
        <v>147</v>
      </c>
      <c r="H37" s="134" t="s">
        <v>4</v>
      </c>
      <c r="I37" s="134" t="s">
        <v>44</v>
      </c>
      <c r="J37" s="134" t="s">
        <v>6</v>
      </c>
      <c r="K37" s="134" t="s">
        <v>3</v>
      </c>
      <c r="L37" s="135" t="s">
        <v>570</v>
      </c>
      <c r="M37" s="135"/>
      <c r="N37" s="135"/>
      <c r="O37" s="135"/>
      <c r="P37" s="134" t="s">
        <v>112</v>
      </c>
      <c r="Q37" s="134" t="s">
        <v>2482</v>
      </c>
      <c r="R37" s="134" t="s">
        <v>2508</v>
      </c>
      <c r="S37" s="134">
        <v>25311067</v>
      </c>
      <c r="T37" s="134"/>
      <c r="U37" s="134" t="s">
        <v>1828</v>
      </c>
      <c r="V37" s="134" t="s">
        <v>2509</v>
      </c>
      <c r="W37" s="134"/>
      <c r="X37" s="136" t="s">
        <v>785</v>
      </c>
      <c r="Y37" s="134"/>
      <c r="Z37" s="136"/>
      <c r="AA37" s="136" t="s">
        <v>1717</v>
      </c>
    </row>
    <row r="38" spans="1:27">
      <c r="A38" s="134" t="s">
        <v>1017</v>
      </c>
      <c r="B38" s="134" t="s">
        <v>886</v>
      </c>
      <c r="D38" s="134" t="s">
        <v>909</v>
      </c>
      <c r="E38" s="134" t="s">
        <v>1041</v>
      </c>
      <c r="F38" s="134" t="s">
        <v>1171</v>
      </c>
      <c r="G38" s="134" t="s">
        <v>69</v>
      </c>
      <c r="H38" s="134" t="s">
        <v>5</v>
      </c>
      <c r="I38" s="134" t="s">
        <v>44</v>
      </c>
      <c r="J38" s="134" t="s">
        <v>7</v>
      </c>
      <c r="K38" s="134" t="s">
        <v>2</v>
      </c>
      <c r="L38" s="135" t="s">
        <v>581</v>
      </c>
      <c r="M38" s="135"/>
      <c r="N38" s="135"/>
      <c r="O38" s="135"/>
      <c r="P38" s="134" t="s">
        <v>145</v>
      </c>
      <c r="Q38" s="134" t="s">
        <v>2482</v>
      </c>
      <c r="R38" s="134" t="s">
        <v>1600</v>
      </c>
      <c r="S38" s="134">
        <v>25344027</v>
      </c>
      <c r="T38" s="134"/>
      <c r="U38" s="134" t="s">
        <v>2286</v>
      </c>
      <c r="V38" s="134" t="s">
        <v>2510</v>
      </c>
      <c r="W38" s="134"/>
      <c r="X38" s="136" t="s">
        <v>1356</v>
      </c>
      <c r="Y38" s="134"/>
      <c r="Z38" s="136"/>
      <c r="AA38" s="136" t="s">
        <v>1718</v>
      </c>
    </row>
    <row r="39" spans="1:27">
      <c r="A39" s="134" t="s">
        <v>1022</v>
      </c>
      <c r="B39" s="134" t="s">
        <v>890</v>
      </c>
      <c r="D39" s="134" t="s">
        <v>910</v>
      </c>
      <c r="E39" s="134" t="s">
        <v>1042</v>
      </c>
      <c r="F39" s="134" t="s">
        <v>1172</v>
      </c>
      <c r="G39" s="134" t="s">
        <v>63</v>
      </c>
      <c r="H39" s="134" t="s">
        <v>2</v>
      </c>
      <c r="I39" s="134" t="s">
        <v>62</v>
      </c>
      <c r="J39" s="134" t="s">
        <v>2</v>
      </c>
      <c r="K39" s="134" t="s">
        <v>2</v>
      </c>
      <c r="L39" s="135" t="s">
        <v>593</v>
      </c>
      <c r="M39" s="135"/>
      <c r="N39" s="135"/>
      <c r="O39" s="135"/>
      <c r="P39" s="134" t="s">
        <v>2317</v>
      </c>
      <c r="Q39" s="134" t="s">
        <v>2482</v>
      </c>
      <c r="R39" s="134" t="s">
        <v>1601</v>
      </c>
      <c r="S39" s="134">
        <v>22615289</v>
      </c>
      <c r="T39" s="134">
        <v>22615290</v>
      </c>
      <c r="U39" s="134" t="s">
        <v>1357</v>
      </c>
      <c r="V39" s="134" t="s">
        <v>1358</v>
      </c>
      <c r="W39" s="134"/>
      <c r="X39" s="136" t="s">
        <v>2481</v>
      </c>
      <c r="Y39" s="134"/>
      <c r="Z39" s="136"/>
      <c r="AA39" s="136" t="s">
        <v>1719</v>
      </c>
    </row>
    <row r="40" spans="1:27">
      <c r="A40" s="134" t="s">
        <v>1040</v>
      </c>
      <c r="B40" s="134" t="s">
        <v>908</v>
      </c>
      <c r="D40" s="134" t="s">
        <v>911</v>
      </c>
      <c r="E40" s="134" t="s">
        <v>1043</v>
      </c>
      <c r="F40" s="134" t="s">
        <v>1173</v>
      </c>
      <c r="G40" s="134" t="s">
        <v>63</v>
      </c>
      <c r="H40" s="134" t="s">
        <v>8</v>
      </c>
      <c r="I40" s="134" t="s">
        <v>62</v>
      </c>
      <c r="J40" s="134" t="s">
        <v>2</v>
      </c>
      <c r="K40" s="134" t="s">
        <v>5</v>
      </c>
      <c r="L40" s="135" t="s">
        <v>596</v>
      </c>
      <c r="M40" s="135"/>
      <c r="N40" s="135"/>
      <c r="O40" s="135"/>
      <c r="P40" s="134" t="s">
        <v>148</v>
      </c>
      <c r="Q40" s="134" t="s">
        <v>2482</v>
      </c>
      <c r="R40" s="134" t="s">
        <v>2511</v>
      </c>
      <c r="S40" s="134">
        <v>22938390</v>
      </c>
      <c r="T40" s="134">
        <v>22938390</v>
      </c>
      <c r="U40" s="134" t="s">
        <v>1359</v>
      </c>
      <c r="V40" s="134" t="s">
        <v>1788</v>
      </c>
      <c r="W40" s="134"/>
      <c r="X40" s="136" t="s">
        <v>78</v>
      </c>
      <c r="Y40" s="134"/>
      <c r="Z40" s="136"/>
      <c r="AA40" s="136"/>
    </row>
    <row r="41" spans="1:27">
      <c r="A41" s="134" t="s">
        <v>1083</v>
      </c>
      <c r="B41" s="134" t="s">
        <v>950</v>
      </c>
      <c r="D41" s="134" t="s">
        <v>912</v>
      </c>
      <c r="E41" s="134" t="s">
        <v>1044</v>
      </c>
      <c r="F41" s="134" t="s">
        <v>1174</v>
      </c>
      <c r="G41" s="134" t="s">
        <v>61</v>
      </c>
      <c r="H41" s="134" t="s">
        <v>4</v>
      </c>
      <c r="I41" s="134" t="s">
        <v>62</v>
      </c>
      <c r="J41" s="134" t="s">
        <v>12</v>
      </c>
      <c r="K41" s="134" t="s">
        <v>2</v>
      </c>
      <c r="L41" s="135" t="s">
        <v>635</v>
      </c>
      <c r="M41" s="135"/>
      <c r="N41" s="135"/>
      <c r="O41" s="135"/>
      <c r="P41" s="134" t="s">
        <v>139</v>
      </c>
      <c r="Q41" s="134" t="s">
        <v>2482</v>
      </c>
      <c r="R41" s="134" t="s">
        <v>1360</v>
      </c>
      <c r="S41" s="134">
        <v>27667246</v>
      </c>
      <c r="T41" s="134">
        <v>27666172</v>
      </c>
      <c r="U41" s="134" t="s">
        <v>1361</v>
      </c>
      <c r="V41" s="134" t="s">
        <v>1362</v>
      </c>
      <c r="W41" s="134"/>
      <c r="X41" s="136" t="s">
        <v>1363</v>
      </c>
      <c r="Y41" s="134"/>
      <c r="Z41" s="136"/>
      <c r="AA41" s="136" t="s">
        <v>1720</v>
      </c>
    </row>
    <row r="42" spans="1:27">
      <c r="A42" s="134" t="s">
        <v>1042</v>
      </c>
      <c r="B42" s="134" t="s">
        <v>910</v>
      </c>
      <c r="D42" s="134" t="s">
        <v>913</v>
      </c>
      <c r="E42" s="134" t="s">
        <v>1045</v>
      </c>
      <c r="F42" s="134" t="s">
        <v>1175</v>
      </c>
      <c r="G42" s="134" t="s">
        <v>98</v>
      </c>
      <c r="H42" s="134" t="s">
        <v>3</v>
      </c>
      <c r="I42" s="134" t="s">
        <v>68</v>
      </c>
      <c r="J42" s="134" t="s">
        <v>2</v>
      </c>
      <c r="K42" s="134" t="s">
        <v>2</v>
      </c>
      <c r="L42" s="135" t="s">
        <v>640</v>
      </c>
      <c r="M42" s="135"/>
      <c r="N42" s="135"/>
      <c r="O42" s="135"/>
      <c r="P42" s="134" t="s">
        <v>2512</v>
      </c>
      <c r="Q42" s="134" t="s">
        <v>2482</v>
      </c>
      <c r="R42" s="134" t="s">
        <v>2513</v>
      </c>
      <c r="S42" s="134">
        <v>26660506</v>
      </c>
      <c r="T42" s="134"/>
      <c r="U42" s="134" t="s">
        <v>1364</v>
      </c>
      <c r="V42" s="134" t="s">
        <v>2514</v>
      </c>
      <c r="W42" s="134"/>
      <c r="X42" s="136" t="s">
        <v>918</v>
      </c>
      <c r="Y42" s="134"/>
      <c r="Z42" s="136"/>
      <c r="AA42" s="136" t="s">
        <v>1721</v>
      </c>
    </row>
    <row r="43" spans="1:27">
      <c r="A43" s="134" t="s">
        <v>1043</v>
      </c>
      <c r="B43" s="134" t="s">
        <v>911</v>
      </c>
      <c r="D43" s="134" t="s">
        <v>914</v>
      </c>
      <c r="E43" s="134" t="s">
        <v>1046</v>
      </c>
      <c r="F43" s="134" t="s">
        <v>1176</v>
      </c>
      <c r="G43" s="134" t="s">
        <v>149</v>
      </c>
      <c r="H43" s="134" t="s">
        <v>2</v>
      </c>
      <c r="I43" s="134" t="s">
        <v>68</v>
      </c>
      <c r="J43" s="134" t="s">
        <v>3</v>
      </c>
      <c r="K43" s="134" t="s">
        <v>2</v>
      </c>
      <c r="L43" s="135" t="s">
        <v>645</v>
      </c>
      <c r="M43" s="135"/>
      <c r="N43" s="135"/>
      <c r="O43" s="135"/>
      <c r="P43" s="134" t="s">
        <v>1268</v>
      </c>
      <c r="Q43" s="134" t="s">
        <v>2482</v>
      </c>
      <c r="R43" s="134" t="s">
        <v>1365</v>
      </c>
      <c r="S43" s="134">
        <v>26855292</v>
      </c>
      <c r="T43" s="134">
        <v>26855292</v>
      </c>
      <c r="U43" s="134" t="s">
        <v>1366</v>
      </c>
      <c r="V43" s="134" t="s">
        <v>1367</v>
      </c>
      <c r="W43" s="134"/>
      <c r="X43" s="136" t="s">
        <v>93</v>
      </c>
      <c r="Y43" s="134"/>
      <c r="Z43" s="136"/>
      <c r="AA43" s="136" t="s">
        <v>1722</v>
      </c>
    </row>
    <row r="44" spans="1:27">
      <c r="A44" s="134" t="s">
        <v>1044</v>
      </c>
      <c r="B44" s="134" t="s">
        <v>912</v>
      </c>
      <c r="D44" s="134" t="s">
        <v>915</v>
      </c>
      <c r="E44" s="134" t="s">
        <v>1047</v>
      </c>
      <c r="F44" s="134" t="s">
        <v>1177</v>
      </c>
      <c r="G44" s="134" t="s">
        <v>149</v>
      </c>
      <c r="H44" s="134" t="s">
        <v>4</v>
      </c>
      <c r="I44" s="134" t="s">
        <v>68</v>
      </c>
      <c r="J44" s="134" t="s">
        <v>3</v>
      </c>
      <c r="K44" s="134" t="s">
        <v>3</v>
      </c>
      <c r="L44" s="135" t="s">
        <v>646</v>
      </c>
      <c r="M44" s="135"/>
      <c r="N44" s="135"/>
      <c r="O44" s="135"/>
      <c r="P44" s="134" t="s">
        <v>1269</v>
      </c>
      <c r="Q44" s="134" t="s">
        <v>2482</v>
      </c>
      <c r="R44" s="134" t="s">
        <v>2515</v>
      </c>
      <c r="S44" s="134">
        <v>26591472</v>
      </c>
      <c r="T44" s="134">
        <v>26591313</v>
      </c>
      <c r="U44" s="134" t="s">
        <v>1368</v>
      </c>
      <c r="V44" s="134" t="s">
        <v>108</v>
      </c>
      <c r="W44" s="134"/>
      <c r="X44" s="136" t="s">
        <v>1369</v>
      </c>
      <c r="Y44" s="134"/>
      <c r="Z44" s="136"/>
      <c r="AA44" s="136"/>
    </row>
    <row r="45" spans="1:27">
      <c r="A45" s="134" t="s">
        <v>1045</v>
      </c>
      <c r="B45" s="134" t="s">
        <v>913</v>
      </c>
      <c r="D45" s="134" t="s">
        <v>916</v>
      </c>
      <c r="E45" s="134" t="s">
        <v>1048</v>
      </c>
      <c r="F45" s="134" t="s">
        <v>1178</v>
      </c>
      <c r="G45" s="134" t="s">
        <v>149</v>
      </c>
      <c r="H45" s="134" t="s">
        <v>5</v>
      </c>
      <c r="I45" s="134" t="s">
        <v>68</v>
      </c>
      <c r="J45" s="134" t="s">
        <v>3</v>
      </c>
      <c r="K45" s="134" t="s">
        <v>4</v>
      </c>
      <c r="L45" s="135" t="s">
        <v>647</v>
      </c>
      <c r="M45" s="135"/>
      <c r="N45" s="135"/>
      <c r="O45" s="135"/>
      <c r="P45" s="134" t="s">
        <v>79</v>
      </c>
      <c r="Q45" s="134" t="s">
        <v>2482</v>
      </c>
      <c r="R45" s="134" t="s">
        <v>2287</v>
      </c>
      <c r="S45" s="134">
        <v>45001829</v>
      </c>
      <c r="T45" s="134">
        <v>88945445</v>
      </c>
      <c r="U45" s="134" t="s">
        <v>1371</v>
      </c>
      <c r="V45" s="134" t="s">
        <v>1372</v>
      </c>
      <c r="W45" s="134"/>
      <c r="X45" s="136" t="s">
        <v>1373</v>
      </c>
      <c r="Y45" s="134"/>
      <c r="Z45" s="136"/>
      <c r="AA45" s="136" t="s">
        <v>1723</v>
      </c>
    </row>
    <row r="46" spans="1:27">
      <c r="A46" s="134" t="s">
        <v>1053</v>
      </c>
      <c r="B46" s="134" t="s">
        <v>921</v>
      </c>
      <c r="D46" s="134" t="s">
        <v>917</v>
      </c>
      <c r="E46" s="134" t="s">
        <v>1049</v>
      </c>
      <c r="F46" s="134" t="s">
        <v>1179</v>
      </c>
      <c r="G46" s="134" t="s">
        <v>67</v>
      </c>
      <c r="H46" s="134" t="s">
        <v>8</v>
      </c>
      <c r="I46" s="134" t="s">
        <v>68</v>
      </c>
      <c r="J46" s="134" t="s">
        <v>4</v>
      </c>
      <c r="K46" s="134" t="s">
        <v>2</v>
      </c>
      <c r="L46" s="135" t="s">
        <v>652</v>
      </c>
      <c r="M46" s="135"/>
      <c r="N46" s="135"/>
      <c r="O46" s="135"/>
      <c r="P46" s="134" t="s">
        <v>1270</v>
      </c>
      <c r="Q46" s="134" t="s">
        <v>2482</v>
      </c>
      <c r="R46" s="134" t="s">
        <v>1374</v>
      </c>
      <c r="S46" s="134">
        <v>26800315</v>
      </c>
      <c r="T46" s="134">
        <v>26800315</v>
      </c>
      <c r="U46" s="134" t="s">
        <v>1789</v>
      </c>
      <c r="V46" s="134" t="s">
        <v>1375</v>
      </c>
      <c r="W46" s="134"/>
      <c r="X46" s="136" t="s">
        <v>944</v>
      </c>
      <c r="Y46" s="134"/>
      <c r="Z46" s="136"/>
      <c r="AA46" s="136" t="s">
        <v>1724</v>
      </c>
    </row>
    <row r="47" spans="1:27">
      <c r="A47" s="134" t="s">
        <v>1056</v>
      </c>
      <c r="B47" s="134" t="s">
        <v>924</v>
      </c>
      <c r="D47" s="134" t="s">
        <v>918</v>
      </c>
      <c r="E47" s="134" t="s">
        <v>1050</v>
      </c>
      <c r="F47" s="134" t="s">
        <v>1180</v>
      </c>
      <c r="G47" s="134" t="s">
        <v>67</v>
      </c>
      <c r="H47" s="134" t="s">
        <v>3</v>
      </c>
      <c r="I47" s="134" t="s">
        <v>68</v>
      </c>
      <c r="J47" s="134" t="s">
        <v>4</v>
      </c>
      <c r="K47" s="134" t="s">
        <v>4</v>
      </c>
      <c r="L47" s="135" t="s">
        <v>654</v>
      </c>
      <c r="M47" s="135"/>
      <c r="N47" s="135"/>
      <c r="O47" s="135"/>
      <c r="P47" s="134" t="s">
        <v>1271</v>
      </c>
      <c r="Q47" s="134" t="s">
        <v>2482</v>
      </c>
      <c r="R47" s="134" t="s">
        <v>1791</v>
      </c>
      <c r="S47" s="134">
        <v>26580054</v>
      </c>
      <c r="T47" s="134">
        <v>26580054</v>
      </c>
      <c r="U47" s="134" t="s">
        <v>2516</v>
      </c>
      <c r="V47" s="134" t="s">
        <v>1376</v>
      </c>
      <c r="W47" s="134"/>
      <c r="X47" s="136" t="s">
        <v>127</v>
      </c>
      <c r="Y47" s="134"/>
      <c r="Z47" s="136" t="s">
        <v>1665</v>
      </c>
      <c r="AA47" s="136" t="s">
        <v>1725</v>
      </c>
    </row>
    <row r="48" spans="1:27">
      <c r="A48" s="134" t="s">
        <v>1057</v>
      </c>
      <c r="B48" s="134" t="s">
        <v>925</v>
      </c>
      <c r="D48" s="134" t="s">
        <v>919</v>
      </c>
      <c r="E48" s="134" t="s">
        <v>1051</v>
      </c>
      <c r="F48" s="134" t="s">
        <v>1181</v>
      </c>
      <c r="G48" s="134" t="s">
        <v>67</v>
      </c>
      <c r="H48" s="134" t="s">
        <v>4</v>
      </c>
      <c r="I48" s="134" t="s">
        <v>68</v>
      </c>
      <c r="J48" s="134" t="s">
        <v>4</v>
      </c>
      <c r="K48" s="134" t="s">
        <v>6</v>
      </c>
      <c r="L48" s="135" t="s">
        <v>656</v>
      </c>
      <c r="M48" s="135"/>
      <c r="N48" s="135"/>
      <c r="O48" s="135"/>
      <c r="P48" s="134" t="s">
        <v>151</v>
      </c>
      <c r="Q48" s="134" t="s">
        <v>2482</v>
      </c>
      <c r="R48" s="134" t="s">
        <v>1377</v>
      </c>
      <c r="S48" s="134">
        <v>26750194</v>
      </c>
      <c r="T48" s="134">
        <v>26750194</v>
      </c>
      <c r="U48" s="134" t="s">
        <v>1378</v>
      </c>
      <c r="V48" s="134" t="s">
        <v>1379</v>
      </c>
      <c r="W48" s="134"/>
      <c r="X48" s="136" t="s">
        <v>1380</v>
      </c>
      <c r="Y48" s="134"/>
      <c r="Z48" s="136"/>
      <c r="AA48" s="136" t="s">
        <v>1726</v>
      </c>
    </row>
    <row r="49" spans="1:27">
      <c r="A49" s="134" t="s">
        <v>1046</v>
      </c>
      <c r="B49" s="134" t="s">
        <v>914</v>
      </c>
      <c r="D49" s="134" t="s">
        <v>920</v>
      </c>
      <c r="E49" s="134" t="s">
        <v>1052</v>
      </c>
      <c r="F49" s="134" t="s">
        <v>1182</v>
      </c>
      <c r="G49" s="134" t="s">
        <v>67</v>
      </c>
      <c r="H49" s="134" t="s">
        <v>8</v>
      </c>
      <c r="I49" s="134" t="s">
        <v>68</v>
      </c>
      <c r="J49" s="134" t="s">
        <v>4</v>
      </c>
      <c r="K49" s="134" t="s">
        <v>8</v>
      </c>
      <c r="L49" s="135" t="s">
        <v>658</v>
      </c>
      <c r="M49" s="135"/>
      <c r="N49" s="135"/>
      <c r="O49" s="135"/>
      <c r="P49" s="134" t="s">
        <v>2319</v>
      </c>
      <c r="Q49" s="134" t="s">
        <v>2482</v>
      </c>
      <c r="R49" s="134" t="s">
        <v>2517</v>
      </c>
      <c r="S49" s="134">
        <v>26811882</v>
      </c>
      <c r="T49" s="134"/>
      <c r="U49" s="134" t="s">
        <v>1381</v>
      </c>
      <c r="V49" s="134" t="s">
        <v>2518</v>
      </c>
      <c r="W49" s="134"/>
      <c r="X49" s="136" t="s">
        <v>1382</v>
      </c>
      <c r="Y49" s="134"/>
      <c r="Z49" s="136"/>
      <c r="AA49" s="136" t="s">
        <v>1727</v>
      </c>
    </row>
    <row r="50" spans="1:27">
      <c r="A50" s="134" t="s">
        <v>1047</v>
      </c>
      <c r="B50" s="134" t="s">
        <v>915</v>
      </c>
      <c r="D50" s="134" t="s">
        <v>921</v>
      </c>
      <c r="E50" s="134" t="s">
        <v>1053</v>
      </c>
      <c r="F50" s="134" t="s">
        <v>1183</v>
      </c>
      <c r="G50" s="134" t="s">
        <v>98</v>
      </c>
      <c r="H50" s="134" t="s">
        <v>4</v>
      </c>
      <c r="I50" s="134" t="s">
        <v>68</v>
      </c>
      <c r="J50" s="134" t="s">
        <v>5</v>
      </c>
      <c r="K50" s="134" t="s">
        <v>3</v>
      </c>
      <c r="L50" s="135" t="s">
        <v>662</v>
      </c>
      <c r="M50" s="135"/>
      <c r="N50" s="135"/>
      <c r="O50" s="135"/>
      <c r="P50" s="134" t="s">
        <v>132</v>
      </c>
      <c r="Q50" s="134" t="s">
        <v>2482</v>
      </c>
      <c r="R50" s="134" t="s">
        <v>2343</v>
      </c>
      <c r="S50" s="134">
        <v>26730527</v>
      </c>
      <c r="T50" s="134">
        <v>26730027</v>
      </c>
      <c r="U50" s="134" t="s">
        <v>1790</v>
      </c>
      <c r="V50" s="134" t="s">
        <v>1383</v>
      </c>
      <c r="W50" s="134"/>
      <c r="X50" s="136" t="s">
        <v>1384</v>
      </c>
      <c r="Y50" s="134"/>
      <c r="Z50" s="136"/>
      <c r="AA50" s="136"/>
    </row>
    <row r="51" spans="1:27">
      <c r="A51" s="134" t="s">
        <v>1048</v>
      </c>
      <c r="B51" s="134" t="s">
        <v>916</v>
      </c>
      <c r="D51" s="134" t="s">
        <v>922</v>
      </c>
      <c r="E51" s="134" t="s">
        <v>1054</v>
      </c>
      <c r="F51" s="134" t="s">
        <v>1184</v>
      </c>
      <c r="G51" s="134" t="s">
        <v>67</v>
      </c>
      <c r="H51" s="134" t="s">
        <v>6</v>
      </c>
      <c r="I51" s="134" t="s">
        <v>68</v>
      </c>
      <c r="J51" s="134" t="s">
        <v>6</v>
      </c>
      <c r="K51" s="134" t="s">
        <v>2</v>
      </c>
      <c r="L51" s="135" t="s">
        <v>665</v>
      </c>
      <c r="M51" s="135"/>
      <c r="N51" s="135"/>
      <c r="O51" s="135"/>
      <c r="P51" s="134" t="s">
        <v>1272</v>
      </c>
      <c r="Q51" s="134" t="s">
        <v>2482</v>
      </c>
      <c r="R51" s="134" t="s">
        <v>1370</v>
      </c>
      <c r="S51" s="134">
        <v>26886103</v>
      </c>
      <c r="T51" s="134">
        <v>26886103</v>
      </c>
      <c r="U51" s="134" t="s">
        <v>1385</v>
      </c>
      <c r="V51" s="134" t="s">
        <v>1386</v>
      </c>
      <c r="W51" s="134"/>
      <c r="X51" s="136" t="s">
        <v>1387</v>
      </c>
      <c r="Y51" s="134"/>
      <c r="Z51" s="136"/>
      <c r="AA51" s="136" t="s">
        <v>1728</v>
      </c>
    </row>
    <row r="52" spans="1:27">
      <c r="A52" s="134" t="s">
        <v>1054</v>
      </c>
      <c r="B52" s="134" t="s">
        <v>922</v>
      </c>
      <c r="D52" s="134" t="s">
        <v>923</v>
      </c>
      <c r="E52" s="134" t="s">
        <v>1055</v>
      </c>
      <c r="F52" s="134" t="s">
        <v>1185</v>
      </c>
      <c r="G52" s="134" t="s">
        <v>67</v>
      </c>
      <c r="H52" s="134" t="s">
        <v>7</v>
      </c>
      <c r="I52" s="134" t="s">
        <v>68</v>
      </c>
      <c r="J52" s="134" t="s">
        <v>6</v>
      </c>
      <c r="K52" s="134" t="s">
        <v>4</v>
      </c>
      <c r="L52" s="135" t="s">
        <v>667</v>
      </c>
      <c r="M52" s="135"/>
      <c r="N52" s="135"/>
      <c r="O52" s="135"/>
      <c r="P52" s="134" t="s">
        <v>153</v>
      </c>
      <c r="Q52" s="134" t="s">
        <v>2482</v>
      </c>
      <c r="R52" s="134" t="s">
        <v>1829</v>
      </c>
      <c r="S52" s="134">
        <v>26974095</v>
      </c>
      <c r="T52" s="134">
        <v>26974094</v>
      </c>
      <c r="U52" s="134" t="s">
        <v>1655</v>
      </c>
      <c r="V52" s="134" t="s">
        <v>1388</v>
      </c>
      <c r="W52" s="134"/>
      <c r="X52" s="136" t="s">
        <v>1389</v>
      </c>
      <c r="Y52" s="134"/>
      <c r="Z52" s="136"/>
      <c r="AA52" s="136" t="s">
        <v>1729</v>
      </c>
    </row>
    <row r="53" spans="1:27">
      <c r="A53" s="134" t="s">
        <v>1050</v>
      </c>
      <c r="B53" s="134" t="s">
        <v>918</v>
      </c>
      <c r="D53" s="134" t="s">
        <v>924</v>
      </c>
      <c r="E53" s="134" t="s">
        <v>1056</v>
      </c>
      <c r="F53" s="134" t="s">
        <v>1186</v>
      </c>
      <c r="G53" s="134" t="s">
        <v>149</v>
      </c>
      <c r="H53" s="134" t="s">
        <v>8</v>
      </c>
      <c r="I53" s="134" t="s">
        <v>68</v>
      </c>
      <c r="J53" s="134" t="s">
        <v>11</v>
      </c>
      <c r="K53" s="134" t="s">
        <v>2</v>
      </c>
      <c r="L53" s="135" t="s">
        <v>685</v>
      </c>
      <c r="M53" s="135"/>
      <c r="N53" s="135"/>
      <c r="O53" s="135"/>
      <c r="P53" s="134" t="s">
        <v>150</v>
      </c>
      <c r="Q53" s="134" t="s">
        <v>2482</v>
      </c>
      <c r="R53" s="134" t="s">
        <v>1792</v>
      </c>
      <c r="S53" s="134">
        <v>26577010</v>
      </c>
      <c r="T53" s="134">
        <v>26577364</v>
      </c>
      <c r="U53" s="134" t="s">
        <v>1390</v>
      </c>
      <c r="V53" s="134" t="s">
        <v>1391</v>
      </c>
      <c r="W53" s="134"/>
      <c r="X53" s="136" t="s">
        <v>1392</v>
      </c>
      <c r="Y53" s="134"/>
      <c r="Z53" s="136"/>
      <c r="AA53" s="136" t="s">
        <v>1730</v>
      </c>
    </row>
    <row r="54" spans="1:27">
      <c r="A54" s="134" t="s">
        <v>1049</v>
      </c>
      <c r="B54" s="134" t="s">
        <v>917</v>
      </c>
      <c r="D54" s="134" t="s">
        <v>925</v>
      </c>
      <c r="E54" s="134" t="s">
        <v>1057</v>
      </c>
      <c r="F54" s="134" t="s">
        <v>1187</v>
      </c>
      <c r="G54" s="138" t="s">
        <v>149</v>
      </c>
      <c r="H54" s="138" t="s">
        <v>6</v>
      </c>
      <c r="I54" s="134" t="s">
        <v>68</v>
      </c>
      <c r="J54" s="134" t="s">
        <v>15</v>
      </c>
      <c r="K54" s="134" t="s">
        <v>2</v>
      </c>
      <c r="L54" s="135" t="s">
        <v>695</v>
      </c>
      <c r="M54" s="135"/>
      <c r="N54" s="135"/>
      <c r="O54" s="135"/>
      <c r="P54" s="134" t="s">
        <v>1273</v>
      </c>
      <c r="Q54" s="134" t="s">
        <v>2482</v>
      </c>
      <c r="R54" s="134" t="s">
        <v>1393</v>
      </c>
      <c r="S54" s="134">
        <v>26599045</v>
      </c>
      <c r="T54" s="134">
        <v>26599045</v>
      </c>
      <c r="U54" s="134" t="s">
        <v>1394</v>
      </c>
      <c r="V54" s="134" t="s">
        <v>2339</v>
      </c>
      <c r="W54" s="134"/>
      <c r="X54" s="136" t="s">
        <v>1395</v>
      </c>
      <c r="Y54" s="134"/>
      <c r="Z54" s="136"/>
      <c r="AA54" s="136" t="s">
        <v>1731</v>
      </c>
    </row>
    <row r="55" spans="1:27">
      <c r="A55" s="134" t="s">
        <v>1052</v>
      </c>
      <c r="B55" s="134" t="s">
        <v>920</v>
      </c>
      <c r="D55" s="134" t="s">
        <v>926</v>
      </c>
      <c r="E55" s="134" t="s">
        <v>1058</v>
      </c>
      <c r="F55" s="134" t="s">
        <v>1188</v>
      </c>
      <c r="G55" s="134" t="s">
        <v>54</v>
      </c>
      <c r="H55" s="134" t="s">
        <v>2</v>
      </c>
      <c r="I55" s="134" t="s">
        <v>53</v>
      </c>
      <c r="J55" s="134" t="s">
        <v>2</v>
      </c>
      <c r="K55" s="134" t="s">
        <v>10</v>
      </c>
      <c r="L55" s="135" t="s">
        <v>706</v>
      </c>
      <c r="M55" s="135"/>
      <c r="N55" s="135"/>
      <c r="O55" s="135"/>
      <c r="P55" s="134" t="s">
        <v>1274</v>
      </c>
      <c r="Q55" s="134" t="s">
        <v>2482</v>
      </c>
      <c r="R55" s="134" t="s">
        <v>1396</v>
      </c>
      <c r="S55" s="134">
        <v>26630274</v>
      </c>
      <c r="T55" s="134">
        <v>26630274</v>
      </c>
      <c r="U55" s="134" t="s">
        <v>1793</v>
      </c>
      <c r="V55" s="134" t="s">
        <v>1397</v>
      </c>
      <c r="W55" s="134"/>
      <c r="X55" s="136" t="s">
        <v>81</v>
      </c>
      <c r="Y55" s="134"/>
      <c r="Z55" s="136"/>
      <c r="AA55" s="136" t="s">
        <v>1732</v>
      </c>
    </row>
    <row r="56" spans="1:27">
      <c r="A56" s="134" t="s">
        <v>1051</v>
      </c>
      <c r="B56" s="134" t="s">
        <v>919</v>
      </c>
      <c r="D56" s="134" t="s">
        <v>927</v>
      </c>
      <c r="E56" s="134" t="s">
        <v>1059</v>
      </c>
      <c r="F56" s="134" t="s">
        <v>1189</v>
      </c>
      <c r="G56" s="134" t="s">
        <v>152</v>
      </c>
      <c r="H56" s="134" t="s">
        <v>5</v>
      </c>
      <c r="I56" s="134" t="s">
        <v>53</v>
      </c>
      <c r="J56" s="134" t="s">
        <v>2</v>
      </c>
      <c r="K56" s="134" t="s">
        <v>5</v>
      </c>
      <c r="L56" s="135" t="s">
        <v>702</v>
      </c>
      <c r="M56" s="135"/>
      <c r="N56" s="135"/>
      <c r="O56" s="135"/>
      <c r="P56" s="134" t="s">
        <v>1275</v>
      </c>
      <c r="Q56" s="134" t="s">
        <v>2482</v>
      </c>
      <c r="R56" s="134" t="s">
        <v>1602</v>
      </c>
      <c r="S56" s="134">
        <v>26500140</v>
      </c>
      <c r="T56" s="134">
        <v>26500140</v>
      </c>
      <c r="U56" s="134" t="s">
        <v>1794</v>
      </c>
      <c r="V56" s="134" t="s">
        <v>1603</v>
      </c>
      <c r="W56" s="134"/>
      <c r="X56" s="136" t="s">
        <v>113</v>
      </c>
      <c r="Y56" s="134"/>
      <c r="Z56" s="136"/>
      <c r="AA56" s="136" t="s">
        <v>1733</v>
      </c>
    </row>
    <row r="57" spans="1:27">
      <c r="A57" s="134" t="s">
        <v>1055</v>
      </c>
      <c r="B57" s="134" t="s">
        <v>923</v>
      </c>
      <c r="D57" s="134" t="s">
        <v>928</v>
      </c>
      <c r="E57" s="134" t="s">
        <v>1060</v>
      </c>
      <c r="F57" s="134" t="s">
        <v>1190</v>
      </c>
      <c r="G57" s="134" t="s">
        <v>152</v>
      </c>
      <c r="H57" s="134" t="s">
        <v>2</v>
      </c>
      <c r="I57" s="134" t="s">
        <v>53</v>
      </c>
      <c r="J57" s="134" t="s">
        <v>2</v>
      </c>
      <c r="K57" s="134" t="s">
        <v>6</v>
      </c>
      <c r="L57" s="135" t="s">
        <v>703</v>
      </c>
      <c r="M57" s="135"/>
      <c r="N57" s="135"/>
      <c r="O57" s="135"/>
      <c r="P57" s="134" t="s">
        <v>155</v>
      </c>
      <c r="Q57" s="134" t="s">
        <v>2482</v>
      </c>
      <c r="R57" s="134" t="s">
        <v>2349</v>
      </c>
      <c r="S57" s="134">
        <v>26411446</v>
      </c>
      <c r="T57" s="134">
        <v>24410125</v>
      </c>
      <c r="U57" s="134" t="s">
        <v>1398</v>
      </c>
      <c r="V57" s="134" t="s">
        <v>1399</v>
      </c>
      <c r="W57" s="134"/>
      <c r="X57" s="136" t="s">
        <v>1400</v>
      </c>
      <c r="Y57" s="134"/>
      <c r="Z57" s="136"/>
      <c r="AA57" s="136" t="s">
        <v>1734</v>
      </c>
    </row>
    <row r="58" spans="1:27">
      <c r="A58" s="134" t="s">
        <v>1084</v>
      </c>
      <c r="B58" s="134" t="s">
        <v>951</v>
      </c>
      <c r="D58" s="134" t="s">
        <v>929</v>
      </c>
      <c r="E58" s="134" t="s">
        <v>1061</v>
      </c>
      <c r="F58" s="134" t="s">
        <v>1191</v>
      </c>
      <c r="G58" s="134" t="s">
        <v>54</v>
      </c>
      <c r="H58" s="134" t="s">
        <v>7</v>
      </c>
      <c r="I58" s="134" t="s">
        <v>53</v>
      </c>
      <c r="J58" s="134" t="s">
        <v>16</v>
      </c>
      <c r="K58" s="134" t="s">
        <v>2</v>
      </c>
      <c r="L58" s="135" t="s">
        <v>2474</v>
      </c>
      <c r="M58" s="135"/>
      <c r="N58" s="135"/>
      <c r="O58" s="135"/>
      <c r="P58" s="134" t="s">
        <v>80</v>
      </c>
      <c r="Q58" s="134" t="s">
        <v>2482</v>
      </c>
      <c r="R58" s="134" t="s">
        <v>2344</v>
      </c>
      <c r="S58" s="134">
        <v>26455014</v>
      </c>
      <c r="T58" s="134">
        <v>26455804</v>
      </c>
      <c r="U58" s="134" t="s">
        <v>1401</v>
      </c>
      <c r="V58" s="134" t="s">
        <v>1402</v>
      </c>
      <c r="W58" s="134"/>
      <c r="X58" s="136" t="s">
        <v>1403</v>
      </c>
      <c r="Y58" s="134"/>
      <c r="Z58" s="136"/>
      <c r="AA58" s="136"/>
    </row>
    <row r="59" spans="1:27">
      <c r="A59" s="134" t="s">
        <v>1059</v>
      </c>
      <c r="B59" s="134" t="s">
        <v>927</v>
      </c>
      <c r="D59" s="134" t="s">
        <v>930</v>
      </c>
      <c r="E59" s="134" t="s">
        <v>1062</v>
      </c>
      <c r="F59" s="134" t="s">
        <v>1582</v>
      </c>
      <c r="G59" s="134" t="s">
        <v>152</v>
      </c>
      <c r="H59" s="134" t="s">
        <v>3</v>
      </c>
      <c r="I59" s="134" t="s">
        <v>53</v>
      </c>
      <c r="J59" s="134" t="s">
        <v>2</v>
      </c>
      <c r="K59" s="134" t="s">
        <v>15</v>
      </c>
      <c r="L59" s="135" t="s">
        <v>707</v>
      </c>
      <c r="M59" s="135"/>
      <c r="N59" s="135"/>
      <c r="O59" s="135"/>
      <c r="P59" s="134" t="s">
        <v>137</v>
      </c>
      <c r="Q59" s="134" t="s">
        <v>2482</v>
      </c>
      <c r="R59" s="134" t="s">
        <v>2351</v>
      </c>
      <c r="S59" s="134">
        <v>26420280</v>
      </c>
      <c r="T59" s="134">
        <v>26420179</v>
      </c>
      <c r="U59" s="134" t="s">
        <v>1404</v>
      </c>
      <c r="V59" s="134" t="s">
        <v>2519</v>
      </c>
      <c r="W59" s="134"/>
      <c r="X59" s="136" t="s">
        <v>1405</v>
      </c>
      <c r="Y59" s="134"/>
      <c r="Z59" s="136"/>
      <c r="AA59" s="136" t="s">
        <v>1735</v>
      </c>
    </row>
    <row r="60" spans="1:27">
      <c r="A60" s="134" t="s">
        <v>1058</v>
      </c>
      <c r="B60" s="134" t="s">
        <v>926</v>
      </c>
      <c r="D60" s="134" t="s">
        <v>931</v>
      </c>
      <c r="E60" s="134" t="s">
        <v>1063</v>
      </c>
      <c r="F60" s="134" t="s">
        <v>2288</v>
      </c>
      <c r="G60" s="134" t="s">
        <v>1648</v>
      </c>
      <c r="H60" s="134" t="s">
        <v>2</v>
      </c>
      <c r="I60" s="134" t="s">
        <v>53</v>
      </c>
      <c r="J60" s="134" t="s">
        <v>4</v>
      </c>
      <c r="K60" s="134" t="s">
        <v>2</v>
      </c>
      <c r="L60" s="135" t="s">
        <v>718</v>
      </c>
      <c r="M60" s="135"/>
      <c r="N60" s="135"/>
      <c r="O60" s="135"/>
      <c r="P60" s="134" t="s">
        <v>1276</v>
      </c>
      <c r="Q60" s="134" t="s">
        <v>2482</v>
      </c>
      <c r="R60" s="134" t="s">
        <v>2346</v>
      </c>
      <c r="S60" s="134">
        <v>27300045</v>
      </c>
      <c r="T60" s="134"/>
      <c r="U60" s="134" t="s">
        <v>1656</v>
      </c>
      <c r="V60" s="134" t="s">
        <v>1406</v>
      </c>
      <c r="W60" s="134"/>
      <c r="X60" s="136" t="s">
        <v>122</v>
      </c>
      <c r="Y60" s="134"/>
      <c r="Z60" s="136"/>
      <c r="AA60" s="136" t="s">
        <v>1736</v>
      </c>
    </row>
    <row r="61" spans="1:27">
      <c r="A61" s="134" t="s">
        <v>1060</v>
      </c>
      <c r="B61" s="134" t="s">
        <v>928</v>
      </c>
      <c r="D61" s="134" t="s">
        <v>932</v>
      </c>
      <c r="E61" s="134" t="s">
        <v>1064</v>
      </c>
      <c r="F61" s="134" t="s">
        <v>1192</v>
      </c>
      <c r="G61" s="134" t="s">
        <v>1648</v>
      </c>
      <c r="H61" s="134" t="s">
        <v>8</v>
      </c>
      <c r="I61" s="134" t="s">
        <v>53</v>
      </c>
      <c r="J61" s="134" t="s">
        <v>6</v>
      </c>
      <c r="K61" s="134" t="s">
        <v>3</v>
      </c>
      <c r="L61" s="135" t="s">
        <v>731</v>
      </c>
      <c r="M61" s="135"/>
      <c r="N61" s="135"/>
      <c r="O61" s="135"/>
      <c r="P61" s="134" t="s">
        <v>1277</v>
      </c>
      <c r="Q61" s="134" t="s">
        <v>2482</v>
      </c>
      <c r="R61" s="134" t="s">
        <v>1626</v>
      </c>
      <c r="S61" s="134">
        <v>27866156</v>
      </c>
      <c r="T61" s="134">
        <v>88812945</v>
      </c>
      <c r="U61" s="134" t="s">
        <v>1408</v>
      </c>
      <c r="V61" s="134" t="s">
        <v>1409</v>
      </c>
      <c r="W61" s="134"/>
      <c r="X61" s="136" t="s">
        <v>1410</v>
      </c>
      <c r="Y61" s="134"/>
      <c r="Z61" s="136"/>
      <c r="AA61" s="136" t="s">
        <v>1737</v>
      </c>
    </row>
    <row r="62" spans="1:27">
      <c r="A62" s="134" t="s">
        <v>1062</v>
      </c>
      <c r="B62" s="134" t="s">
        <v>930</v>
      </c>
      <c r="D62" s="134" t="s">
        <v>933</v>
      </c>
      <c r="E62" s="134" t="s">
        <v>1065</v>
      </c>
      <c r="F62" s="134" t="s">
        <v>1193</v>
      </c>
      <c r="G62" s="134" t="s">
        <v>110</v>
      </c>
      <c r="H62" s="134" t="s">
        <v>2</v>
      </c>
      <c r="I62" s="134" t="s">
        <v>53</v>
      </c>
      <c r="J62" s="134" t="s">
        <v>7</v>
      </c>
      <c r="K62" s="134" t="s">
        <v>2</v>
      </c>
      <c r="L62" s="135" t="s">
        <v>736</v>
      </c>
      <c r="M62" s="135"/>
      <c r="N62" s="135"/>
      <c r="O62" s="135"/>
      <c r="P62" s="134" t="s">
        <v>1278</v>
      </c>
      <c r="Q62" s="134" t="s">
        <v>2482</v>
      </c>
      <c r="R62" s="134" t="s">
        <v>2520</v>
      </c>
      <c r="S62" s="134">
        <v>27771569</v>
      </c>
      <c r="T62" s="134">
        <v>27770322</v>
      </c>
      <c r="U62" s="134" t="s">
        <v>1604</v>
      </c>
      <c r="V62" s="134" t="s">
        <v>1411</v>
      </c>
      <c r="W62" s="134"/>
      <c r="X62" s="136" t="s">
        <v>1412</v>
      </c>
      <c r="Y62" s="134"/>
      <c r="Z62" s="136"/>
      <c r="AA62" s="136" t="s">
        <v>1738</v>
      </c>
    </row>
    <row r="63" spans="1:27">
      <c r="A63" s="134" t="s">
        <v>1061</v>
      </c>
      <c r="B63" s="134" t="s">
        <v>929</v>
      </c>
      <c r="D63" s="134" t="s">
        <v>934</v>
      </c>
      <c r="E63" s="134" t="s">
        <v>1066</v>
      </c>
      <c r="F63" s="134" t="s">
        <v>1194</v>
      </c>
      <c r="G63" s="134" t="s">
        <v>110</v>
      </c>
      <c r="H63" s="134" t="s">
        <v>3</v>
      </c>
      <c r="I63" s="134" t="s">
        <v>53</v>
      </c>
      <c r="J63" s="134" t="s">
        <v>7</v>
      </c>
      <c r="K63" s="134" t="s">
        <v>3</v>
      </c>
      <c r="L63" s="135" t="s">
        <v>737</v>
      </c>
      <c r="M63" s="135"/>
      <c r="N63" s="135"/>
      <c r="O63" s="135"/>
      <c r="P63" s="134" t="s">
        <v>1279</v>
      </c>
      <c r="Q63" s="134" t="s">
        <v>2482</v>
      </c>
      <c r="R63" s="134" t="s">
        <v>1413</v>
      </c>
      <c r="S63" s="134">
        <v>27875297</v>
      </c>
      <c r="T63" s="134"/>
      <c r="U63" s="134" t="s">
        <v>1605</v>
      </c>
      <c r="V63" s="134" t="s">
        <v>1414</v>
      </c>
      <c r="W63" s="134"/>
      <c r="X63" s="136" t="s">
        <v>270</v>
      </c>
      <c r="Y63" s="134"/>
      <c r="Z63" s="136"/>
      <c r="AA63" s="136"/>
    </row>
    <row r="64" spans="1:27">
      <c r="A64" s="134" t="s">
        <v>1064</v>
      </c>
      <c r="B64" s="134" t="s">
        <v>932</v>
      </c>
      <c r="D64" s="134" t="s">
        <v>935</v>
      </c>
      <c r="E64" s="134" t="s">
        <v>1067</v>
      </c>
      <c r="F64" s="134" t="s">
        <v>1195</v>
      </c>
      <c r="G64" s="134" t="s">
        <v>52</v>
      </c>
      <c r="H64" s="134" t="s">
        <v>2</v>
      </c>
      <c r="I64" s="134" t="s">
        <v>53</v>
      </c>
      <c r="J64" s="134" t="s">
        <v>8</v>
      </c>
      <c r="K64" s="134" t="s">
        <v>2</v>
      </c>
      <c r="L64" s="135" t="s">
        <v>739</v>
      </c>
      <c r="M64" s="135"/>
      <c r="N64" s="135"/>
      <c r="O64" s="135"/>
      <c r="P64" s="134" t="s">
        <v>1606</v>
      </c>
      <c r="Q64" s="134" t="s">
        <v>2482</v>
      </c>
      <c r="R64" s="134" t="s">
        <v>1830</v>
      </c>
      <c r="S64" s="134">
        <v>27750142</v>
      </c>
      <c r="T64" s="134">
        <v>27753132</v>
      </c>
      <c r="U64" s="134" t="s">
        <v>1795</v>
      </c>
      <c r="V64" s="134" t="s">
        <v>2354</v>
      </c>
      <c r="W64" s="134"/>
      <c r="X64" s="136" t="s">
        <v>91</v>
      </c>
      <c r="Y64" s="134"/>
      <c r="Z64" s="136"/>
      <c r="AA64" s="136" t="s">
        <v>1739</v>
      </c>
    </row>
    <row r="65" spans="1:27">
      <c r="A65" s="134" t="s">
        <v>1067</v>
      </c>
      <c r="B65" s="134" t="s">
        <v>935</v>
      </c>
      <c r="D65" s="134" t="s">
        <v>936</v>
      </c>
      <c r="E65" s="134" t="s">
        <v>1068</v>
      </c>
      <c r="F65" s="134" t="s">
        <v>1583</v>
      </c>
      <c r="G65" s="134" t="s">
        <v>52</v>
      </c>
      <c r="H65" s="134" t="s">
        <v>4</v>
      </c>
      <c r="I65" s="134" t="s">
        <v>53</v>
      </c>
      <c r="J65" s="139" t="s">
        <v>17</v>
      </c>
      <c r="K65" s="139" t="s">
        <v>2</v>
      </c>
      <c r="L65" s="135" t="s">
        <v>2476</v>
      </c>
      <c r="M65" s="135"/>
      <c r="N65" s="135"/>
      <c r="O65" s="135"/>
      <c r="P65" s="134" t="s">
        <v>55</v>
      </c>
      <c r="Q65" s="134" t="s">
        <v>2482</v>
      </c>
      <c r="R65" s="134" t="s">
        <v>2347</v>
      </c>
      <c r="S65" s="134">
        <v>27355201</v>
      </c>
      <c r="T65" s="134">
        <v>27355256</v>
      </c>
      <c r="U65" s="134" t="s">
        <v>2521</v>
      </c>
      <c r="V65" s="134" t="s">
        <v>1608</v>
      </c>
      <c r="W65" s="134"/>
      <c r="X65" s="136" t="s">
        <v>1415</v>
      </c>
      <c r="Y65" s="134"/>
      <c r="Z65" s="136"/>
      <c r="AA65" s="136" t="s">
        <v>1740</v>
      </c>
    </row>
    <row r="66" spans="1:27">
      <c r="A66" s="134" t="s">
        <v>1070</v>
      </c>
      <c r="B66" s="134" t="s">
        <v>938</v>
      </c>
      <c r="D66" s="134" t="s">
        <v>937</v>
      </c>
      <c r="E66" s="134" t="s">
        <v>1069</v>
      </c>
      <c r="F66" s="134" t="s">
        <v>1196</v>
      </c>
      <c r="G66" s="134" t="s">
        <v>52</v>
      </c>
      <c r="H66" s="134" t="s">
        <v>5</v>
      </c>
      <c r="I66" s="134" t="s">
        <v>53</v>
      </c>
      <c r="J66" s="134" t="s">
        <v>8</v>
      </c>
      <c r="K66" s="134" t="s">
        <v>4</v>
      </c>
      <c r="L66" s="135" t="s">
        <v>740</v>
      </c>
      <c r="M66" s="135"/>
      <c r="N66" s="135"/>
      <c r="O66" s="135"/>
      <c r="P66" s="134" t="s">
        <v>1609</v>
      </c>
      <c r="Q66" s="134" t="s">
        <v>2482</v>
      </c>
      <c r="R66" s="134" t="s">
        <v>1831</v>
      </c>
      <c r="S66" s="134">
        <v>27899047</v>
      </c>
      <c r="T66" s="134">
        <v>27899047</v>
      </c>
      <c r="U66" s="134" t="s">
        <v>1416</v>
      </c>
      <c r="V66" s="134" t="s">
        <v>2522</v>
      </c>
      <c r="W66" s="134"/>
      <c r="X66" s="136" t="s">
        <v>1417</v>
      </c>
      <c r="Y66" s="134"/>
      <c r="Z66" s="136"/>
      <c r="AA66" s="136" t="s">
        <v>1741</v>
      </c>
    </row>
    <row r="67" spans="1:27">
      <c r="A67" s="134" t="s">
        <v>1071</v>
      </c>
      <c r="B67" s="134" t="s">
        <v>939</v>
      </c>
      <c r="D67" s="134" t="s">
        <v>938</v>
      </c>
      <c r="E67" s="134" t="s">
        <v>1070</v>
      </c>
      <c r="F67" s="134" t="s">
        <v>1197</v>
      </c>
      <c r="G67" s="134" t="s">
        <v>52</v>
      </c>
      <c r="H67" s="134" t="s">
        <v>6</v>
      </c>
      <c r="I67" s="134" t="s">
        <v>53</v>
      </c>
      <c r="J67" s="134" t="s">
        <v>10</v>
      </c>
      <c r="K67" s="134" t="s">
        <v>2</v>
      </c>
      <c r="L67" s="135" t="s">
        <v>742</v>
      </c>
      <c r="M67" s="135"/>
      <c r="N67" s="135"/>
      <c r="O67" s="135"/>
      <c r="P67" s="134" t="s">
        <v>135</v>
      </c>
      <c r="Q67" s="134" t="s">
        <v>2482</v>
      </c>
      <c r="R67" s="134" t="s">
        <v>2523</v>
      </c>
      <c r="S67" s="134">
        <v>27733125</v>
      </c>
      <c r="T67" s="134">
        <v>27733125</v>
      </c>
      <c r="U67" s="134" t="s">
        <v>1418</v>
      </c>
      <c r="V67" s="134" t="s">
        <v>1419</v>
      </c>
      <c r="W67" s="134"/>
      <c r="X67" s="136" t="s">
        <v>92</v>
      </c>
      <c r="Y67" s="134"/>
      <c r="Z67" s="136"/>
      <c r="AA67" s="136" t="s">
        <v>1742</v>
      </c>
    </row>
    <row r="68" spans="1:27">
      <c r="A68" s="134" t="s">
        <v>1069</v>
      </c>
      <c r="B68" s="134" t="s">
        <v>937</v>
      </c>
      <c r="D68" s="134" t="s">
        <v>939</v>
      </c>
      <c r="E68" s="134" t="s">
        <v>1071</v>
      </c>
      <c r="F68" s="134" t="s">
        <v>1198</v>
      </c>
      <c r="G68" s="134" t="s">
        <v>52</v>
      </c>
      <c r="H68" s="134" t="s">
        <v>7</v>
      </c>
      <c r="I68" s="134" t="s">
        <v>53</v>
      </c>
      <c r="J68" s="134" t="s">
        <v>10</v>
      </c>
      <c r="K68" s="134" t="s">
        <v>3</v>
      </c>
      <c r="L68" s="135" t="s">
        <v>743</v>
      </c>
      <c r="M68" s="135"/>
      <c r="N68" s="135"/>
      <c r="O68" s="135"/>
      <c r="P68" s="134" t="s">
        <v>57</v>
      </c>
      <c r="Q68" s="134" t="s">
        <v>2482</v>
      </c>
      <c r="R68" s="134" t="s">
        <v>2524</v>
      </c>
      <c r="S68" s="134">
        <v>27840616</v>
      </c>
      <c r="T68" s="134">
        <v>27840616</v>
      </c>
      <c r="U68" s="134" t="s">
        <v>1420</v>
      </c>
      <c r="V68" s="134" t="s">
        <v>2525</v>
      </c>
      <c r="W68" s="134"/>
      <c r="X68" s="136" t="s">
        <v>1421</v>
      </c>
      <c r="Y68" s="134"/>
      <c r="Z68" s="136"/>
      <c r="AA68" s="136"/>
    </row>
    <row r="69" spans="1:27">
      <c r="A69" s="134" t="s">
        <v>1073</v>
      </c>
      <c r="B69" s="134" t="s">
        <v>941</v>
      </c>
      <c r="D69" s="134" t="s">
        <v>940</v>
      </c>
      <c r="E69" s="134" t="s">
        <v>1072</v>
      </c>
      <c r="F69" s="134" t="s">
        <v>1199</v>
      </c>
      <c r="G69" s="134" t="s">
        <v>110</v>
      </c>
      <c r="H69" s="134" t="s">
        <v>5</v>
      </c>
      <c r="I69" s="134" t="s">
        <v>53</v>
      </c>
      <c r="J69" s="134" t="s">
        <v>11</v>
      </c>
      <c r="K69" s="134" t="s">
        <v>2</v>
      </c>
      <c r="L69" s="135" t="s">
        <v>747</v>
      </c>
      <c r="M69" s="135"/>
      <c r="N69" s="135"/>
      <c r="O69" s="135"/>
      <c r="P69" s="134" t="s">
        <v>1280</v>
      </c>
      <c r="Q69" s="134" t="s">
        <v>2482</v>
      </c>
      <c r="R69" s="134" t="s">
        <v>2526</v>
      </c>
      <c r="S69" s="134">
        <v>27799197</v>
      </c>
      <c r="T69" s="134"/>
      <c r="U69" s="134" t="s">
        <v>1832</v>
      </c>
      <c r="V69" s="134" t="s">
        <v>1422</v>
      </c>
      <c r="W69" s="134"/>
      <c r="X69" s="136" t="s">
        <v>117</v>
      </c>
      <c r="Y69" s="134"/>
      <c r="Z69" s="136"/>
      <c r="AA69" s="136" t="s">
        <v>1743</v>
      </c>
    </row>
    <row r="70" spans="1:27">
      <c r="A70" s="134" t="s">
        <v>1068</v>
      </c>
      <c r="B70" s="134" t="s">
        <v>936</v>
      </c>
      <c r="D70" s="134" t="s">
        <v>941</v>
      </c>
      <c r="E70" s="134" t="s">
        <v>1073</v>
      </c>
      <c r="F70" s="134" t="s">
        <v>1200</v>
      </c>
      <c r="G70" s="134" t="s">
        <v>52</v>
      </c>
      <c r="H70" s="134" t="s">
        <v>12</v>
      </c>
      <c r="I70" s="134" t="s">
        <v>53</v>
      </c>
      <c r="J70" s="134" t="s">
        <v>12</v>
      </c>
      <c r="K70" s="134" t="s">
        <v>3</v>
      </c>
      <c r="L70" s="135" t="s">
        <v>749</v>
      </c>
      <c r="M70" s="135"/>
      <c r="N70" s="135"/>
      <c r="O70" s="135"/>
      <c r="P70" s="134" t="s">
        <v>142</v>
      </c>
      <c r="Q70" s="134" t="s">
        <v>2482</v>
      </c>
      <c r="R70" s="134" t="s">
        <v>1607</v>
      </c>
      <c r="S70" s="134">
        <v>27321139</v>
      </c>
      <c r="T70" s="134">
        <v>27321139</v>
      </c>
      <c r="U70" s="134" t="s">
        <v>1423</v>
      </c>
      <c r="V70" s="134" t="s">
        <v>2527</v>
      </c>
      <c r="W70" s="134"/>
      <c r="X70" s="136" t="s">
        <v>173</v>
      </c>
      <c r="Y70" s="134"/>
      <c r="Z70" s="136"/>
      <c r="AA70" s="136" t="s">
        <v>1744</v>
      </c>
    </row>
    <row r="71" spans="1:27">
      <c r="A71" s="134" t="s">
        <v>1074</v>
      </c>
      <c r="B71" s="134" t="s">
        <v>942</v>
      </c>
      <c r="D71" s="134" t="s">
        <v>942</v>
      </c>
      <c r="E71" s="134" t="s">
        <v>1074</v>
      </c>
      <c r="F71" s="134" t="s">
        <v>1201</v>
      </c>
      <c r="G71" s="134" t="s">
        <v>2324</v>
      </c>
      <c r="H71" s="134" t="s">
        <v>2</v>
      </c>
      <c r="I71" s="134" t="s">
        <v>49</v>
      </c>
      <c r="J71" s="134" t="s">
        <v>2</v>
      </c>
      <c r="K71" s="134" t="s">
        <v>2</v>
      </c>
      <c r="L71" s="135" t="s">
        <v>754</v>
      </c>
      <c r="M71" s="135"/>
      <c r="N71" s="135"/>
      <c r="O71" s="135"/>
      <c r="P71" s="134" t="s">
        <v>1281</v>
      </c>
      <c r="Q71" s="134" t="s">
        <v>2482</v>
      </c>
      <c r="R71" s="134" t="s">
        <v>1424</v>
      </c>
      <c r="S71" s="134">
        <v>27950052</v>
      </c>
      <c r="T71" s="134">
        <v>27951061</v>
      </c>
      <c r="U71" s="134" t="s">
        <v>1610</v>
      </c>
      <c r="V71" s="134" t="s">
        <v>1425</v>
      </c>
      <c r="W71" s="134"/>
      <c r="X71" s="136" t="s">
        <v>2481</v>
      </c>
      <c r="Y71" s="134"/>
      <c r="Z71" s="136"/>
      <c r="AA71" s="136" t="s">
        <v>1745</v>
      </c>
    </row>
    <row r="72" spans="1:27">
      <c r="A72" s="134" t="s">
        <v>1079</v>
      </c>
      <c r="B72" s="134" t="s">
        <v>947</v>
      </c>
      <c r="D72" s="134" t="s">
        <v>943</v>
      </c>
      <c r="E72" s="134" t="s">
        <v>1075</v>
      </c>
      <c r="F72" s="134" t="s">
        <v>2289</v>
      </c>
      <c r="G72" s="134" t="s">
        <v>2324</v>
      </c>
      <c r="H72" s="134" t="s">
        <v>4</v>
      </c>
      <c r="I72" s="134" t="s">
        <v>49</v>
      </c>
      <c r="J72" s="134" t="s">
        <v>2</v>
      </c>
      <c r="K72" s="134" t="s">
        <v>3</v>
      </c>
      <c r="L72" s="135" t="s">
        <v>755</v>
      </c>
      <c r="M72" s="135"/>
      <c r="N72" s="135"/>
      <c r="O72" s="135"/>
      <c r="P72" s="134" t="s">
        <v>2528</v>
      </c>
      <c r="Q72" s="134" t="s">
        <v>2482</v>
      </c>
      <c r="R72" s="134" t="s">
        <v>2290</v>
      </c>
      <c r="S72" s="134">
        <v>27590192</v>
      </c>
      <c r="T72" s="134"/>
      <c r="U72" s="134" t="s">
        <v>1796</v>
      </c>
      <c r="V72" s="134" t="s">
        <v>2528</v>
      </c>
      <c r="W72" s="134"/>
      <c r="X72" s="136" t="s">
        <v>2481</v>
      </c>
      <c r="Y72" s="134"/>
      <c r="Z72" s="136"/>
      <c r="AA72" s="136"/>
    </row>
    <row r="73" spans="1:27">
      <c r="A73" s="134" t="s">
        <v>1078</v>
      </c>
      <c r="B73" s="134" t="s">
        <v>946</v>
      </c>
      <c r="D73" s="134" t="s">
        <v>944</v>
      </c>
      <c r="E73" s="140" t="s">
        <v>1076</v>
      </c>
      <c r="F73" s="134" t="s">
        <v>2291</v>
      </c>
      <c r="G73" s="134" t="s">
        <v>138</v>
      </c>
      <c r="H73" s="134" t="s">
        <v>2</v>
      </c>
      <c r="I73" s="134" t="s">
        <v>49</v>
      </c>
      <c r="J73" s="134" t="s">
        <v>3</v>
      </c>
      <c r="K73" s="134" t="s">
        <v>2</v>
      </c>
      <c r="L73" s="135" t="s">
        <v>758</v>
      </c>
      <c r="M73" s="135"/>
      <c r="N73" s="135"/>
      <c r="O73" s="135"/>
      <c r="P73" s="134" t="s">
        <v>1283</v>
      </c>
      <c r="Q73" s="134" t="s">
        <v>2482</v>
      </c>
      <c r="R73" s="134" t="s">
        <v>2529</v>
      </c>
      <c r="S73" s="134">
        <v>27100816</v>
      </c>
      <c r="T73" s="134">
        <v>27103963</v>
      </c>
      <c r="U73" s="134" t="s">
        <v>1426</v>
      </c>
      <c r="V73" s="134" t="s">
        <v>2530</v>
      </c>
      <c r="W73" s="134"/>
      <c r="X73" s="136" t="s">
        <v>95</v>
      </c>
      <c r="Y73" s="134"/>
      <c r="Z73" s="136"/>
      <c r="AA73" s="136" t="s">
        <v>1746</v>
      </c>
    </row>
    <row r="74" spans="1:27">
      <c r="A74" s="134" t="s">
        <v>1075</v>
      </c>
      <c r="B74" s="134" t="s">
        <v>943</v>
      </c>
      <c r="D74" s="134" t="s">
        <v>945</v>
      </c>
      <c r="E74" s="134" t="s">
        <v>1077</v>
      </c>
      <c r="F74" s="134" t="s">
        <v>2292</v>
      </c>
      <c r="G74" s="134" t="s">
        <v>2324</v>
      </c>
      <c r="H74" s="134" t="s">
        <v>5</v>
      </c>
      <c r="I74" s="134" t="s">
        <v>49</v>
      </c>
      <c r="J74" s="134" t="s">
        <v>4</v>
      </c>
      <c r="K74" s="134" t="s">
        <v>2</v>
      </c>
      <c r="L74" s="135" t="s">
        <v>765</v>
      </c>
      <c r="M74" s="135"/>
      <c r="N74" s="135"/>
      <c r="O74" s="135"/>
      <c r="P74" s="134" t="s">
        <v>115</v>
      </c>
      <c r="Q74" s="134" t="s">
        <v>2482</v>
      </c>
      <c r="R74" s="134" t="s">
        <v>2531</v>
      </c>
      <c r="S74" s="134">
        <v>27688093</v>
      </c>
      <c r="T74" s="134">
        <v>27686070</v>
      </c>
      <c r="U74" s="134" t="s">
        <v>1611</v>
      </c>
      <c r="V74" s="134" t="s">
        <v>2532</v>
      </c>
      <c r="W74" s="134"/>
      <c r="X74" s="136" t="s">
        <v>1427</v>
      </c>
      <c r="Y74" s="134"/>
      <c r="Z74" s="136"/>
      <c r="AA74" s="136" t="s">
        <v>1747</v>
      </c>
    </row>
    <row r="75" spans="1:27">
      <c r="A75" s="134" t="s">
        <v>1077</v>
      </c>
      <c r="B75" s="134" t="s">
        <v>945</v>
      </c>
      <c r="D75" s="134" t="s">
        <v>946</v>
      </c>
      <c r="E75" s="134" t="s">
        <v>1078</v>
      </c>
      <c r="F75" s="134" t="s">
        <v>1202</v>
      </c>
      <c r="G75" s="134" t="s">
        <v>1649</v>
      </c>
      <c r="H75" s="134" t="s">
        <v>2</v>
      </c>
      <c r="I75" s="134" t="s">
        <v>49</v>
      </c>
      <c r="J75" s="134" t="s">
        <v>5</v>
      </c>
      <c r="K75" s="134" t="s">
        <v>2</v>
      </c>
      <c r="L75" s="135" t="s">
        <v>771</v>
      </c>
      <c r="M75" s="135"/>
      <c r="N75" s="135"/>
      <c r="O75" s="135"/>
      <c r="P75" s="134" t="s">
        <v>2320</v>
      </c>
      <c r="Q75" s="134" t="s">
        <v>2482</v>
      </c>
      <c r="R75" s="134" t="s">
        <v>1428</v>
      </c>
      <c r="S75" s="134">
        <v>27510060</v>
      </c>
      <c r="T75" s="134">
        <v>27510244</v>
      </c>
      <c r="U75" s="134" t="s">
        <v>2533</v>
      </c>
      <c r="V75" s="134" t="s">
        <v>2534</v>
      </c>
      <c r="W75" s="134"/>
      <c r="X75" s="136" t="s">
        <v>120</v>
      </c>
      <c r="Y75" s="134"/>
      <c r="Z75" s="136"/>
      <c r="AA75" s="136"/>
    </row>
    <row r="76" spans="1:27">
      <c r="A76" s="140" t="s">
        <v>1076</v>
      </c>
      <c r="B76" s="134" t="s">
        <v>944</v>
      </c>
      <c r="D76" s="134" t="s">
        <v>947</v>
      </c>
      <c r="E76" s="134" t="s">
        <v>1079</v>
      </c>
      <c r="F76" s="134" t="s">
        <v>1203</v>
      </c>
      <c r="G76" s="134" t="s">
        <v>2324</v>
      </c>
      <c r="H76" s="134" t="s">
        <v>11</v>
      </c>
      <c r="I76" s="134" t="s">
        <v>49</v>
      </c>
      <c r="J76" s="134" t="s">
        <v>6</v>
      </c>
      <c r="K76" s="134" t="s">
        <v>3</v>
      </c>
      <c r="L76" s="135" t="s">
        <v>776</v>
      </c>
      <c r="M76" s="135"/>
      <c r="N76" s="135"/>
      <c r="O76" s="135"/>
      <c r="P76" s="134" t="s">
        <v>156</v>
      </c>
      <c r="Q76" s="134" t="s">
        <v>2482</v>
      </c>
      <c r="R76" s="134" t="s">
        <v>1797</v>
      </c>
      <c r="S76" s="134">
        <v>27186105</v>
      </c>
      <c r="T76" s="134">
        <v>27184011</v>
      </c>
      <c r="U76" s="134" t="s">
        <v>1798</v>
      </c>
      <c r="V76" s="134" t="s">
        <v>1657</v>
      </c>
      <c r="W76" s="134"/>
      <c r="X76" s="136" t="s">
        <v>90</v>
      </c>
      <c r="Y76" s="134"/>
      <c r="Z76" s="136"/>
      <c r="AA76" s="136" t="s">
        <v>1748</v>
      </c>
    </row>
    <row r="77" spans="1:27">
      <c r="A77" s="134" t="s">
        <v>1080</v>
      </c>
      <c r="B77" s="134" t="s">
        <v>85</v>
      </c>
      <c r="D77" s="134" t="s">
        <v>85</v>
      </c>
      <c r="E77" s="134" t="s">
        <v>1080</v>
      </c>
      <c r="F77" s="134" t="s">
        <v>2293</v>
      </c>
      <c r="G77" s="134" t="s">
        <v>138</v>
      </c>
      <c r="H77" s="134" t="s">
        <v>5</v>
      </c>
      <c r="I77" s="134" t="s">
        <v>49</v>
      </c>
      <c r="J77" s="134" t="s">
        <v>7</v>
      </c>
      <c r="K77" s="134" t="s">
        <v>2</v>
      </c>
      <c r="L77" s="135" t="s">
        <v>778</v>
      </c>
      <c r="M77" s="135"/>
      <c r="N77" s="135"/>
      <c r="O77" s="135"/>
      <c r="P77" s="134" t="s">
        <v>786</v>
      </c>
      <c r="Q77" s="134" t="s">
        <v>2482</v>
      </c>
      <c r="R77" s="134" t="s">
        <v>2341</v>
      </c>
      <c r="S77" s="134">
        <v>27167291</v>
      </c>
      <c r="T77" s="134">
        <v>27166802</v>
      </c>
      <c r="U77" s="134" t="s">
        <v>1429</v>
      </c>
      <c r="V77" s="134" t="s">
        <v>2535</v>
      </c>
      <c r="W77" s="134"/>
      <c r="X77" s="136" t="s">
        <v>267</v>
      </c>
      <c r="Y77" s="134"/>
      <c r="Z77" s="136"/>
      <c r="AA77" s="136"/>
    </row>
    <row r="78" spans="1:27">
      <c r="A78" s="134" t="s">
        <v>1081</v>
      </c>
      <c r="B78" s="134" t="s">
        <v>948</v>
      </c>
      <c r="D78" s="134" t="s">
        <v>948</v>
      </c>
      <c r="E78" s="134" t="s">
        <v>1081</v>
      </c>
      <c r="F78" s="134" t="s">
        <v>1204</v>
      </c>
      <c r="G78" s="134" t="s">
        <v>110</v>
      </c>
      <c r="H78" s="134" t="s">
        <v>6</v>
      </c>
      <c r="I78" s="134" t="s">
        <v>53</v>
      </c>
      <c r="J78" s="134" t="s">
        <v>15</v>
      </c>
      <c r="K78" s="134" t="s">
        <v>2</v>
      </c>
      <c r="L78" s="135" t="s">
        <v>752</v>
      </c>
      <c r="M78" s="135"/>
      <c r="N78" s="135"/>
      <c r="O78" s="135"/>
      <c r="P78" s="134" t="s">
        <v>123</v>
      </c>
      <c r="Q78" s="134" t="s">
        <v>2482</v>
      </c>
      <c r="R78" s="134" t="s">
        <v>1430</v>
      </c>
      <c r="S78" s="134">
        <v>26433694</v>
      </c>
      <c r="T78" s="134">
        <v>26433991</v>
      </c>
      <c r="U78" s="134" t="s">
        <v>1431</v>
      </c>
      <c r="V78" s="134" t="s">
        <v>1432</v>
      </c>
      <c r="W78" s="134"/>
      <c r="X78" s="136" t="s">
        <v>118</v>
      </c>
      <c r="Y78" s="134"/>
      <c r="Z78" s="136"/>
      <c r="AA78" s="136" t="s">
        <v>1749</v>
      </c>
    </row>
    <row r="79" spans="1:27">
      <c r="A79" s="134" t="s">
        <v>1072</v>
      </c>
      <c r="B79" s="134" t="s">
        <v>940</v>
      </c>
      <c r="D79" s="134" t="s">
        <v>949</v>
      </c>
      <c r="E79" s="134" t="s">
        <v>1082</v>
      </c>
      <c r="F79" s="134" t="s">
        <v>1205</v>
      </c>
      <c r="G79" s="134" t="s">
        <v>42</v>
      </c>
      <c r="H79" s="134" t="s">
        <v>2</v>
      </c>
      <c r="I79" s="134" t="s">
        <v>40</v>
      </c>
      <c r="J79" s="134" t="s">
        <v>4</v>
      </c>
      <c r="K79" s="134" t="s">
        <v>12</v>
      </c>
      <c r="L79" s="135" t="s">
        <v>332</v>
      </c>
      <c r="M79" s="135"/>
      <c r="N79" s="135"/>
      <c r="O79" s="135"/>
      <c r="P79" s="134" t="s">
        <v>111</v>
      </c>
      <c r="Q79" s="134" t="s">
        <v>2482</v>
      </c>
      <c r="R79" s="134" t="s">
        <v>1433</v>
      </c>
      <c r="S79" s="134">
        <v>22505502</v>
      </c>
      <c r="T79" s="134">
        <v>22505502</v>
      </c>
      <c r="U79" s="134" t="s">
        <v>1833</v>
      </c>
      <c r="V79" s="134" t="s">
        <v>2536</v>
      </c>
      <c r="W79" s="134"/>
      <c r="X79" s="136" t="s">
        <v>2481</v>
      </c>
      <c r="Y79" s="134"/>
      <c r="Z79" s="136"/>
      <c r="AA79" s="136"/>
    </row>
    <row r="80" spans="1:27">
      <c r="A80" s="134" t="s">
        <v>1066</v>
      </c>
      <c r="B80" s="134" t="s">
        <v>934</v>
      </c>
      <c r="D80" s="134" t="s">
        <v>950</v>
      </c>
      <c r="E80" s="134" t="s">
        <v>1083</v>
      </c>
      <c r="F80" s="134" t="s">
        <v>1206</v>
      </c>
      <c r="G80" s="134" t="s">
        <v>63</v>
      </c>
      <c r="H80" s="134" t="s">
        <v>8</v>
      </c>
      <c r="I80" s="134" t="s">
        <v>62</v>
      </c>
      <c r="J80" s="134" t="s">
        <v>10</v>
      </c>
      <c r="K80" s="134" t="s">
        <v>2</v>
      </c>
      <c r="L80" s="135" t="s">
        <v>630</v>
      </c>
      <c r="M80" s="135"/>
      <c r="N80" s="135"/>
      <c r="O80" s="135"/>
      <c r="P80" s="134" t="s">
        <v>1284</v>
      </c>
      <c r="Q80" s="134" t="s">
        <v>2482</v>
      </c>
      <c r="R80" s="134" t="s">
        <v>1434</v>
      </c>
      <c r="S80" s="134">
        <v>22654811</v>
      </c>
      <c r="T80" s="134">
        <v>22654811</v>
      </c>
      <c r="U80" s="134" t="s">
        <v>2537</v>
      </c>
      <c r="V80" s="134" t="s">
        <v>2294</v>
      </c>
      <c r="W80" s="134"/>
      <c r="X80" s="136" t="s">
        <v>1435</v>
      </c>
      <c r="Y80" s="134"/>
      <c r="Z80" s="136"/>
      <c r="AA80" s="136"/>
    </row>
    <row r="81" spans="1:27">
      <c r="A81" s="134" t="s">
        <v>1034</v>
      </c>
      <c r="B81" s="134" t="s">
        <v>902</v>
      </c>
      <c r="D81" s="134" t="s">
        <v>951</v>
      </c>
      <c r="E81" s="134" t="s">
        <v>1084</v>
      </c>
      <c r="F81" s="134" t="s">
        <v>1207</v>
      </c>
      <c r="G81" s="134" t="s">
        <v>114</v>
      </c>
      <c r="H81" s="134" t="s">
        <v>3</v>
      </c>
      <c r="I81" s="134" t="s">
        <v>68</v>
      </c>
      <c r="J81" s="134" t="s">
        <v>8</v>
      </c>
      <c r="K81" s="134" t="s">
        <v>2</v>
      </c>
      <c r="L81" s="135" t="s">
        <v>674</v>
      </c>
      <c r="M81" s="135"/>
      <c r="N81" s="135"/>
      <c r="O81" s="135"/>
      <c r="P81" s="134" t="s">
        <v>1285</v>
      </c>
      <c r="Q81" s="134" t="s">
        <v>2482</v>
      </c>
      <c r="R81" s="134" t="s">
        <v>1804</v>
      </c>
      <c r="S81" s="134">
        <v>26620246</v>
      </c>
      <c r="T81" s="134">
        <v>26621798</v>
      </c>
      <c r="U81" s="134" t="s">
        <v>1799</v>
      </c>
      <c r="V81" s="134" t="s">
        <v>1436</v>
      </c>
      <c r="W81" s="134"/>
      <c r="X81" s="136" t="s">
        <v>1437</v>
      </c>
      <c r="Y81" s="134"/>
      <c r="Z81" s="136"/>
      <c r="AA81" s="136" t="s">
        <v>1750</v>
      </c>
    </row>
    <row r="82" spans="1:27">
      <c r="A82" s="134" t="s">
        <v>1039</v>
      </c>
      <c r="B82" s="134" t="s">
        <v>907</v>
      </c>
      <c r="D82" s="134" t="s">
        <v>952</v>
      </c>
      <c r="E82" s="134" t="s">
        <v>1085</v>
      </c>
      <c r="F82" s="134" t="s">
        <v>2295</v>
      </c>
      <c r="G82" s="134" t="s">
        <v>1645</v>
      </c>
      <c r="H82" s="134" t="s">
        <v>5</v>
      </c>
      <c r="I82" s="134" t="s">
        <v>40</v>
      </c>
      <c r="J82" s="134" t="s">
        <v>11</v>
      </c>
      <c r="K82" s="134" t="s">
        <v>4</v>
      </c>
      <c r="L82" s="135" t="s">
        <v>370</v>
      </c>
      <c r="M82" s="135"/>
      <c r="N82" s="135"/>
      <c r="O82" s="135"/>
      <c r="P82" s="134" t="s">
        <v>1286</v>
      </c>
      <c r="Q82" s="134" t="s">
        <v>2482</v>
      </c>
      <c r="R82" s="134" t="s">
        <v>2538</v>
      </c>
      <c r="S82" s="134">
        <v>22036843</v>
      </c>
      <c r="T82" s="134">
        <v>22036843</v>
      </c>
      <c r="U82" s="134" t="s">
        <v>1800</v>
      </c>
      <c r="V82" s="134" t="s">
        <v>1438</v>
      </c>
      <c r="W82" s="134"/>
      <c r="X82" s="136" t="s">
        <v>2481</v>
      </c>
      <c r="Y82" s="134"/>
      <c r="Z82" s="136"/>
      <c r="AA82" s="136"/>
    </row>
    <row r="83" spans="1:27">
      <c r="A83" s="134" t="s">
        <v>1085</v>
      </c>
      <c r="B83" s="134" t="s">
        <v>952</v>
      </c>
      <c r="D83" s="134" t="s">
        <v>953</v>
      </c>
      <c r="E83" s="134" t="s">
        <v>1086</v>
      </c>
      <c r="F83" s="134" t="s">
        <v>1584</v>
      </c>
      <c r="G83" s="134" t="s">
        <v>1645</v>
      </c>
      <c r="H83" s="134" t="s">
        <v>4</v>
      </c>
      <c r="I83" s="134" t="s">
        <v>40</v>
      </c>
      <c r="J83" s="134" t="s">
        <v>3</v>
      </c>
      <c r="K83" s="134" t="s">
        <v>2</v>
      </c>
      <c r="L83" s="135" t="s">
        <v>320</v>
      </c>
      <c r="M83" s="135"/>
      <c r="N83" s="135"/>
      <c r="O83" s="135"/>
      <c r="P83" s="134" t="s">
        <v>146</v>
      </c>
      <c r="Q83" s="134" t="s">
        <v>2482</v>
      </c>
      <c r="R83" s="134" t="s">
        <v>2350</v>
      </c>
      <c r="S83" s="134">
        <v>40805054</v>
      </c>
      <c r="T83" s="134"/>
      <c r="U83" s="134" t="s">
        <v>1439</v>
      </c>
      <c r="V83" s="134" t="s">
        <v>2539</v>
      </c>
      <c r="W83" s="134"/>
      <c r="X83" s="136" t="s">
        <v>2481</v>
      </c>
      <c r="Y83" s="134"/>
      <c r="Z83" s="136"/>
      <c r="AA83" s="136" t="s">
        <v>1751</v>
      </c>
    </row>
    <row r="84" spans="1:27">
      <c r="A84" s="134" t="s">
        <v>1065</v>
      </c>
      <c r="B84" s="134" t="s">
        <v>933</v>
      </c>
      <c r="D84" s="134" t="s">
        <v>954</v>
      </c>
      <c r="E84" s="134" t="s">
        <v>1087</v>
      </c>
      <c r="F84" s="134" t="s">
        <v>1208</v>
      </c>
      <c r="G84" s="134" t="s">
        <v>69</v>
      </c>
      <c r="H84" s="134" t="s">
        <v>8</v>
      </c>
      <c r="I84" s="134" t="s">
        <v>44</v>
      </c>
      <c r="J84" s="134" t="s">
        <v>2</v>
      </c>
      <c r="K84" s="134" t="s">
        <v>15</v>
      </c>
      <c r="L84" s="135" t="s">
        <v>552</v>
      </c>
      <c r="M84" s="135"/>
      <c r="N84" s="135"/>
      <c r="O84" s="135"/>
      <c r="P84" s="134" t="s">
        <v>143</v>
      </c>
      <c r="Q84" s="134" t="s">
        <v>2482</v>
      </c>
      <c r="R84" s="134" t="s">
        <v>2296</v>
      </c>
      <c r="S84" s="134">
        <v>25736828</v>
      </c>
      <c r="T84" s="134">
        <v>25739313</v>
      </c>
      <c r="U84" s="134" t="s">
        <v>1440</v>
      </c>
      <c r="V84" s="134" t="s">
        <v>2540</v>
      </c>
      <c r="W84" s="134"/>
      <c r="X84" s="136" t="s">
        <v>2481</v>
      </c>
      <c r="Y84" s="134"/>
      <c r="Z84" s="136"/>
      <c r="AA84" s="136"/>
    </row>
    <row r="85" spans="1:27">
      <c r="A85" s="134" t="s">
        <v>1086</v>
      </c>
      <c r="B85" s="134" t="s">
        <v>953</v>
      </c>
      <c r="D85" s="134" t="s">
        <v>955</v>
      </c>
      <c r="E85" s="134" t="s">
        <v>1088</v>
      </c>
      <c r="F85" s="134" t="s">
        <v>1209</v>
      </c>
      <c r="G85" s="134" t="s">
        <v>114</v>
      </c>
      <c r="H85" s="134" t="s">
        <v>4</v>
      </c>
      <c r="I85" s="134" t="s">
        <v>68</v>
      </c>
      <c r="J85" s="134" t="s">
        <v>10</v>
      </c>
      <c r="K85" s="134" t="s">
        <v>4</v>
      </c>
      <c r="L85" s="135" t="s">
        <v>680</v>
      </c>
      <c r="M85" s="135"/>
      <c r="N85" s="135"/>
      <c r="O85" s="135"/>
      <c r="P85" s="134" t="s">
        <v>154</v>
      </c>
      <c r="Q85" s="134" t="s">
        <v>2482</v>
      </c>
      <c r="R85" s="134" t="s">
        <v>1349</v>
      </c>
      <c r="S85" s="134">
        <v>26931066</v>
      </c>
      <c r="T85" s="134">
        <v>26931066</v>
      </c>
      <c r="U85" s="134" t="s">
        <v>1441</v>
      </c>
      <c r="V85" s="134" t="s">
        <v>1442</v>
      </c>
      <c r="W85" s="134"/>
      <c r="X85" s="136" t="s">
        <v>2481</v>
      </c>
      <c r="Y85" s="134"/>
      <c r="Z85" s="136"/>
      <c r="AA85" s="136" t="s">
        <v>1752</v>
      </c>
    </row>
    <row r="86" spans="1:27">
      <c r="A86" s="134" t="s">
        <v>1090</v>
      </c>
      <c r="B86" s="134" t="s">
        <v>957</v>
      </c>
      <c r="D86" s="134" t="s">
        <v>956</v>
      </c>
      <c r="E86" s="134" t="s">
        <v>1089</v>
      </c>
      <c r="F86" s="134" t="s">
        <v>1210</v>
      </c>
      <c r="G86" s="134" t="s">
        <v>48</v>
      </c>
      <c r="H86" s="134" t="s">
        <v>3</v>
      </c>
      <c r="I86" s="134" t="s">
        <v>41</v>
      </c>
      <c r="J86" s="134" t="s">
        <v>2</v>
      </c>
      <c r="K86" s="134" t="s">
        <v>12</v>
      </c>
      <c r="L86" s="135" t="s">
        <v>439</v>
      </c>
      <c r="M86" s="135"/>
      <c r="N86" s="135"/>
      <c r="O86" s="135"/>
      <c r="P86" s="134" t="s">
        <v>1287</v>
      </c>
      <c r="Q86" s="134" t="s">
        <v>2482</v>
      </c>
      <c r="R86" s="134" t="s">
        <v>2338</v>
      </c>
      <c r="S86" s="134">
        <v>24406240</v>
      </c>
      <c r="T86" s="134">
        <v>24406240</v>
      </c>
      <c r="U86" s="134" t="s">
        <v>1443</v>
      </c>
      <c r="V86" s="134" t="s">
        <v>1444</v>
      </c>
      <c r="W86" s="134"/>
      <c r="X86" s="136" t="s">
        <v>2481</v>
      </c>
      <c r="Y86" s="134"/>
      <c r="Z86" s="136"/>
      <c r="AA86" s="136" t="s">
        <v>1753</v>
      </c>
    </row>
    <row r="87" spans="1:27">
      <c r="A87" s="134" t="s">
        <v>1087</v>
      </c>
      <c r="B87" s="134" t="s">
        <v>954</v>
      </c>
      <c r="D87" s="134" t="s">
        <v>957</v>
      </c>
      <c r="E87" s="134" t="s">
        <v>1090</v>
      </c>
      <c r="F87" s="134" t="s">
        <v>1211</v>
      </c>
      <c r="G87" s="134" t="s">
        <v>1644</v>
      </c>
      <c r="H87" s="134" t="s">
        <v>5</v>
      </c>
      <c r="I87" s="134" t="s">
        <v>40</v>
      </c>
      <c r="J87" s="134" t="s">
        <v>50</v>
      </c>
      <c r="K87" s="134" t="s">
        <v>5</v>
      </c>
      <c r="L87" s="135" t="s">
        <v>412</v>
      </c>
      <c r="M87" s="135"/>
      <c r="N87" s="135"/>
      <c r="O87" s="135"/>
      <c r="P87" s="134" t="s">
        <v>1612</v>
      </c>
      <c r="Q87" s="134" t="s">
        <v>2482</v>
      </c>
      <c r="R87" s="134" t="s">
        <v>2541</v>
      </c>
      <c r="S87" s="134">
        <v>22765536</v>
      </c>
      <c r="T87" s="134"/>
      <c r="U87" s="134" t="s">
        <v>1613</v>
      </c>
      <c r="V87" s="134" t="s">
        <v>1445</v>
      </c>
      <c r="W87" s="134"/>
      <c r="X87" s="136" t="s">
        <v>1446</v>
      </c>
      <c r="Y87" s="134"/>
      <c r="Z87" s="136"/>
      <c r="AA87" s="136" t="s">
        <v>1754</v>
      </c>
    </row>
    <row r="88" spans="1:27">
      <c r="A88" s="134" t="s">
        <v>1089</v>
      </c>
      <c r="B88" s="134" t="s">
        <v>956</v>
      </c>
      <c r="D88" s="134" t="s">
        <v>958</v>
      </c>
      <c r="E88" s="134" t="s">
        <v>1091</v>
      </c>
      <c r="F88" s="134" t="s">
        <v>1212</v>
      </c>
      <c r="G88" s="134" t="s">
        <v>48</v>
      </c>
      <c r="H88" s="134" t="s">
        <v>2</v>
      </c>
      <c r="I88" s="134" t="s">
        <v>41</v>
      </c>
      <c r="J88" s="134" t="s">
        <v>2</v>
      </c>
      <c r="K88" s="134" t="s">
        <v>4</v>
      </c>
      <c r="L88" s="135" t="s">
        <v>432</v>
      </c>
      <c r="M88" s="135"/>
      <c r="N88" s="135"/>
      <c r="O88" s="135"/>
      <c r="P88" s="134" t="s">
        <v>1288</v>
      </c>
      <c r="Q88" s="134" t="s">
        <v>2482</v>
      </c>
      <c r="R88" s="134" t="s">
        <v>1447</v>
      </c>
      <c r="S88" s="134">
        <v>24830391</v>
      </c>
      <c r="T88" s="134">
        <v>24830055</v>
      </c>
      <c r="U88" s="134" t="s">
        <v>1801</v>
      </c>
      <c r="V88" s="134" t="s">
        <v>1448</v>
      </c>
      <c r="W88" s="134"/>
      <c r="X88" s="136" t="s">
        <v>2481</v>
      </c>
      <c r="Y88" s="134"/>
      <c r="Z88" s="136" t="s">
        <v>1665</v>
      </c>
      <c r="AA88" s="136" t="s">
        <v>1755</v>
      </c>
    </row>
    <row r="89" spans="1:27">
      <c r="A89" s="134" t="s">
        <v>1088</v>
      </c>
      <c r="B89" s="134" t="s">
        <v>955</v>
      </c>
      <c r="D89" s="134" t="s">
        <v>959</v>
      </c>
      <c r="E89" s="134" t="s">
        <v>1092</v>
      </c>
      <c r="F89" s="134" t="s">
        <v>1213</v>
      </c>
      <c r="G89" s="134" t="s">
        <v>1644</v>
      </c>
      <c r="H89" s="134" t="s">
        <v>5</v>
      </c>
      <c r="I89" s="134" t="s">
        <v>40</v>
      </c>
      <c r="J89" s="134" t="s">
        <v>50</v>
      </c>
      <c r="K89" s="134" t="s">
        <v>3</v>
      </c>
      <c r="L89" s="135" t="s">
        <v>410</v>
      </c>
      <c r="M89" s="135"/>
      <c r="N89" s="135"/>
      <c r="O89" s="135"/>
      <c r="P89" s="134" t="s">
        <v>863</v>
      </c>
      <c r="Q89" s="134" t="s">
        <v>2482</v>
      </c>
      <c r="R89" s="134" t="s">
        <v>1658</v>
      </c>
      <c r="S89" s="134">
        <v>27738916</v>
      </c>
      <c r="T89" s="134"/>
      <c r="U89" s="134" t="s">
        <v>1614</v>
      </c>
      <c r="V89" s="134" t="s">
        <v>1449</v>
      </c>
      <c r="W89" s="134"/>
      <c r="X89" s="136" t="s">
        <v>2481</v>
      </c>
      <c r="Y89" s="134"/>
      <c r="Z89" s="136"/>
      <c r="AA89" s="136" t="s">
        <v>1756</v>
      </c>
    </row>
    <row r="90" spans="1:27">
      <c r="A90" s="134" t="s">
        <v>1093</v>
      </c>
      <c r="B90" s="134" t="s">
        <v>960</v>
      </c>
      <c r="D90" s="134" t="s">
        <v>960</v>
      </c>
      <c r="E90" s="134" t="s">
        <v>1093</v>
      </c>
      <c r="F90" s="134" t="s">
        <v>1214</v>
      </c>
      <c r="G90" s="134" t="s">
        <v>42</v>
      </c>
      <c r="H90" s="134" t="s">
        <v>3</v>
      </c>
      <c r="I90" s="134" t="s">
        <v>40</v>
      </c>
      <c r="J90" s="134" t="s">
        <v>4</v>
      </c>
      <c r="K90" s="134" t="s">
        <v>17</v>
      </c>
      <c r="L90" s="135" t="s">
        <v>335</v>
      </c>
      <c r="M90" s="135"/>
      <c r="N90" s="135"/>
      <c r="O90" s="135"/>
      <c r="P90" s="134" t="s">
        <v>1289</v>
      </c>
      <c r="Q90" s="134" t="s">
        <v>2482</v>
      </c>
      <c r="R90" s="134" t="s">
        <v>1450</v>
      </c>
      <c r="S90" s="134">
        <v>22702273</v>
      </c>
      <c r="T90" s="134">
        <v>22701419</v>
      </c>
      <c r="U90" s="134" t="s">
        <v>1451</v>
      </c>
      <c r="V90" s="134" t="s">
        <v>1452</v>
      </c>
      <c r="W90" s="134"/>
      <c r="X90" s="136" t="s">
        <v>2481</v>
      </c>
      <c r="Y90" s="134"/>
      <c r="Z90" s="136"/>
      <c r="AA90" s="136" t="s">
        <v>1757</v>
      </c>
    </row>
    <row r="91" spans="1:27">
      <c r="A91" s="134" t="s">
        <v>1091</v>
      </c>
      <c r="B91" s="134" t="s">
        <v>958</v>
      </c>
      <c r="D91" s="134" t="s">
        <v>119</v>
      </c>
      <c r="E91" s="141" t="s">
        <v>1572</v>
      </c>
      <c r="F91" s="134" t="s">
        <v>2542</v>
      </c>
      <c r="G91" s="134" t="s">
        <v>69</v>
      </c>
      <c r="H91" s="134" t="s">
        <v>8</v>
      </c>
      <c r="I91" s="134" t="s">
        <v>44</v>
      </c>
      <c r="J91" s="134" t="s">
        <v>2</v>
      </c>
      <c r="K91" s="134" t="s">
        <v>6</v>
      </c>
      <c r="L91" s="135" t="s">
        <v>546</v>
      </c>
      <c r="M91" s="135"/>
      <c r="N91" s="135"/>
      <c r="O91" s="135"/>
      <c r="P91" s="134" t="s">
        <v>144</v>
      </c>
      <c r="Q91" s="134" t="s">
        <v>2567</v>
      </c>
      <c r="R91" s="134" t="s">
        <v>1453</v>
      </c>
      <c r="S91" s="134">
        <v>25529600</v>
      </c>
      <c r="T91" s="134">
        <v>83841467</v>
      </c>
      <c r="U91" s="134" t="s">
        <v>2543</v>
      </c>
      <c r="V91" s="134" t="s">
        <v>2544</v>
      </c>
      <c r="W91" s="134"/>
      <c r="X91" s="136" t="s">
        <v>2481</v>
      </c>
      <c r="Y91" s="134"/>
      <c r="Z91" s="136"/>
      <c r="AA91" s="136"/>
    </row>
    <row r="92" spans="1:27">
      <c r="A92" s="134" t="s">
        <v>1092</v>
      </c>
      <c r="B92" s="134" t="s">
        <v>959</v>
      </c>
      <c r="D92" s="134" t="s">
        <v>961</v>
      </c>
      <c r="E92" s="134" t="s">
        <v>1094</v>
      </c>
      <c r="F92" s="134" t="s">
        <v>1215</v>
      </c>
      <c r="G92" s="134" t="s">
        <v>1646</v>
      </c>
      <c r="H92" s="134" t="s">
        <v>7</v>
      </c>
      <c r="I92" s="134" t="s">
        <v>40</v>
      </c>
      <c r="J92" s="134" t="s">
        <v>15</v>
      </c>
      <c r="K92" s="134" t="s">
        <v>5</v>
      </c>
      <c r="L92" s="135" t="s">
        <v>382</v>
      </c>
      <c r="M92" s="135"/>
      <c r="N92" s="135"/>
      <c r="O92" s="135"/>
      <c r="P92" s="134" t="s">
        <v>1290</v>
      </c>
      <c r="Q92" s="134" t="s">
        <v>2482</v>
      </c>
      <c r="R92" s="134" t="s">
        <v>1454</v>
      </c>
      <c r="S92" s="134">
        <v>22293801</v>
      </c>
      <c r="T92" s="134">
        <v>22293801</v>
      </c>
      <c r="U92" s="134" t="s">
        <v>1455</v>
      </c>
      <c r="V92" s="134" t="s">
        <v>2545</v>
      </c>
      <c r="W92" s="134"/>
      <c r="X92" s="136" t="s">
        <v>2481</v>
      </c>
      <c r="Y92" s="134"/>
      <c r="Z92" s="136"/>
      <c r="AA92" s="136" t="s">
        <v>1758</v>
      </c>
    </row>
    <row r="93" spans="1:27">
      <c r="A93" s="134" t="s">
        <v>1094</v>
      </c>
      <c r="B93" s="134" t="s">
        <v>961</v>
      </c>
      <c r="D93" s="134" t="s">
        <v>962</v>
      </c>
      <c r="E93" s="134" t="s">
        <v>1095</v>
      </c>
      <c r="F93" s="134" t="s">
        <v>1216</v>
      </c>
      <c r="G93" s="134" t="s">
        <v>63</v>
      </c>
      <c r="H93" s="134" t="s">
        <v>5</v>
      </c>
      <c r="I93" s="134" t="s">
        <v>62</v>
      </c>
      <c r="J93" s="134" t="s">
        <v>3</v>
      </c>
      <c r="K93" s="134" t="s">
        <v>3</v>
      </c>
      <c r="L93" s="135" t="s">
        <v>599</v>
      </c>
      <c r="M93" s="135"/>
      <c r="N93" s="135"/>
      <c r="O93" s="135"/>
      <c r="P93" s="134" t="s">
        <v>87</v>
      </c>
      <c r="Q93" s="134" t="s">
        <v>2482</v>
      </c>
      <c r="R93" s="134" t="s">
        <v>1456</v>
      </c>
      <c r="S93" s="134">
        <v>22382053</v>
      </c>
      <c r="T93" s="134">
        <v>22385053</v>
      </c>
      <c r="U93" s="134" t="s">
        <v>1802</v>
      </c>
      <c r="V93" s="134" t="s">
        <v>1457</v>
      </c>
      <c r="W93" s="134"/>
      <c r="X93" s="136" t="s">
        <v>2481</v>
      </c>
      <c r="Y93" s="134"/>
      <c r="Z93" s="136"/>
      <c r="AA93" s="136" t="s">
        <v>1759</v>
      </c>
    </row>
    <row r="94" spans="1:27">
      <c r="A94" s="134" t="s">
        <v>1097</v>
      </c>
      <c r="B94" s="134" t="s">
        <v>964</v>
      </c>
      <c r="D94" s="134" t="s">
        <v>963</v>
      </c>
      <c r="E94" s="134" t="s">
        <v>1096</v>
      </c>
      <c r="F94" s="134" t="s">
        <v>1217</v>
      </c>
      <c r="G94" s="134" t="s">
        <v>74</v>
      </c>
      <c r="H94" s="134" t="s">
        <v>6</v>
      </c>
      <c r="I94" s="134" t="s">
        <v>40</v>
      </c>
      <c r="J94" s="134" t="s">
        <v>16</v>
      </c>
      <c r="K94" s="134" t="s">
        <v>4</v>
      </c>
      <c r="L94" s="135" t="s">
        <v>386</v>
      </c>
      <c r="M94" s="135"/>
      <c r="N94" s="135"/>
      <c r="O94" s="135"/>
      <c r="P94" s="134" t="s">
        <v>88</v>
      </c>
      <c r="Q94" s="134" t="s">
        <v>2482</v>
      </c>
      <c r="R94" s="134" t="s">
        <v>1458</v>
      </c>
      <c r="S94" s="134">
        <v>24184409</v>
      </c>
      <c r="T94" s="134"/>
      <c r="U94" s="134" t="s">
        <v>1615</v>
      </c>
      <c r="V94" s="134" t="s">
        <v>1459</v>
      </c>
      <c r="W94" s="134"/>
      <c r="X94" s="136" t="s">
        <v>2481</v>
      </c>
      <c r="Y94" s="134"/>
      <c r="Z94" s="136"/>
      <c r="AA94" s="136" t="s">
        <v>1760</v>
      </c>
    </row>
    <row r="95" spans="1:27">
      <c r="A95" s="134" t="s">
        <v>1101</v>
      </c>
      <c r="B95" s="134" t="s">
        <v>968</v>
      </c>
      <c r="D95" s="134" t="s">
        <v>964</v>
      </c>
      <c r="E95" s="134" t="s">
        <v>1097</v>
      </c>
      <c r="F95" s="134" t="s">
        <v>1218</v>
      </c>
      <c r="G95" s="134" t="s">
        <v>47</v>
      </c>
      <c r="H95" s="134" t="s">
        <v>7</v>
      </c>
      <c r="I95" s="134" t="s">
        <v>41</v>
      </c>
      <c r="J95" s="134" t="s">
        <v>8</v>
      </c>
      <c r="K95" s="134" t="s">
        <v>7</v>
      </c>
      <c r="L95" s="135" t="s">
        <v>489</v>
      </c>
      <c r="M95" s="135"/>
      <c r="N95" s="135"/>
      <c r="O95" s="135"/>
      <c r="P95" s="134" t="s">
        <v>1291</v>
      </c>
      <c r="Q95" s="134" t="s">
        <v>2482</v>
      </c>
      <c r="R95" s="134" t="s">
        <v>1460</v>
      </c>
      <c r="S95" s="134">
        <v>24533107</v>
      </c>
      <c r="T95" s="134">
        <v>24533148</v>
      </c>
      <c r="U95" s="134" t="s">
        <v>1461</v>
      </c>
      <c r="V95" s="134" t="s">
        <v>2546</v>
      </c>
      <c r="W95" s="134"/>
      <c r="X95" s="136" t="s">
        <v>2481</v>
      </c>
      <c r="Y95" s="134"/>
      <c r="Z95" s="136"/>
      <c r="AA95" s="136" t="s">
        <v>1761</v>
      </c>
    </row>
    <row r="96" spans="1:27">
      <c r="A96" s="134" t="s">
        <v>1095</v>
      </c>
      <c r="B96" s="134" t="s">
        <v>962</v>
      </c>
      <c r="D96" s="134" t="s">
        <v>965</v>
      </c>
      <c r="E96" s="134" t="s">
        <v>1098</v>
      </c>
      <c r="F96" s="134" t="s">
        <v>1219</v>
      </c>
      <c r="G96" s="134" t="s">
        <v>48</v>
      </c>
      <c r="H96" s="134" t="s">
        <v>4</v>
      </c>
      <c r="I96" s="134" t="s">
        <v>41</v>
      </c>
      <c r="J96" s="134" t="s">
        <v>2</v>
      </c>
      <c r="K96" s="134" t="s">
        <v>8</v>
      </c>
      <c r="L96" s="135" t="s">
        <v>436</v>
      </c>
      <c r="M96" s="135"/>
      <c r="N96" s="135"/>
      <c r="O96" s="135"/>
      <c r="P96" s="134" t="s">
        <v>94</v>
      </c>
      <c r="Q96" s="134" t="s">
        <v>2482</v>
      </c>
      <c r="R96" s="134" t="s">
        <v>2332</v>
      </c>
      <c r="S96" s="134">
        <v>24495598</v>
      </c>
      <c r="T96" s="134">
        <v>24495598</v>
      </c>
      <c r="U96" s="134" t="s">
        <v>1462</v>
      </c>
      <c r="V96" s="134" t="s">
        <v>1834</v>
      </c>
      <c r="W96" s="134"/>
      <c r="X96" s="136" t="s">
        <v>1463</v>
      </c>
      <c r="Y96" s="134"/>
      <c r="Z96" s="136"/>
      <c r="AA96" s="136"/>
    </row>
    <row r="97" spans="1:27">
      <c r="A97" s="134" t="s">
        <v>1096</v>
      </c>
      <c r="B97" s="134" t="s">
        <v>963</v>
      </c>
      <c r="D97" s="134" t="s">
        <v>966</v>
      </c>
      <c r="E97" s="134" t="s">
        <v>1099</v>
      </c>
      <c r="F97" s="134" t="s">
        <v>1220</v>
      </c>
      <c r="G97" s="134" t="s">
        <v>48</v>
      </c>
      <c r="H97" s="134" t="s">
        <v>8</v>
      </c>
      <c r="I97" s="134" t="s">
        <v>41</v>
      </c>
      <c r="J97" s="134" t="s">
        <v>10</v>
      </c>
      <c r="K97" s="134" t="s">
        <v>4</v>
      </c>
      <c r="L97" s="135" t="s">
        <v>493</v>
      </c>
      <c r="M97" s="135"/>
      <c r="N97" s="135"/>
      <c r="O97" s="135"/>
      <c r="P97" s="134" t="s">
        <v>57</v>
      </c>
      <c r="Q97" s="134" t="s">
        <v>2482</v>
      </c>
      <c r="R97" s="134" t="s">
        <v>1464</v>
      </c>
      <c r="S97" s="134">
        <v>21006431</v>
      </c>
      <c r="T97" s="134">
        <v>24383132</v>
      </c>
      <c r="U97" s="134" t="s">
        <v>1616</v>
      </c>
      <c r="V97" s="134" t="s">
        <v>1465</v>
      </c>
      <c r="W97" s="134"/>
      <c r="X97" s="136" t="s">
        <v>2481</v>
      </c>
      <c r="Y97" s="134"/>
      <c r="Z97" s="136"/>
      <c r="AA97" s="136"/>
    </row>
    <row r="98" spans="1:27">
      <c r="A98" s="134" t="s">
        <v>1100</v>
      </c>
      <c r="B98" s="134" t="s">
        <v>967</v>
      </c>
      <c r="D98" s="134" t="s">
        <v>967</v>
      </c>
      <c r="E98" s="134" t="s">
        <v>1100</v>
      </c>
      <c r="F98" s="134" t="s">
        <v>1221</v>
      </c>
      <c r="G98" s="134" t="s">
        <v>48</v>
      </c>
      <c r="H98" s="134" t="s">
        <v>7</v>
      </c>
      <c r="I98" s="134" t="s">
        <v>41</v>
      </c>
      <c r="J98" s="134" t="s">
        <v>4</v>
      </c>
      <c r="K98" s="134" t="s">
        <v>10</v>
      </c>
      <c r="L98" s="135" t="s">
        <v>463</v>
      </c>
      <c r="M98" s="135"/>
      <c r="N98" s="135"/>
      <c r="O98" s="135"/>
      <c r="P98" s="134" t="s">
        <v>46</v>
      </c>
      <c r="Q98" s="134" t="s">
        <v>2482</v>
      </c>
      <c r="R98" s="134" t="s">
        <v>1466</v>
      </c>
      <c r="S98" s="134">
        <v>24941493</v>
      </c>
      <c r="T98" s="134">
        <v>24941493</v>
      </c>
      <c r="U98" s="134" t="s">
        <v>1467</v>
      </c>
      <c r="V98" s="134" t="s">
        <v>1468</v>
      </c>
      <c r="W98" s="134"/>
      <c r="X98" s="136" t="s">
        <v>2481</v>
      </c>
      <c r="Y98" s="134"/>
      <c r="Z98" s="136"/>
      <c r="AA98" s="136"/>
    </row>
    <row r="99" spans="1:27">
      <c r="A99" s="134" t="s">
        <v>1098</v>
      </c>
      <c r="B99" s="134" t="s">
        <v>965</v>
      </c>
      <c r="D99" s="134" t="s">
        <v>968</v>
      </c>
      <c r="E99" s="134" t="s">
        <v>1101</v>
      </c>
      <c r="F99" s="134" t="s">
        <v>1222</v>
      </c>
      <c r="G99" s="134" t="s">
        <v>69</v>
      </c>
      <c r="H99" s="134" t="s">
        <v>3</v>
      </c>
      <c r="I99" s="134" t="s">
        <v>44</v>
      </c>
      <c r="J99" s="134" t="s">
        <v>2</v>
      </c>
      <c r="K99" s="134" t="s">
        <v>11</v>
      </c>
      <c r="L99" s="135" t="s">
        <v>550</v>
      </c>
      <c r="M99" s="135"/>
      <c r="N99" s="135"/>
      <c r="O99" s="135"/>
      <c r="P99" s="134" t="s">
        <v>86</v>
      </c>
      <c r="Q99" s="134" t="s">
        <v>2482</v>
      </c>
      <c r="R99" s="134" t="s">
        <v>1469</v>
      </c>
      <c r="S99" s="134">
        <v>25536190</v>
      </c>
      <c r="T99" s="134">
        <v>25536190</v>
      </c>
      <c r="U99" s="134" t="s">
        <v>1470</v>
      </c>
      <c r="V99" s="134" t="s">
        <v>2297</v>
      </c>
      <c r="W99" s="134"/>
      <c r="X99" s="136" t="s">
        <v>2481</v>
      </c>
      <c r="Y99" s="134"/>
      <c r="Z99" s="136"/>
      <c r="AA99" s="136" t="s">
        <v>1762</v>
      </c>
    </row>
    <row r="100" spans="1:27">
      <c r="A100" s="134" t="s">
        <v>1099</v>
      </c>
      <c r="B100" s="134" t="s">
        <v>966</v>
      </c>
      <c r="D100" s="134" t="s">
        <v>969</v>
      </c>
      <c r="E100" s="134" t="s">
        <v>1102</v>
      </c>
      <c r="F100" s="134" t="s">
        <v>1223</v>
      </c>
      <c r="G100" s="134" t="s">
        <v>48</v>
      </c>
      <c r="H100" s="134" t="s">
        <v>10</v>
      </c>
      <c r="I100" s="134" t="s">
        <v>41</v>
      </c>
      <c r="J100" s="134" t="s">
        <v>6</v>
      </c>
      <c r="K100" s="134" t="s">
        <v>8</v>
      </c>
      <c r="L100" s="135" t="s">
        <v>474</v>
      </c>
      <c r="M100" s="135"/>
      <c r="N100" s="135"/>
      <c r="O100" s="135"/>
      <c r="P100" s="134" t="s">
        <v>126</v>
      </c>
      <c r="Q100" s="134" t="s">
        <v>2482</v>
      </c>
      <c r="R100" s="134" t="s">
        <v>2547</v>
      </c>
      <c r="S100" s="134">
        <v>24460703</v>
      </c>
      <c r="T100" s="134">
        <v>24460703</v>
      </c>
      <c r="U100" s="134" t="s">
        <v>1803</v>
      </c>
      <c r="V100" s="134" t="s">
        <v>1471</v>
      </c>
      <c r="W100" s="134"/>
      <c r="X100" s="136" t="s">
        <v>2481</v>
      </c>
      <c r="Y100" s="134"/>
      <c r="Z100" s="136"/>
      <c r="AA100" s="136"/>
    </row>
    <row r="101" spans="1:27">
      <c r="A101" s="134" t="s">
        <v>1110</v>
      </c>
      <c r="B101" s="134" t="s">
        <v>977</v>
      </c>
      <c r="D101" s="134" t="s">
        <v>970</v>
      </c>
      <c r="E101" s="134" t="s">
        <v>1103</v>
      </c>
      <c r="F101" s="134" t="s">
        <v>1224</v>
      </c>
      <c r="G101" s="134" t="s">
        <v>103</v>
      </c>
      <c r="H101" s="134" t="s">
        <v>3</v>
      </c>
      <c r="I101" s="134" t="s">
        <v>40</v>
      </c>
      <c r="J101" s="134" t="s">
        <v>104</v>
      </c>
      <c r="K101" s="134" t="s">
        <v>2</v>
      </c>
      <c r="L101" s="135" t="s">
        <v>413</v>
      </c>
      <c r="M101" s="135"/>
      <c r="N101" s="135"/>
      <c r="O101" s="135"/>
      <c r="P101" s="134" t="s">
        <v>1292</v>
      </c>
      <c r="Q101" s="134" t="s">
        <v>2482</v>
      </c>
      <c r="R101" s="134" t="s">
        <v>2298</v>
      </c>
      <c r="S101" s="134">
        <v>27714243</v>
      </c>
      <c r="T101" s="134"/>
      <c r="U101" s="134" t="s">
        <v>1659</v>
      </c>
      <c r="V101" s="134" t="s">
        <v>1472</v>
      </c>
      <c r="W101" s="134"/>
      <c r="X101" s="136" t="s">
        <v>1473</v>
      </c>
      <c r="Y101" s="134"/>
      <c r="Z101" s="136"/>
      <c r="AA101" s="136" t="s">
        <v>2357</v>
      </c>
    </row>
    <row r="102" spans="1:27">
      <c r="A102" s="134" t="s">
        <v>1111</v>
      </c>
      <c r="B102" s="134" t="s">
        <v>978</v>
      </c>
      <c r="D102" s="134" t="s">
        <v>971</v>
      </c>
      <c r="E102" s="134" t="s">
        <v>1104</v>
      </c>
      <c r="F102" s="134" t="s">
        <v>1225</v>
      </c>
      <c r="G102" s="134" t="s">
        <v>69</v>
      </c>
      <c r="H102" s="134" t="s">
        <v>6</v>
      </c>
      <c r="I102" s="134" t="s">
        <v>44</v>
      </c>
      <c r="J102" s="134" t="s">
        <v>3</v>
      </c>
      <c r="K102" s="134" t="s">
        <v>6</v>
      </c>
      <c r="L102" s="135" t="s">
        <v>557</v>
      </c>
      <c r="M102" s="135"/>
      <c r="N102" s="135"/>
      <c r="O102" s="135"/>
      <c r="P102" s="134" t="s">
        <v>136</v>
      </c>
      <c r="Q102" s="134" t="s">
        <v>2482</v>
      </c>
      <c r="R102" s="134" t="s">
        <v>1474</v>
      </c>
      <c r="S102" s="134">
        <v>25745990</v>
      </c>
      <c r="T102" s="134">
        <v>25745990</v>
      </c>
      <c r="U102" s="134" t="s">
        <v>1475</v>
      </c>
      <c r="V102" s="134" t="s">
        <v>2548</v>
      </c>
      <c r="W102" s="134"/>
      <c r="X102" s="136" t="s">
        <v>2481</v>
      </c>
      <c r="Y102" s="134"/>
      <c r="Z102" s="136"/>
      <c r="AA102" s="136" t="s">
        <v>1763</v>
      </c>
    </row>
    <row r="103" spans="1:27">
      <c r="A103" s="134" t="s">
        <v>1112</v>
      </c>
      <c r="B103" s="134" t="s">
        <v>979</v>
      </c>
      <c r="D103" s="134" t="s">
        <v>972</v>
      </c>
      <c r="E103" s="134" t="s">
        <v>1105</v>
      </c>
      <c r="F103" s="134" t="s">
        <v>1226</v>
      </c>
      <c r="G103" s="134" t="s">
        <v>1646</v>
      </c>
      <c r="H103" s="134" t="s">
        <v>6</v>
      </c>
      <c r="I103" s="134" t="s">
        <v>40</v>
      </c>
      <c r="J103" s="134" t="s">
        <v>65</v>
      </c>
      <c r="K103" s="134" t="s">
        <v>3</v>
      </c>
      <c r="L103" s="135" t="s">
        <v>395</v>
      </c>
      <c r="M103" s="135"/>
      <c r="N103" s="135"/>
      <c r="O103" s="135"/>
      <c r="P103" s="134" t="s">
        <v>76</v>
      </c>
      <c r="Q103" s="134" t="s">
        <v>2482</v>
      </c>
      <c r="R103" s="134" t="s">
        <v>2355</v>
      </c>
      <c r="S103" s="134">
        <v>22947119</v>
      </c>
      <c r="T103" s="134"/>
      <c r="U103" s="134" t="s">
        <v>1476</v>
      </c>
      <c r="V103" s="134" t="s">
        <v>1477</v>
      </c>
      <c r="W103" s="134"/>
      <c r="X103" s="136" t="s">
        <v>2481</v>
      </c>
      <c r="Y103" s="134"/>
      <c r="Z103" s="136"/>
      <c r="AA103" s="136" t="s">
        <v>1764</v>
      </c>
    </row>
    <row r="104" spans="1:27">
      <c r="A104" s="134" t="s">
        <v>1106</v>
      </c>
      <c r="B104" s="134" t="s">
        <v>973</v>
      </c>
      <c r="D104" s="134" t="s">
        <v>973</v>
      </c>
      <c r="E104" s="134" t="s">
        <v>1106</v>
      </c>
      <c r="F104" s="134" t="s">
        <v>2299</v>
      </c>
      <c r="G104" s="134" t="s">
        <v>42</v>
      </c>
      <c r="H104" s="134" t="s">
        <v>2</v>
      </c>
      <c r="I104" s="134" t="s">
        <v>40</v>
      </c>
      <c r="J104" s="134" t="s">
        <v>4</v>
      </c>
      <c r="K104" s="134" t="s">
        <v>8</v>
      </c>
      <c r="L104" s="135" t="s">
        <v>329</v>
      </c>
      <c r="M104" s="135"/>
      <c r="N104" s="135"/>
      <c r="O104" s="135"/>
      <c r="P104" s="134" t="s">
        <v>82</v>
      </c>
      <c r="Q104" s="134" t="s">
        <v>2482</v>
      </c>
      <c r="R104" s="134" t="s">
        <v>1617</v>
      </c>
      <c r="S104" s="134">
        <v>22743185</v>
      </c>
      <c r="T104" s="134">
        <v>22743185</v>
      </c>
      <c r="U104" s="134" t="s">
        <v>1835</v>
      </c>
      <c r="V104" s="134" t="s">
        <v>1618</v>
      </c>
      <c r="W104" s="134"/>
      <c r="X104" s="136" t="s">
        <v>1478</v>
      </c>
      <c r="Y104" s="134"/>
      <c r="Z104" s="136"/>
      <c r="AA104" s="136"/>
    </row>
    <row r="105" spans="1:27">
      <c r="A105" s="134" t="s">
        <v>1107</v>
      </c>
      <c r="B105" s="134" t="s">
        <v>974</v>
      </c>
      <c r="D105" s="134" t="s">
        <v>974</v>
      </c>
      <c r="E105" s="134" t="s">
        <v>1107</v>
      </c>
      <c r="F105" s="134" t="s">
        <v>1227</v>
      </c>
      <c r="G105" s="134" t="s">
        <v>1646</v>
      </c>
      <c r="H105" s="134" t="s">
        <v>3</v>
      </c>
      <c r="I105" s="134" t="s">
        <v>40</v>
      </c>
      <c r="J105" s="134" t="s">
        <v>10</v>
      </c>
      <c r="K105" s="134" t="s">
        <v>8</v>
      </c>
      <c r="L105" s="135" t="s">
        <v>367</v>
      </c>
      <c r="M105" s="135"/>
      <c r="N105" s="135"/>
      <c r="O105" s="135"/>
      <c r="P105" s="134" t="s">
        <v>96</v>
      </c>
      <c r="Q105" s="134" t="s">
        <v>2482</v>
      </c>
      <c r="R105" s="134" t="s">
        <v>1836</v>
      </c>
      <c r="S105" s="134">
        <v>22451046</v>
      </c>
      <c r="T105" s="134"/>
      <c r="U105" s="134" t="s">
        <v>1479</v>
      </c>
      <c r="V105" s="134" t="s">
        <v>1660</v>
      </c>
      <c r="W105" s="134"/>
      <c r="X105" s="136" t="s">
        <v>1480</v>
      </c>
      <c r="Y105" s="134"/>
      <c r="Z105" s="136" t="s">
        <v>1665</v>
      </c>
      <c r="AA105" s="136" t="s">
        <v>1765</v>
      </c>
    </row>
    <row r="106" spans="1:27">
      <c r="A106" s="134" t="s">
        <v>1105</v>
      </c>
      <c r="B106" s="134" t="s">
        <v>972</v>
      </c>
      <c r="D106" s="134" t="s">
        <v>975</v>
      </c>
      <c r="E106" s="134" t="s">
        <v>1108</v>
      </c>
      <c r="F106" s="134" t="s">
        <v>1228</v>
      </c>
      <c r="G106" s="134" t="s">
        <v>69</v>
      </c>
      <c r="H106" s="134" t="s">
        <v>5</v>
      </c>
      <c r="I106" s="134" t="s">
        <v>44</v>
      </c>
      <c r="J106" s="134" t="s">
        <v>8</v>
      </c>
      <c r="K106" s="134" t="s">
        <v>2</v>
      </c>
      <c r="L106" s="135" t="s">
        <v>584</v>
      </c>
      <c r="M106" s="135"/>
      <c r="N106" s="135"/>
      <c r="O106" s="135"/>
      <c r="P106" s="134" t="s">
        <v>56</v>
      </c>
      <c r="Q106" s="134" t="s">
        <v>2482</v>
      </c>
      <c r="R106" s="134" t="s">
        <v>1619</v>
      </c>
      <c r="S106" s="134">
        <v>25517316</v>
      </c>
      <c r="T106" s="134">
        <v>25514409</v>
      </c>
      <c r="U106" s="134" t="s">
        <v>1481</v>
      </c>
      <c r="V106" s="134" t="s">
        <v>2549</v>
      </c>
      <c r="W106" s="134"/>
      <c r="X106" s="136" t="s">
        <v>2481</v>
      </c>
      <c r="Y106" s="134"/>
      <c r="Z106" s="136"/>
      <c r="AA106" s="136"/>
    </row>
    <row r="107" spans="1:27">
      <c r="A107" s="134" t="s">
        <v>1113</v>
      </c>
      <c r="B107" s="134" t="s">
        <v>980</v>
      </c>
      <c r="D107" s="134" t="s">
        <v>976</v>
      </c>
      <c r="E107" s="134" t="s">
        <v>1109</v>
      </c>
      <c r="F107" s="134" t="s">
        <v>1229</v>
      </c>
      <c r="G107" s="134" t="s">
        <v>47</v>
      </c>
      <c r="H107" s="134" t="s">
        <v>6</v>
      </c>
      <c r="I107" s="134" t="s">
        <v>41</v>
      </c>
      <c r="J107" s="134" t="s">
        <v>7</v>
      </c>
      <c r="K107" s="134" t="s">
        <v>8</v>
      </c>
      <c r="L107" s="135" t="s">
        <v>482</v>
      </c>
      <c r="M107" s="135"/>
      <c r="N107" s="135"/>
      <c r="O107" s="135"/>
      <c r="P107" s="134" t="s">
        <v>1293</v>
      </c>
      <c r="Q107" s="134" t="s">
        <v>2482</v>
      </c>
      <c r="R107" s="134" t="s">
        <v>1661</v>
      </c>
      <c r="S107" s="134">
        <v>24510404</v>
      </c>
      <c r="T107" s="134">
        <v>24511819</v>
      </c>
      <c r="U107" s="134" t="s">
        <v>1620</v>
      </c>
      <c r="V107" s="134" t="s">
        <v>2550</v>
      </c>
      <c r="W107" s="134"/>
      <c r="X107" s="136" t="s">
        <v>2481</v>
      </c>
      <c r="Y107" s="134"/>
      <c r="Z107" s="136"/>
      <c r="AA107" s="136" t="s">
        <v>1766</v>
      </c>
    </row>
    <row r="108" spans="1:27">
      <c r="A108" s="134" t="s">
        <v>1116</v>
      </c>
      <c r="B108" s="134" t="s">
        <v>983</v>
      </c>
      <c r="D108" s="134" t="s">
        <v>977</v>
      </c>
      <c r="E108" s="134" t="s">
        <v>1110</v>
      </c>
      <c r="F108" s="134" t="s">
        <v>2551</v>
      </c>
      <c r="G108" s="134" t="s">
        <v>63</v>
      </c>
      <c r="H108" s="134" t="s">
        <v>7</v>
      </c>
      <c r="I108" s="134" t="s">
        <v>62</v>
      </c>
      <c r="J108" s="134" t="s">
        <v>7</v>
      </c>
      <c r="K108" s="134" t="s">
        <v>3</v>
      </c>
      <c r="L108" s="135" t="s">
        <v>624</v>
      </c>
      <c r="M108" s="135"/>
      <c r="N108" s="135"/>
      <c r="O108" s="135"/>
      <c r="P108" s="134" t="s">
        <v>51</v>
      </c>
      <c r="Q108" s="134" t="s">
        <v>2482</v>
      </c>
      <c r="R108" s="134" t="s">
        <v>2552</v>
      </c>
      <c r="S108" s="134">
        <v>22685475</v>
      </c>
      <c r="T108" s="134">
        <v>22685475</v>
      </c>
      <c r="U108" s="134" t="s">
        <v>1662</v>
      </c>
      <c r="V108" s="134" t="s">
        <v>1482</v>
      </c>
      <c r="W108" s="134"/>
      <c r="X108" s="136" t="s">
        <v>2481</v>
      </c>
      <c r="Y108" s="134"/>
      <c r="Z108" s="136"/>
      <c r="AA108" s="136" t="s">
        <v>1767</v>
      </c>
    </row>
    <row r="109" spans="1:27">
      <c r="A109" s="134" t="s">
        <v>1103</v>
      </c>
      <c r="B109" s="134" t="s">
        <v>970</v>
      </c>
      <c r="D109" s="134" t="s">
        <v>978</v>
      </c>
      <c r="E109" s="134" t="s">
        <v>1111</v>
      </c>
      <c r="F109" s="134" t="s">
        <v>1230</v>
      </c>
      <c r="G109" s="134" t="s">
        <v>63</v>
      </c>
      <c r="H109" s="134" t="s">
        <v>6</v>
      </c>
      <c r="I109" s="134" t="s">
        <v>62</v>
      </c>
      <c r="J109" s="134" t="s">
        <v>4</v>
      </c>
      <c r="K109" s="134" t="s">
        <v>7</v>
      </c>
      <c r="L109" s="135" t="s">
        <v>609</v>
      </c>
      <c r="M109" s="135"/>
      <c r="N109" s="135"/>
      <c r="O109" s="135"/>
      <c r="P109" s="134" t="s">
        <v>106</v>
      </c>
      <c r="Q109" s="134" t="s">
        <v>2482</v>
      </c>
      <c r="R109" s="134" t="s">
        <v>2300</v>
      </c>
      <c r="S109" s="134">
        <v>22443190</v>
      </c>
      <c r="T109" s="134">
        <v>22443190</v>
      </c>
      <c r="U109" s="134" t="s">
        <v>1483</v>
      </c>
      <c r="V109" s="134" t="s">
        <v>2301</v>
      </c>
      <c r="W109" s="134"/>
      <c r="X109" s="136" t="s">
        <v>2481</v>
      </c>
      <c r="Y109" s="134"/>
      <c r="Z109" s="136"/>
      <c r="AA109" s="136" t="s">
        <v>1768</v>
      </c>
    </row>
    <row r="110" spans="1:27">
      <c r="A110" s="134" t="s">
        <v>1108</v>
      </c>
      <c r="B110" s="134" t="s">
        <v>975</v>
      </c>
      <c r="D110" s="134" t="s">
        <v>979</v>
      </c>
      <c r="E110" s="134" t="s">
        <v>1112</v>
      </c>
      <c r="F110" s="134" t="s">
        <v>1231</v>
      </c>
      <c r="G110" s="134" t="s">
        <v>63</v>
      </c>
      <c r="H110" s="134" t="s">
        <v>3</v>
      </c>
      <c r="I110" s="134" t="s">
        <v>62</v>
      </c>
      <c r="J110" s="134" t="s">
        <v>2</v>
      </c>
      <c r="K110" s="134" t="s">
        <v>3</v>
      </c>
      <c r="L110" s="135" t="s">
        <v>594</v>
      </c>
      <c r="M110" s="135"/>
      <c r="N110" s="135"/>
      <c r="O110" s="135"/>
      <c r="P110" s="134" t="s">
        <v>97</v>
      </c>
      <c r="Q110" s="134" t="s">
        <v>2482</v>
      </c>
      <c r="R110" s="134" t="s">
        <v>1484</v>
      </c>
      <c r="S110" s="134">
        <v>22605090</v>
      </c>
      <c r="T110" s="134">
        <v>22617445</v>
      </c>
      <c r="U110" s="134" t="s">
        <v>1485</v>
      </c>
      <c r="V110" s="134" t="s">
        <v>2302</v>
      </c>
      <c r="W110" s="134"/>
      <c r="X110" s="136" t="s">
        <v>2481</v>
      </c>
      <c r="Y110" s="134"/>
      <c r="Z110" s="136"/>
      <c r="AA110" s="136"/>
    </row>
    <row r="111" spans="1:27">
      <c r="A111" s="134" t="s">
        <v>1104</v>
      </c>
      <c r="B111" s="134" t="s">
        <v>971</v>
      </c>
      <c r="D111" s="134" t="s">
        <v>980</v>
      </c>
      <c r="E111" s="134" t="s">
        <v>1113</v>
      </c>
      <c r="F111" s="134" t="s">
        <v>1232</v>
      </c>
      <c r="G111" s="134" t="s">
        <v>1645</v>
      </c>
      <c r="H111" s="134" t="s">
        <v>3</v>
      </c>
      <c r="I111" s="134" t="s">
        <v>40</v>
      </c>
      <c r="J111" s="134" t="s">
        <v>2</v>
      </c>
      <c r="K111" s="134" t="s">
        <v>11</v>
      </c>
      <c r="L111" s="135" t="s">
        <v>317</v>
      </c>
      <c r="M111" s="135"/>
      <c r="N111" s="135"/>
      <c r="O111" s="135"/>
      <c r="P111" s="134" t="s">
        <v>1294</v>
      </c>
      <c r="Q111" s="134" t="s">
        <v>2482</v>
      </c>
      <c r="R111" s="134" t="s">
        <v>2303</v>
      </c>
      <c r="S111" s="134">
        <v>22962805</v>
      </c>
      <c r="T111" s="134">
        <v>22962807</v>
      </c>
      <c r="U111" s="134" t="s">
        <v>1486</v>
      </c>
      <c r="V111" s="134" t="s">
        <v>2553</v>
      </c>
      <c r="W111" s="134"/>
      <c r="X111" s="136" t="s">
        <v>2481</v>
      </c>
      <c r="Y111" s="134"/>
      <c r="Z111" s="136"/>
      <c r="AA111" s="136" t="s">
        <v>1769</v>
      </c>
    </row>
    <row r="112" spans="1:27">
      <c r="A112" s="134" t="s">
        <v>1114</v>
      </c>
      <c r="B112" s="134" t="s">
        <v>981</v>
      </c>
      <c r="D112" s="134" t="s">
        <v>981</v>
      </c>
      <c r="E112" s="134" t="s">
        <v>1114</v>
      </c>
      <c r="F112" s="134" t="s">
        <v>1233</v>
      </c>
      <c r="G112" s="134" t="s">
        <v>47</v>
      </c>
      <c r="H112" s="134" t="s">
        <v>2</v>
      </c>
      <c r="I112" s="134" t="s">
        <v>41</v>
      </c>
      <c r="J112" s="134" t="s">
        <v>3</v>
      </c>
      <c r="K112" s="134" t="s">
        <v>7</v>
      </c>
      <c r="L112" s="135" t="s">
        <v>449</v>
      </c>
      <c r="M112" s="135"/>
      <c r="N112" s="135"/>
      <c r="O112" s="135"/>
      <c r="P112" s="134" t="s">
        <v>1295</v>
      </c>
      <c r="Q112" s="134" t="s">
        <v>2482</v>
      </c>
      <c r="R112" s="134" t="s">
        <v>1487</v>
      </c>
      <c r="S112" s="134">
        <v>24450793</v>
      </c>
      <c r="T112" s="134">
        <v>24450793</v>
      </c>
      <c r="U112" s="134" t="s">
        <v>1621</v>
      </c>
      <c r="V112" s="134" t="s">
        <v>1488</v>
      </c>
      <c r="W112" s="134"/>
      <c r="X112" s="136" t="s">
        <v>2481</v>
      </c>
      <c r="Y112" s="134"/>
      <c r="Z112" s="136"/>
      <c r="AA112" s="136" t="s">
        <v>1770</v>
      </c>
    </row>
    <row r="113" spans="1:27">
      <c r="A113" s="134" t="s">
        <v>1109</v>
      </c>
      <c r="B113" s="134" t="s">
        <v>976</v>
      </c>
      <c r="D113" s="134" t="s">
        <v>982</v>
      </c>
      <c r="E113" s="134" t="s">
        <v>1115</v>
      </c>
      <c r="F113" s="134" t="s">
        <v>1234</v>
      </c>
      <c r="G113" s="134" t="s">
        <v>114</v>
      </c>
      <c r="H113" s="134" t="s">
        <v>2</v>
      </c>
      <c r="I113" s="134" t="s">
        <v>68</v>
      </c>
      <c r="J113" s="134" t="s">
        <v>7</v>
      </c>
      <c r="K113" s="134" t="s">
        <v>2</v>
      </c>
      <c r="L113" s="135" t="s">
        <v>669</v>
      </c>
      <c r="M113" s="135"/>
      <c r="N113" s="135"/>
      <c r="O113" s="135"/>
      <c r="P113" s="134" t="s">
        <v>114</v>
      </c>
      <c r="Q113" s="134" t="s">
        <v>2482</v>
      </c>
      <c r="R113" s="134" t="s">
        <v>1489</v>
      </c>
      <c r="S113" s="134">
        <v>26689015</v>
      </c>
      <c r="T113" s="134">
        <v>26687232</v>
      </c>
      <c r="U113" s="134" t="s">
        <v>1490</v>
      </c>
      <c r="V113" s="134" t="s">
        <v>2352</v>
      </c>
      <c r="W113" s="134"/>
      <c r="X113" s="136" t="s">
        <v>2481</v>
      </c>
      <c r="Y113" s="134"/>
      <c r="Z113" s="136"/>
      <c r="AA113" s="136" t="s">
        <v>1771</v>
      </c>
    </row>
    <row r="114" spans="1:27">
      <c r="A114" s="134" t="s">
        <v>1102</v>
      </c>
      <c r="B114" s="134" t="s">
        <v>969</v>
      </c>
      <c r="D114" s="134" t="s">
        <v>983</v>
      </c>
      <c r="E114" s="134" t="s">
        <v>1116</v>
      </c>
      <c r="F114" s="134" t="s">
        <v>1235</v>
      </c>
      <c r="G114" s="134" t="s">
        <v>42</v>
      </c>
      <c r="H114" s="134" t="s">
        <v>4</v>
      </c>
      <c r="I114" s="134" t="s">
        <v>40</v>
      </c>
      <c r="J114" s="134" t="s">
        <v>7</v>
      </c>
      <c r="K114" s="134" t="s">
        <v>8</v>
      </c>
      <c r="L114" s="135" t="s">
        <v>354</v>
      </c>
      <c r="M114" s="135"/>
      <c r="N114" s="135"/>
      <c r="O114" s="135"/>
      <c r="P114" s="134" t="s">
        <v>82</v>
      </c>
      <c r="Q114" s="134" t="s">
        <v>2482</v>
      </c>
      <c r="R114" s="134" t="s">
        <v>2353</v>
      </c>
      <c r="S114" s="134">
        <v>22305222</v>
      </c>
      <c r="T114" s="134">
        <v>22305222</v>
      </c>
      <c r="U114" s="134" t="s">
        <v>1837</v>
      </c>
      <c r="V114" s="134" t="s">
        <v>1491</v>
      </c>
      <c r="W114" s="134"/>
      <c r="X114" s="136" t="s">
        <v>2481</v>
      </c>
      <c r="Y114" s="134"/>
      <c r="Z114" s="136"/>
      <c r="AA114" s="136" t="s">
        <v>1772</v>
      </c>
    </row>
    <row r="115" spans="1:27">
      <c r="A115" s="134" t="s">
        <v>1115</v>
      </c>
      <c r="B115" s="134" t="s">
        <v>982</v>
      </c>
      <c r="D115" s="134" t="s">
        <v>984</v>
      </c>
      <c r="E115" s="134" t="s">
        <v>1117</v>
      </c>
      <c r="F115" s="134" t="s">
        <v>1236</v>
      </c>
      <c r="G115" s="134" t="s">
        <v>74</v>
      </c>
      <c r="H115" s="134" t="s">
        <v>6</v>
      </c>
      <c r="I115" s="134" t="s">
        <v>40</v>
      </c>
      <c r="J115" s="134" t="s">
        <v>8</v>
      </c>
      <c r="K115" s="134" t="s">
        <v>2</v>
      </c>
      <c r="L115" s="135" t="s">
        <v>355</v>
      </c>
      <c r="M115" s="135"/>
      <c r="N115" s="135"/>
      <c r="O115" s="135"/>
      <c r="P115" s="134" t="s">
        <v>101</v>
      </c>
      <c r="Q115" s="134" t="s">
        <v>2482</v>
      </c>
      <c r="R115" s="134" t="s">
        <v>1492</v>
      </c>
      <c r="S115" s="134">
        <v>22490215</v>
      </c>
      <c r="T115" s="134"/>
      <c r="U115" s="134" t="s">
        <v>1493</v>
      </c>
      <c r="V115" s="134" t="s">
        <v>1805</v>
      </c>
      <c r="W115" s="134"/>
      <c r="X115" s="136" t="s">
        <v>2481</v>
      </c>
      <c r="Y115" s="134"/>
      <c r="Z115" s="136"/>
      <c r="AA115" s="136"/>
    </row>
    <row r="116" spans="1:27">
      <c r="A116" s="134" t="s">
        <v>1120</v>
      </c>
      <c r="B116" s="134" t="s">
        <v>987</v>
      </c>
      <c r="D116" s="134" t="s">
        <v>985</v>
      </c>
      <c r="E116" s="134" t="s">
        <v>1118</v>
      </c>
      <c r="F116" s="134" t="s">
        <v>1237</v>
      </c>
      <c r="G116" s="134" t="s">
        <v>54</v>
      </c>
      <c r="H116" s="134" t="s">
        <v>8</v>
      </c>
      <c r="I116" s="134" t="s">
        <v>53</v>
      </c>
      <c r="J116" s="134" t="s">
        <v>3</v>
      </c>
      <c r="K116" s="134" t="s">
        <v>5</v>
      </c>
      <c r="L116" s="135" t="s">
        <v>716</v>
      </c>
      <c r="M116" s="135"/>
      <c r="N116" s="135"/>
      <c r="O116" s="135"/>
      <c r="P116" s="134" t="s">
        <v>1296</v>
      </c>
      <c r="Q116" s="134" t="s">
        <v>2482</v>
      </c>
      <c r="R116" s="134" t="s">
        <v>1494</v>
      </c>
      <c r="S116" s="134">
        <v>26355524</v>
      </c>
      <c r="T116" s="134">
        <v>26355524</v>
      </c>
      <c r="U116" s="134" t="s">
        <v>1622</v>
      </c>
      <c r="V116" s="134" t="s">
        <v>1495</v>
      </c>
      <c r="W116" s="134"/>
      <c r="X116" s="136" t="s">
        <v>2481</v>
      </c>
      <c r="Y116" s="134"/>
      <c r="Z116" s="136"/>
      <c r="AA116" s="136"/>
    </row>
    <row r="117" spans="1:27">
      <c r="A117" s="134" t="s">
        <v>1117</v>
      </c>
      <c r="B117" s="134" t="s">
        <v>984</v>
      </c>
      <c r="D117" s="134" t="s">
        <v>986</v>
      </c>
      <c r="E117" s="134" t="s">
        <v>1119</v>
      </c>
      <c r="F117" s="134" t="s">
        <v>1238</v>
      </c>
      <c r="G117" s="134" t="s">
        <v>47</v>
      </c>
      <c r="H117" s="134" t="s">
        <v>8</v>
      </c>
      <c r="I117" s="134" t="s">
        <v>41</v>
      </c>
      <c r="J117" s="134" t="s">
        <v>15</v>
      </c>
      <c r="K117" s="134" t="s">
        <v>2</v>
      </c>
      <c r="L117" s="135" t="s">
        <v>514</v>
      </c>
      <c r="M117" s="135"/>
      <c r="N117" s="135"/>
      <c r="O117" s="135"/>
      <c r="P117" s="134" t="s">
        <v>84</v>
      </c>
      <c r="Q117" s="134" t="s">
        <v>2482</v>
      </c>
      <c r="R117" s="134" t="s">
        <v>1496</v>
      </c>
      <c r="S117" s="134">
        <v>24631213</v>
      </c>
      <c r="T117" s="134">
        <v>24631213</v>
      </c>
      <c r="U117" s="134" t="s">
        <v>1497</v>
      </c>
      <c r="V117" s="134" t="s">
        <v>2554</v>
      </c>
      <c r="W117" s="134"/>
      <c r="X117" s="136" t="s">
        <v>2481</v>
      </c>
      <c r="Y117" s="134"/>
      <c r="Z117" s="136"/>
      <c r="AA117" s="136"/>
    </row>
    <row r="118" spans="1:27">
      <c r="A118" s="134" t="s">
        <v>1119</v>
      </c>
      <c r="B118" s="134" t="s">
        <v>986</v>
      </c>
      <c r="D118" s="134" t="s">
        <v>987</v>
      </c>
      <c r="E118" s="134" t="s">
        <v>1120</v>
      </c>
      <c r="F118" s="134" t="s">
        <v>1239</v>
      </c>
      <c r="G118" s="134" t="s">
        <v>48</v>
      </c>
      <c r="H118" s="134" t="s">
        <v>10</v>
      </c>
      <c r="I118" s="134" t="s">
        <v>41</v>
      </c>
      <c r="J118" s="134" t="s">
        <v>6</v>
      </c>
      <c r="K118" s="134" t="s">
        <v>2</v>
      </c>
      <c r="L118" s="135" t="s">
        <v>468</v>
      </c>
      <c r="M118" s="135"/>
      <c r="N118" s="135"/>
      <c r="O118" s="135"/>
      <c r="P118" s="134" t="s">
        <v>125</v>
      </c>
      <c r="Q118" s="134" t="s">
        <v>2482</v>
      </c>
      <c r="R118" s="134" t="s">
        <v>2555</v>
      </c>
      <c r="S118" s="134">
        <v>24461271</v>
      </c>
      <c r="T118" s="134">
        <v>24461255</v>
      </c>
      <c r="U118" s="134" t="s">
        <v>1498</v>
      </c>
      <c r="V118" s="134" t="s">
        <v>1499</v>
      </c>
      <c r="W118" s="134"/>
      <c r="X118" s="136" t="s">
        <v>2481</v>
      </c>
      <c r="Y118" s="134"/>
      <c r="Z118" s="136"/>
      <c r="AA118" s="136" t="s">
        <v>1773</v>
      </c>
    </row>
    <row r="119" spans="1:27">
      <c r="A119" s="134" t="s">
        <v>1118</v>
      </c>
      <c r="B119" s="134" t="s">
        <v>985</v>
      </c>
      <c r="D119" s="134" t="s">
        <v>988</v>
      </c>
      <c r="E119" s="134" t="s">
        <v>1121</v>
      </c>
      <c r="F119" s="134" t="s">
        <v>1240</v>
      </c>
      <c r="G119" s="134" t="s">
        <v>98</v>
      </c>
      <c r="H119" s="134" t="s">
        <v>2</v>
      </c>
      <c r="I119" s="134" t="s">
        <v>68</v>
      </c>
      <c r="J119" s="134" t="s">
        <v>12</v>
      </c>
      <c r="K119" s="134" t="s">
        <v>2</v>
      </c>
      <c r="L119" s="135" t="s">
        <v>691</v>
      </c>
      <c r="M119" s="135"/>
      <c r="N119" s="135"/>
      <c r="O119" s="135"/>
      <c r="P119" s="134" t="s">
        <v>1297</v>
      </c>
      <c r="Q119" s="134" t="s">
        <v>2482</v>
      </c>
      <c r="R119" s="134" t="s">
        <v>2556</v>
      </c>
      <c r="S119" s="134">
        <v>88672014</v>
      </c>
      <c r="T119" s="134">
        <v>26799174</v>
      </c>
      <c r="U119" s="134" t="s">
        <v>1500</v>
      </c>
      <c r="V119" s="134" t="s">
        <v>1501</v>
      </c>
      <c r="W119" s="134"/>
      <c r="X119" s="136" t="s">
        <v>1502</v>
      </c>
      <c r="Y119" s="134"/>
      <c r="Z119" s="136"/>
      <c r="AA119" s="136"/>
    </row>
    <row r="120" spans="1:27">
      <c r="A120" s="134" t="s">
        <v>1127</v>
      </c>
      <c r="B120" s="134" t="s">
        <v>994</v>
      </c>
      <c r="D120" s="134" t="s">
        <v>989</v>
      </c>
      <c r="E120" s="134" t="s">
        <v>1122</v>
      </c>
      <c r="F120" s="134" t="s">
        <v>1241</v>
      </c>
      <c r="G120" s="134" t="s">
        <v>2324</v>
      </c>
      <c r="H120" s="134" t="s">
        <v>8</v>
      </c>
      <c r="I120" s="134" t="s">
        <v>49</v>
      </c>
      <c r="J120" s="134" t="s">
        <v>2</v>
      </c>
      <c r="K120" s="134" t="s">
        <v>4</v>
      </c>
      <c r="L120" s="135" t="s">
        <v>756</v>
      </c>
      <c r="M120" s="135"/>
      <c r="N120" s="135"/>
      <c r="O120" s="135"/>
      <c r="P120" s="134" t="s">
        <v>1298</v>
      </c>
      <c r="Q120" s="134" t="s">
        <v>2482</v>
      </c>
      <c r="R120" s="134" t="s">
        <v>1623</v>
      </c>
      <c r="S120" s="134">
        <v>27971909</v>
      </c>
      <c r="T120" s="134">
        <v>27971909</v>
      </c>
      <c r="U120" s="134" t="s">
        <v>1624</v>
      </c>
      <c r="V120" s="134" t="s">
        <v>1625</v>
      </c>
      <c r="W120" s="134"/>
      <c r="X120" s="136" t="s">
        <v>2481</v>
      </c>
      <c r="Y120" s="134"/>
      <c r="Z120" s="136"/>
      <c r="AA120" s="136" t="s">
        <v>1774</v>
      </c>
    </row>
    <row r="121" spans="1:27">
      <c r="A121" s="134" t="s">
        <v>1124</v>
      </c>
      <c r="B121" s="134" t="s">
        <v>991</v>
      </c>
      <c r="D121" s="134" t="s">
        <v>990</v>
      </c>
      <c r="E121" s="134" t="s">
        <v>1123</v>
      </c>
      <c r="F121" s="134" t="s">
        <v>1242</v>
      </c>
      <c r="G121" s="134" t="s">
        <v>69</v>
      </c>
      <c r="H121" s="134" t="s">
        <v>10</v>
      </c>
      <c r="I121" s="134" t="s">
        <v>44</v>
      </c>
      <c r="J121" s="134" t="s">
        <v>3</v>
      </c>
      <c r="K121" s="134" t="s">
        <v>4</v>
      </c>
      <c r="L121" s="135" t="s">
        <v>555</v>
      </c>
      <c r="M121" s="135"/>
      <c r="N121" s="135"/>
      <c r="O121" s="135"/>
      <c r="P121" s="134" t="s">
        <v>1299</v>
      </c>
      <c r="Q121" s="134" t="s">
        <v>2482</v>
      </c>
      <c r="R121" s="134" t="s">
        <v>2334</v>
      </c>
      <c r="S121" s="134">
        <v>25332504</v>
      </c>
      <c r="T121" s="134">
        <v>84054901</v>
      </c>
      <c r="U121" s="134" t="s">
        <v>1503</v>
      </c>
      <c r="V121" s="134" t="s">
        <v>1504</v>
      </c>
      <c r="W121" s="134"/>
      <c r="X121" s="136" t="s">
        <v>2481</v>
      </c>
      <c r="Y121" s="134"/>
      <c r="Z121" s="136"/>
      <c r="AA121" s="136"/>
    </row>
    <row r="122" spans="1:27">
      <c r="A122" s="134" t="s">
        <v>1130</v>
      </c>
      <c r="B122" s="134" t="s">
        <v>997</v>
      </c>
      <c r="D122" s="134" t="s">
        <v>991</v>
      </c>
      <c r="E122" s="134" t="s">
        <v>1124</v>
      </c>
      <c r="F122" s="134" t="s">
        <v>1585</v>
      </c>
      <c r="G122" s="134" t="s">
        <v>52</v>
      </c>
      <c r="H122" s="134" t="s">
        <v>16</v>
      </c>
      <c r="I122" s="134" t="s">
        <v>53</v>
      </c>
      <c r="J122" s="134" t="s">
        <v>10</v>
      </c>
      <c r="K122" s="134" t="s">
        <v>6</v>
      </c>
      <c r="L122" s="135" t="s">
        <v>746</v>
      </c>
      <c r="M122" s="135"/>
      <c r="N122" s="135"/>
      <c r="O122" s="135"/>
      <c r="P122" s="134" t="s">
        <v>80</v>
      </c>
      <c r="Q122" s="134" t="s">
        <v>2482</v>
      </c>
      <c r="R122" s="134" t="s">
        <v>2557</v>
      </c>
      <c r="S122" s="134">
        <v>27848114</v>
      </c>
      <c r="T122" s="134">
        <v>27848114</v>
      </c>
      <c r="U122" s="134" t="s">
        <v>1806</v>
      </c>
      <c r="V122" s="134" t="s">
        <v>2558</v>
      </c>
      <c r="W122" s="134"/>
      <c r="X122" s="136" t="s">
        <v>1632</v>
      </c>
      <c r="Y122" s="134"/>
      <c r="Z122" s="136"/>
      <c r="AA122" s="136"/>
    </row>
    <row r="123" spans="1:27">
      <c r="A123" s="134" t="s">
        <v>1121</v>
      </c>
      <c r="B123" s="134" t="s">
        <v>988</v>
      </c>
      <c r="D123" s="134" t="s">
        <v>992</v>
      </c>
      <c r="E123" s="134" t="s">
        <v>1125</v>
      </c>
      <c r="F123" s="134" t="s">
        <v>1243</v>
      </c>
      <c r="G123" s="134" t="s">
        <v>42</v>
      </c>
      <c r="H123" s="134" t="s">
        <v>8</v>
      </c>
      <c r="I123" s="134" t="s">
        <v>40</v>
      </c>
      <c r="J123" s="134" t="s">
        <v>4</v>
      </c>
      <c r="K123" s="134" t="s">
        <v>15</v>
      </c>
      <c r="L123" s="135" t="s">
        <v>333</v>
      </c>
      <c r="M123" s="135"/>
      <c r="N123" s="135"/>
      <c r="O123" s="135"/>
      <c r="P123" s="134" t="s">
        <v>72</v>
      </c>
      <c r="Q123" s="134" t="s">
        <v>2482</v>
      </c>
      <c r="R123" s="134" t="s">
        <v>1627</v>
      </c>
      <c r="S123" s="134">
        <v>22752317</v>
      </c>
      <c r="T123" s="134">
        <v>22752317</v>
      </c>
      <c r="U123" s="134" t="s">
        <v>1807</v>
      </c>
      <c r="V123" s="134" t="s">
        <v>2333</v>
      </c>
      <c r="W123" s="134"/>
      <c r="X123" s="136" t="s">
        <v>2481</v>
      </c>
      <c r="Y123" s="134"/>
      <c r="Z123" s="136"/>
      <c r="AA123" s="136"/>
    </row>
    <row r="124" spans="1:27">
      <c r="A124" s="134" t="s">
        <v>1122</v>
      </c>
      <c r="B124" s="134" t="s">
        <v>989</v>
      </c>
      <c r="D124" s="134" t="s">
        <v>993</v>
      </c>
      <c r="E124" s="134" t="s">
        <v>1126</v>
      </c>
      <c r="F124" s="134" t="s">
        <v>1244</v>
      </c>
      <c r="G124" s="134" t="s">
        <v>42</v>
      </c>
      <c r="H124" s="134" t="s">
        <v>4</v>
      </c>
      <c r="I124" s="134" t="s">
        <v>40</v>
      </c>
      <c r="J124" s="134" t="s">
        <v>7</v>
      </c>
      <c r="K124" s="134" t="s">
        <v>7</v>
      </c>
      <c r="L124" s="135" t="s">
        <v>353</v>
      </c>
      <c r="M124" s="135"/>
      <c r="N124" s="135"/>
      <c r="O124" s="135"/>
      <c r="P124" s="134" t="s">
        <v>73</v>
      </c>
      <c r="Q124" s="134" t="s">
        <v>2482</v>
      </c>
      <c r="R124" s="134" t="s">
        <v>1839</v>
      </c>
      <c r="S124" s="134">
        <v>25401629</v>
      </c>
      <c r="T124" s="134">
        <v>25402450</v>
      </c>
      <c r="U124" s="134" t="s">
        <v>1628</v>
      </c>
      <c r="V124" s="134" t="s">
        <v>1629</v>
      </c>
      <c r="W124" s="134"/>
      <c r="X124" s="136" t="s">
        <v>2481</v>
      </c>
      <c r="Y124" s="134"/>
      <c r="Z124" s="136"/>
      <c r="AA124" s="136" t="s">
        <v>1775</v>
      </c>
    </row>
    <row r="125" spans="1:27">
      <c r="A125" s="134" t="s">
        <v>1128</v>
      </c>
      <c r="B125" s="134" t="s">
        <v>995</v>
      </c>
      <c r="D125" s="134" t="s">
        <v>994</v>
      </c>
      <c r="E125" s="134" t="s">
        <v>1127</v>
      </c>
      <c r="F125" s="134" t="s">
        <v>1245</v>
      </c>
      <c r="G125" s="134" t="s">
        <v>42</v>
      </c>
      <c r="H125" s="134" t="s">
        <v>3</v>
      </c>
      <c r="I125" s="134" t="s">
        <v>40</v>
      </c>
      <c r="J125" s="134" t="s">
        <v>4</v>
      </c>
      <c r="K125" s="134" t="s">
        <v>3</v>
      </c>
      <c r="L125" s="135" t="s">
        <v>324</v>
      </c>
      <c r="M125" s="135"/>
      <c r="N125" s="135"/>
      <c r="O125" s="135"/>
      <c r="P125" s="134" t="s">
        <v>70</v>
      </c>
      <c r="Q125" s="134" t="s">
        <v>2482</v>
      </c>
      <c r="R125" s="134" t="s">
        <v>2559</v>
      </c>
      <c r="S125" s="134">
        <v>22700343</v>
      </c>
      <c r="T125" s="134">
        <v>22700332</v>
      </c>
      <c r="U125" s="134" t="s">
        <v>1505</v>
      </c>
      <c r="V125" s="134" t="s">
        <v>2560</v>
      </c>
      <c r="W125" s="134"/>
      <c r="X125" s="136" t="s">
        <v>2481</v>
      </c>
      <c r="Y125" s="134"/>
      <c r="Z125" s="136"/>
      <c r="AA125" s="136"/>
    </row>
    <row r="126" spans="1:27">
      <c r="A126" s="134" t="s">
        <v>1123</v>
      </c>
      <c r="B126" s="134" t="s">
        <v>990</v>
      </c>
      <c r="D126" s="134" t="s">
        <v>995</v>
      </c>
      <c r="E126" s="134" t="s">
        <v>1128</v>
      </c>
      <c r="F126" s="134" t="s">
        <v>1246</v>
      </c>
      <c r="G126" s="134" t="s">
        <v>138</v>
      </c>
      <c r="H126" s="134" t="s">
        <v>10</v>
      </c>
      <c r="I126" s="134" t="s">
        <v>49</v>
      </c>
      <c r="J126" s="134" t="s">
        <v>3</v>
      </c>
      <c r="K126" s="134" t="s">
        <v>4</v>
      </c>
      <c r="L126" s="135" t="s">
        <v>760</v>
      </c>
      <c r="M126" s="135"/>
      <c r="N126" s="135"/>
      <c r="O126" s="135"/>
      <c r="P126" s="134" t="s">
        <v>1300</v>
      </c>
      <c r="Q126" s="134" t="s">
        <v>2482</v>
      </c>
      <c r="R126" s="134" t="s">
        <v>1506</v>
      </c>
      <c r="S126" s="134">
        <v>88043675</v>
      </c>
      <c r="T126" s="134">
        <v>27673031</v>
      </c>
      <c r="U126" s="134" t="s">
        <v>1507</v>
      </c>
      <c r="V126" s="134" t="s">
        <v>1508</v>
      </c>
      <c r="W126" s="134"/>
      <c r="X126" s="136" t="s">
        <v>2481</v>
      </c>
      <c r="Y126" s="134"/>
      <c r="Z126" s="136"/>
      <c r="AA126" s="136"/>
    </row>
    <row r="127" spans="1:27">
      <c r="A127" s="134" t="s">
        <v>1125</v>
      </c>
      <c r="B127" s="134" t="s">
        <v>992</v>
      </c>
      <c r="D127" s="134" t="s">
        <v>996</v>
      </c>
      <c r="E127" s="134" t="s">
        <v>1129</v>
      </c>
      <c r="F127" s="134" t="s">
        <v>1247</v>
      </c>
      <c r="G127" s="134" t="s">
        <v>138</v>
      </c>
      <c r="H127" s="134" t="s">
        <v>7</v>
      </c>
      <c r="I127" s="134" t="s">
        <v>49</v>
      </c>
      <c r="J127" s="134" t="s">
        <v>3</v>
      </c>
      <c r="K127" s="134" t="s">
        <v>4</v>
      </c>
      <c r="L127" s="135" t="s">
        <v>760</v>
      </c>
      <c r="M127" s="135"/>
      <c r="N127" s="135"/>
      <c r="O127" s="135"/>
      <c r="P127" s="134" t="s">
        <v>1301</v>
      </c>
      <c r="Q127" s="134" t="s">
        <v>2482</v>
      </c>
      <c r="R127" s="134" t="s">
        <v>1509</v>
      </c>
      <c r="S127" s="134">
        <v>27098328</v>
      </c>
      <c r="T127" s="134"/>
      <c r="U127" s="134" t="s">
        <v>1510</v>
      </c>
      <c r="V127" s="134" t="s">
        <v>2561</v>
      </c>
      <c r="W127" s="134"/>
      <c r="X127" s="136" t="s">
        <v>2481</v>
      </c>
      <c r="Y127" s="134"/>
      <c r="Z127" s="136"/>
      <c r="AA127" s="136" t="s">
        <v>1776</v>
      </c>
    </row>
    <row r="128" spans="1:27">
      <c r="A128" s="134" t="s">
        <v>1126</v>
      </c>
      <c r="B128" s="134" t="s">
        <v>993</v>
      </c>
      <c r="D128" s="134" t="s">
        <v>997</v>
      </c>
      <c r="E128" s="134" t="s">
        <v>1130</v>
      </c>
      <c r="F128" s="134" t="s">
        <v>1248</v>
      </c>
      <c r="G128" s="134" t="s">
        <v>64</v>
      </c>
      <c r="H128" s="134" t="s">
        <v>3</v>
      </c>
      <c r="I128" s="134" t="s">
        <v>41</v>
      </c>
      <c r="J128" s="134" t="s">
        <v>12</v>
      </c>
      <c r="K128" s="134" t="s">
        <v>3</v>
      </c>
      <c r="L128" s="135" t="s">
        <v>502</v>
      </c>
      <c r="M128" s="135"/>
      <c r="N128" s="135"/>
      <c r="O128" s="135"/>
      <c r="P128" s="134" t="s">
        <v>1302</v>
      </c>
      <c r="Q128" s="134" t="s">
        <v>2482</v>
      </c>
      <c r="R128" s="134" t="s">
        <v>1511</v>
      </c>
      <c r="S128" s="134">
        <v>24757122</v>
      </c>
      <c r="T128" s="134">
        <v>24757122</v>
      </c>
      <c r="U128" s="134" t="s">
        <v>1512</v>
      </c>
      <c r="V128" s="134" t="s">
        <v>1513</v>
      </c>
      <c r="W128" s="134"/>
      <c r="X128" s="136" t="s">
        <v>2481</v>
      </c>
      <c r="Y128" s="134"/>
      <c r="Z128" s="136"/>
      <c r="AA128" s="136" t="s">
        <v>1777</v>
      </c>
    </row>
    <row r="129" spans="1:27">
      <c r="A129" s="134" t="s">
        <v>1129</v>
      </c>
      <c r="B129" s="134" t="s">
        <v>996</v>
      </c>
      <c r="D129" s="134" t="s">
        <v>998</v>
      </c>
      <c r="E129" s="134" t="s">
        <v>1131</v>
      </c>
      <c r="F129" s="134" t="s">
        <v>1249</v>
      </c>
      <c r="G129" s="134" t="s">
        <v>1644</v>
      </c>
      <c r="H129" s="134" t="s">
        <v>7</v>
      </c>
      <c r="I129" s="134" t="s">
        <v>40</v>
      </c>
      <c r="J129" s="134" t="s">
        <v>12</v>
      </c>
      <c r="K129" s="134" t="s">
        <v>2</v>
      </c>
      <c r="L129" s="135" t="s">
        <v>374</v>
      </c>
      <c r="M129" s="135"/>
      <c r="N129" s="135"/>
      <c r="O129" s="135"/>
      <c r="P129" s="134" t="s">
        <v>1303</v>
      </c>
      <c r="Q129" s="134" t="s">
        <v>2482</v>
      </c>
      <c r="R129" s="134" t="s">
        <v>1514</v>
      </c>
      <c r="S129" s="134">
        <v>22222872</v>
      </c>
      <c r="T129" s="134"/>
      <c r="U129" s="134" t="s">
        <v>2562</v>
      </c>
      <c r="V129" s="134" t="s">
        <v>1515</v>
      </c>
      <c r="W129" s="134"/>
      <c r="X129" s="136" t="s">
        <v>2481</v>
      </c>
      <c r="Y129" s="134"/>
      <c r="Z129" s="136"/>
      <c r="AA129" s="136"/>
    </row>
    <row r="130" spans="1:27">
      <c r="A130" s="134" t="s">
        <v>1132</v>
      </c>
      <c r="B130" s="134" t="s">
        <v>999</v>
      </c>
      <c r="D130" s="134" t="s">
        <v>999</v>
      </c>
      <c r="E130" s="134" t="s">
        <v>1132</v>
      </c>
      <c r="F130" s="134" t="s">
        <v>1250</v>
      </c>
      <c r="G130" s="134" t="s">
        <v>63</v>
      </c>
      <c r="H130" s="134" t="s">
        <v>8</v>
      </c>
      <c r="I130" s="134" t="s">
        <v>62</v>
      </c>
      <c r="J130" s="134" t="s">
        <v>8</v>
      </c>
      <c r="K130" s="134" t="s">
        <v>3</v>
      </c>
      <c r="L130" s="135" t="s">
        <v>628</v>
      </c>
      <c r="M130" s="135"/>
      <c r="N130" s="135"/>
      <c r="O130" s="135"/>
      <c r="P130" s="134" t="s">
        <v>109</v>
      </c>
      <c r="Q130" s="134" t="s">
        <v>2482</v>
      </c>
      <c r="R130" s="134" t="s">
        <v>1516</v>
      </c>
      <c r="S130" s="134">
        <v>25890332</v>
      </c>
      <c r="T130" s="134"/>
      <c r="U130" s="134" t="s">
        <v>1517</v>
      </c>
      <c r="V130" s="134" t="s">
        <v>1518</v>
      </c>
      <c r="W130" s="134"/>
      <c r="X130" s="136" t="s">
        <v>2481</v>
      </c>
      <c r="Y130" s="134"/>
      <c r="Z130" s="136"/>
      <c r="AA130" s="136"/>
    </row>
    <row r="131" spans="1:27">
      <c r="A131" s="134" t="s">
        <v>1131</v>
      </c>
      <c r="B131" s="134" t="s">
        <v>998</v>
      </c>
      <c r="D131" s="134" t="s">
        <v>1000</v>
      </c>
      <c r="E131" s="134" t="s">
        <v>1133</v>
      </c>
      <c r="F131" s="134" t="s">
        <v>1251</v>
      </c>
      <c r="G131" s="134" t="s">
        <v>48</v>
      </c>
      <c r="H131" s="134" t="s">
        <v>5</v>
      </c>
      <c r="I131" s="134" t="s">
        <v>41</v>
      </c>
      <c r="J131" s="134" t="s">
        <v>2</v>
      </c>
      <c r="K131" s="134" t="s">
        <v>10</v>
      </c>
      <c r="L131" s="135" t="s">
        <v>437</v>
      </c>
      <c r="M131" s="135"/>
      <c r="N131" s="135"/>
      <c r="O131" s="135"/>
      <c r="P131" s="134" t="s">
        <v>57</v>
      </c>
      <c r="Q131" s="134" t="s">
        <v>2482</v>
      </c>
      <c r="R131" s="134" t="s">
        <v>2345</v>
      </c>
      <c r="S131" s="134">
        <v>21027983</v>
      </c>
      <c r="T131" s="134"/>
      <c r="U131" s="134" t="s">
        <v>1519</v>
      </c>
      <c r="V131" s="134" t="s">
        <v>1808</v>
      </c>
      <c r="W131" s="134"/>
      <c r="X131" s="136" t="s">
        <v>2481</v>
      </c>
      <c r="Y131" s="134"/>
      <c r="Z131" s="136"/>
      <c r="AA131" s="136" t="s">
        <v>1778</v>
      </c>
    </row>
    <row r="132" spans="1:27">
      <c r="A132" s="134" t="s">
        <v>1133</v>
      </c>
      <c r="B132" s="134" t="s">
        <v>1000</v>
      </c>
      <c r="D132" s="134" t="s">
        <v>1001</v>
      </c>
      <c r="E132" s="134" t="s">
        <v>1134</v>
      </c>
      <c r="F132" s="134" t="s">
        <v>1252</v>
      </c>
      <c r="G132" s="134" t="s">
        <v>64</v>
      </c>
      <c r="H132" s="134" t="s">
        <v>3</v>
      </c>
      <c r="I132" s="134" t="s">
        <v>41</v>
      </c>
      <c r="J132" s="134" t="s">
        <v>12</v>
      </c>
      <c r="K132" s="134" t="s">
        <v>10</v>
      </c>
      <c r="L132" s="135" t="s">
        <v>508</v>
      </c>
      <c r="M132" s="135"/>
      <c r="N132" s="135"/>
      <c r="O132" s="135"/>
      <c r="P132" s="134" t="s">
        <v>1304</v>
      </c>
      <c r="Q132" s="134" t="s">
        <v>2482</v>
      </c>
      <c r="R132" s="134" t="s">
        <v>2337</v>
      </c>
      <c r="S132" s="134">
        <v>24689930</v>
      </c>
      <c r="T132" s="134">
        <v>24689930</v>
      </c>
      <c r="U132" s="134" t="s">
        <v>2563</v>
      </c>
      <c r="V132" s="134" t="s">
        <v>1520</v>
      </c>
      <c r="W132" s="134"/>
      <c r="X132" s="136" t="s">
        <v>2481</v>
      </c>
      <c r="Y132" s="134"/>
      <c r="Z132" s="136"/>
      <c r="AA132" s="136" t="s">
        <v>1779</v>
      </c>
    </row>
    <row r="133" spans="1:27">
      <c r="A133" s="134" t="s">
        <v>1136</v>
      </c>
      <c r="B133" s="134" t="s">
        <v>1003</v>
      </c>
      <c r="D133" s="134" t="s">
        <v>1002</v>
      </c>
      <c r="E133" s="134" t="s">
        <v>1135</v>
      </c>
      <c r="F133" s="134" t="s">
        <v>1253</v>
      </c>
      <c r="G133" s="134" t="s">
        <v>149</v>
      </c>
      <c r="H133" s="134" t="s">
        <v>4</v>
      </c>
      <c r="I133" s="134" t="s">
        <v>68</v>
      </c>
      <c r="J133" s="134" t="s">
        <v>3</v>
      </c>
      <c r="K133" s="134" t="s">
        <v>5</v>
      </c>
      <c r="L133" s="135" t="s">
        <v>648</v>
      </c>
      <c r="M133" s="135"/>
      <c r="N133" s="135"/>
      <c r="O133" s="135"/>
      <c r="P133" s="134" t="s">
        <v>1305</v>
      </c>
      <c r="Q133" s="134" t="s">
        <v>2482</v>
      </c>
      <c r="R133" s="134" t="s">
        <v>2564</v>
      </c>
      <c r="S133" s="134">
        <v>26870258</v>
      </c>
      <c r="T133" s="134">
        <v>26870115</v>
      </c>
      <c r="U133" s="134" t="s">
        <v>2304</v>
      </c>
      <c r="V133" s="134" t="s">
        <v>1521</v>
      </c>
      <c r="W133" s="134"/>
      <c r="X133" s="136" t="s">
        <v>1522</v>
      </c>
      <c r="Y133" s="134"/>
      <c r="Z133" s="136"/>
      <c r="AA133" s="136"/>
    </row>
    <row r="134" spans="1:27">
      <c r="A134" s="134" t="s">
        <v>1135</v>
      </c>
      <c r="B134" s="134" t="s">
        <v>1002</v>
      </c>
      <c r="D134" s="134" t="s">
        <v>1003</v>
      </c>
      <c r="E134" s="134" t="s">
        <v>1136</v>
      </c>
      <c r="F134" s="134" t="s">
        <v>1254</v>
      </c>
      <c r="G134" s="134" t="s">
        <v>63</v>
      </c>
      <c r="H134" s="134" t="s">
        <v>6</v>
      </c>
      <c r="I134" s="134" t="s">
        <v>62</v>
      </c>
      <c r="J134" s="134" t="s">
        <v>4</v>
      </c>
      <c r="K134" s="134" t="s">
        <v>4</v>
      </c>
      <c r="L134" s="135" t="s">
        <v>606</v>
      </c>
      <c r="M134" s="135"/>
      <c r="N134" s="135"/>
      <c r="O134" s="135"/>
      <c r="P134" s="134" t="s">
        <v>43</v>
      </c>
      <c r="Q134" s="134" t="s">
        <v>2482</v>
      </c>
      <c r="R134" s="134" t="s">
        <v>1523</v>
      </c>
      <c r="S134" s="134">
        <v>22411295</v>
      </c>
      <c r="T134" s="134">
        <v>22411295</v>
      </c>
      <c r="U134" s="134" t="s">
        <v>1524</v>
      </c>
      <c r="V134" s="134" t="s">
        <v>1525</v>
      </c>
      <c r="W134" s="134"/>
      <c r="X134" s="136" t="s">
        <v>2481</v>
      </c>
      <c r="Y134" s="134"/>
      <c r="Z134" s="136"/>
      <c r="AA134" s="136"/>
    </row>
    <row r="135" spans="1:27">
      <c r="A135" s="134" t="s">
        <v>1134</v>
      </c>
      <c r="B135" s="134" t="s">
        <v>1001</v>
      </c>
      <c r="D135" s="134" t="s">
        <v>1004</v>
      </c>
      <c r="E135" s="141" t="s">
        <v>1573</v>
      </c>
      <c r="F135" s="134" t="s">
        <v>1255</v>
      </c>
      <c r="G135" s="134" t="s">
        <v>63</v>
      </c>
      <c r="H135" s="134" t="s">
        <v>8</v>
      </c>
      <c r="I135" s="134" t="s">
        <v>62</v>
      </c>
      <c r="J135" s="134" t="s">
        <v>8</v>
      </c>
      <c r="K135" s="134" t="s">
        <v>4</v>
      </c>
      <c r="L135" s="135" t="s">
        <v>629</v>
      </c>
      <c r="M135" s="135"/>
      <c r="N135" s="135"/>
      <c r="O135" s="135"/>
      <c r="P135" s="134" t="s">
        <v>2321</v>
      </c>
      <c r="Q135" s="134" t="s">
        <v>257</v>
      </c>
      <c r="R135" s="134" t="s">
        <v>2565</v>
      </c>
      <c r="S135" s="134">
        <v>22390833</v>
      </c>
      <c r="T135" s="134">
        <v>22930998</v>
      </c>
      <c r="U135" s="134" t="s">
        <v>1526</v>
      </c>
      <c r="V135" s="134" t="s">
        <v>1663</v>
      </c>
      <c r="W135" s="134"/>
      <c r="X135" s="136" t="s">
        <v>2481</v>
      </c>
      <c r="Y135" s="134"/>
      <c r="Z135" s="136"/>
      <c r="AA135" s="136"/>
    </row>
    <row r="136" spans="1:27">
      <c r="A136" s="134" t="s">
        <v>1137</v>
      </c>
      <c r="B136" s="134" t="s">
        <v>1005</v>
      </c>
      <c r="D136" s="134" t="s">
        <v>1005</v>
      </c>
      <c r="E136" s="134" t="s">
        <v>1137</v>
      </c>
      <c r="F136" s="134" t="s">
        <v>1256</v>
      </c>
      <c r="G136" s="134" t="s">
        <v>1645</v>
      </c>
      <c r="H136" s="134" t="s">
        <v>6</v>
      </c>
      <c r="I136" s="134" t="s">
        <v>40</v>
      </c>
      <c r="J136" s="134" t="s">
        <v>2</v>
      </c>
      <c r="K136" s="134" t="s">
        <v>8</v>
      </c>
      <c r="L136" s="135" t="s">
        <v>315</v>
      </c>
      <c r="M136" s="135"/>
      <c r="N136" s="135"/>
      <c r="O136" s="135"/>
      <c r="P136" s="134" t="s">
        <v>1306</v>
      </c>
      <c r="Q136" s="134" t="s">
        <v>2482</v>
      </c>
      <c r="R136" s="134" t="s">
        <v>1838</v>
      </c>
      <c r="S136" s="134">
        <v>22201457</v>
      </c>
      <c r="T136" s="134">
        <v>22313085</v>
      </c>
      <c r="U136" s="134" t="s">
        <v>1527</v>
      </c>
      <c r="V136" s="134" t="s">
        <v>2566</v>
      </c>
      <c r="W136" s="134"/>
      <c r="X136" s="136" t="s">
        <v>2481</v>
      </c>
      <c r="Y136" s="134"/>
      <c r="Z136" s="136"/>
      <c r="AA136" s="136"/>
    </row>
    <row r="137" spans="1:27">
      <c r="A137" s="134" t="s">
        <v>1138</v>
      </c>
      <c r="B137" s="134" t="s">
        <v>1006</v>
      </c>
      <c r="D137" s="134" t="s">
        <v>1006</v>
      </c>
      <c r="E137" s="134" t="s">
        <v>1138</v>
      </c>
      <c r="F137" s="134" t="s">
        <v>1257</v>
      </c>
      <c r="G137" s="134" t="s">
        <v>1644</v>
      </c>
      <c r="H137" s="134" t="s">
        <v>6</v>
      </c>
      <c r="I137" s="134" t="s">
        <v>40</v>
      </c>
      <c r="J137" s="134" t="s">
        <v>2</v>
      </c>
      <c r="K137" s="134" t="s">
        <v>12</v>
      </c>
      <c r="L137" s="135" t="s">
        <v>318</v>
      </c>
      <c r="M137" s="135"/>
      <c r="N137" s="135"/>
      <c r="O137" s="135"/>
      <c r="P137" s="134" t="s">
        <v>71</v>
      </c>
      <c r="Q137" s="134" t="s">
        <v>2482</v>
      </c>
      <c r="R137" s="134" t="s">
        <v>2340</v>
      </c>
      <c r="S137" s="134">
        <v>22540111</v>
      </c>
      <c r="T137" s="134"/>
      <c r="U137" s="134" t="s">
        <v>1630</v>
      </c>
      <c r="V137" s="134" t="s">
        <v>1528</v>
      </c>
      <c r="W137" s="134"/>
      <c r="X137" s="136" t="s">
        <v>2481</v>
      </c>
      <c r="Y137" s="134"/>
      <c r="Z137" s="136"/>
      <c r="AA137" s="136"/>
    </row>
  </sheetData>
  <sheetProtection algorithmName="SHA-512" hashValue="pt+6mrlT23Gkjsrh+iif+ESBHJMd1lkLuzSFj2Vjqm5gKDew465fpvPJsFu5bmcnULA9+Zp7v5eKIC4ejZSa5Q==" saltValue="cD/lkTIflFlYqk+gmaFEyg==" spinCount="100000" sheet="1" objects="1" scenarios="1"/>
  <autoFilter ref="A2:AA137" xr:uid="{00000000-0009-0000-0000-000001000000}"/>
  <sortState xmlns:xlrd2="http://schemas.microsoft.com/office/spreadsheetml/2017/richdata2" ref="A3:B137">
    <sortCondition ref="A3:A137"/>
  </sortState>
  <hyperlinks>
    <hyperlink ref="U6" r:id="rId1" xr:uid="{039C1466-47E9-4396-A898-0246902261C5}"/>
    <hyperlink ref="U16" r:id="rId2" xr:uid="{368BC45A-AC99-4A70-B688-9E4FFD7F8CFE}"/>
    <hyperlink ref="U29" r:id="rId3" xr:uid="{94C8BEF7-D5FB-4660-9C5E-552B079592A5}"/>
    <hyperlink ref="U32" r:id="rId4" xr:uid="{11455D52-F8B9-4625-805A-5D7D43AB5429}"/>
    <hyperlink ref="U35" r:id="rId5" xr:uid="{5E97BF61-08F9-4EA6-9498-9A491801B3C9}"/>
    <hyperlink ref="U47" r:id="rId6" xr:uid="{B4C1CEE5-AA51-4FD8-9A06-19FA83233D1B}"/>
    <hyperlink ref="U65" r:id="rId7" xr:uid="{556D7734-0526-4E7A-A536-1EB3F5D2587C}"/>
    <hyperlink ref="U75" r:id="rId8" xr:uid="{68C81414-4AB1-45CC-B896-BA76EEDF52DE}"/>
    <hyperlink ref="U80" r:id="rId9" xr:uid="{C52C0195-7BB9-4743-BE17-846DC77BB22D}"/>
    <hyperlink ref="U129" r:id="rId10" xr:uid="{3C158E96-686B-4099-ADE8-E6480F81C69D}"/>
    <hyperlink ref="U132" r:id="rId11" xr:uid="{868DBC3B-2D09-4450-A007-5A84E71078ED}"/>
  </hyperlinks>
  <pageMargins left="0.7" right="0.7" top="0.75" bottom="0.75" header="0.3" footer="0.3"/>
  <pageSetup paperSize="9" orientation="portrait" r:id="rId12"/>
  <legacyDrawing r:id="rId1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A41C-F4FF-49C5-B972-188D35EEC298}">
  <sheetPr codeName="Hoja6">
    <pageSetUpPr fitToPage="1"/>
  </sheetPr>
  <dimension ref="B1:G18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24" customWidth="1"/>
    <col min="2" max="2" width="3.21875" style="32" hidden="1" customWidth="1"/>
    <col min="3" max="3" width="43.77734375" style="24" customWidth="1"/>
    <col min="4" max="7" width="15.6640625" style="24" customWidth="1"/>
    <col min="8" max="16384" width="11.44140625" style="24"/>
  </cols>
  <sheetData>
    <row r="1" spans="2:7" ht="17.399999999999999">
      <c r="C1" s="22" t="s">
        <v>2572</v>
      </c>
      <c r="D1" s="22"/>
    </row>
    <row r="2" spans="2:7" ht="18" thickBot="1">
      <c r="C2" s="868" t="s">
        <v>2569</v>
      </c>
      <c r="D2" s="868"/>
      <c r="E2" s="868"/>
      <c r="F2" s="868"/>
      <c r="G2" s="868"/>
    </row>
    <row r="3" spans="2:7" ht="24.6" customHeight="1" thickTop="1">
      <c r="B3" s="32">
        <f>+B2+1</f>
        <v>1</v>
      </c>
      <c r="C3" s="869" t="s">
        <v>266</v>
      </c>
      <c r="D3" s="759" t="s">
        <v>265</v>
      </c>
      <c r="E3" s="761"/>
      <c r="F3" s="871" t="s">
        <v>2415</v>
      </c>
      <c r="G3" s="760"/>
    </row>
    <row r="4" spans="2:7" ht="31.2" customHeight="1" thickBot="1">
      <c r="B4" s="32">
        <f t="shared" ref="B4:B8" si="0">+B3+1</f>
        <v>2</v>
      </c>
      <c r="C4" s="870"/>
      <c r="D4" s="89" t="s">
        <v>2416</v>
      </c>
      <c r="E4" s="90" t="s">
        <v>260</v>
      </c>
      <c r="F4" s="91" t="s">
        <v>2416</v>
      </c>
      <c r="G4" s="92" t="s">
        <v>260</v>
      </c>
    </row>
    <row r="5" spans="2:7" ht="26.4" customHeight="1" thickTop="1">
      <c r="B5" s="32">
        <f t="shared" si="0"/>
        <v>3</v>
      </c>
      <c r="C5" s="93" t="s">
        <v>261</v>
      </c>
      <c r="D5" s="94">
        <f>SUM(D6:D8)</f>
        <v>0</v>
      </c>
      <c r="E5" s="95">
        <f>SUM(E6:E8)</f>
        <v>0</v>
      </c>
      <c r="F5" s="96">
        <f>SUM(F6:F8)</f>
        <v>0</v>
      </c>
      <c r="G5" s="97">
        <f>SUM(G6:G8)</f>
        <v>0</v>
      </c>
    </row>
    <row r="6" spans="2:7" ht="26.4" customHeight="1">
      <c r="B6" s="32">
        <f t="shared" si="0"/>
        <v>4</v>
      </c>
      <c r="C6" s="98" t="s">
        <v>262</v>
      </c>
      <c r="D6" s="99"/>
      <c r="E6" s="100"/>
      <c r="F6" s="101"/>
      <c r="G6" s="102"/>
    </row>
    <row r="7" spans="2:7" ht="26.4" customHeight="1">
      <c r="B7" s="32">
        <f t="shared" si="0"/>
        <v>5</v>
      </c>
      <c r="C7" s="98" t="s">
        <v>263</v>
      </c>
      <c r="D7" s="99"/>
      <c r="E7" s="100"/>
      <c r="F7" s="101"/>
      <c r="G7" s="102"/>
    </row>
    <row r="8" spans="2:7" ht="26.4" customHeight="1" thickBot="1">
      <c r="B8" s="32">
        <f t="shared" si="0"/>
        <v>6</v>
      </c>
      <c r="C8" s="103" t="s">
        <v>264</v>
      </c>
      <c r="D8" s="104"/>
      <c r="E8" s="105"/>
      <c r="F8" s="106"/>
      <c r="G8" s="107"/>
    </row>
    <row r="9" spans="2:7" ht="14.4" thickTop="1"/>
    <row r="11" spans="2:7" ht="15.6">
      <c r="C11" s="87" t="s">
        <v>273</v>
      </c>
    </row>
    <row r="12" spans="2:7">
      <c r="B12" s="32">
        <v>7</v>
      </c>
      <c r="C12" s="854"/>
      <c r="D12" s="865"/>
      <c r="E12" s="865"/>
      <c r="F12" s="865"/>
      <c r="G12" s="855"/>
    </row>
    <row r="13" spans="2:7">
      <c r="C13" s="856"/>
      <c r="D13" s="866"/>
      <c r="E13" s="866"/>
      <c r="F13" s="866"/>
      <c r="G13" s="857"/>
    </row>
    <row r="14" spans="2:7">
      <c r="C14" s="856"/>
      <c r="D14" s="866"/>
      <c r="E14" s="866"/>
      <c r="F14" s="866"/>
      <c r="G14" s="857"/>
    </row>
    <row r="15" spans="2:7">
      <c r="C15" s="856"/>
      <c r="D15" s="866"/>
      <c r="E15" s="866"/>
      <c r="F15" s="866"/>
      <c r="G15" s="857"/>
    </row>
    <row r="16" spans="2:7">
      <c r="C16" s="856"/>
      <c r="D16" s="866"/>
      <c r="E16" s="866"/>
      <c r="F16" s="866"/>
      <c r="G16" s="857"/>
    </row>
    <row r="17" spans="3:7">
      <c r="C17" s="856"/>
      <c r="D17" s="866"/>
      <c r="E17" s="866"/>
      <c r="F17" s="866"/>
      <c r="G17" s="857"/>
    </row>
    <row r="18" spans="3:7">
      <c r="C18" s="858"/>
      <c r="D18" s="867"/>
      <c r="E18" s="867"/>
      <c r="F18" s="867"/>
      <c r="G18" s="859"/>
    </row>
  </sheetData>
  <sheetProtection algorithmName="SHA-512" hashValue="TTnuW4i29FI55B7vlgLFxeW2gSEEd/isMB0H8Wmsmt0HrIDnoVMcwplL5RrP7G4DstMrVlpEBjOEV6CRxHJ2lw==" saltValue="RooQJ/Yg92G4jtz2gthe4A==" spinCount="100000" sheet="1" objects="1" scenarios="1"/>
  <mergeCells count="5">
    <mergeCell ref="C2:G2"/>
    <mergeCell ref="C3:C4"/>
    <mergeCell ref="D3:E3"/>
    <mergeCell ref="F3:G3"/>
    <mergeCell ref="C12:G18"/>
  </mergeCells>
  <conditionalFormatting sqref="D5:G5">
    <cfRule type="cellIs" dxfId="1" priority="1" operator="equal">
      <formula>0</formula>
    </cfRule>
  </conditionalFormatting>
  <dataValidations count="1">
    <dataValidation type="whole" operator="greaterThanOrEqual" allowBlank="1" showInputMessage="1" showErrorMessage="1" sqref="D5:G8" xr:uid="{A37C72B4-EE0C-4B74-938F-DD7C0AEDB2A2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orientation="landscape" r:id="rId1"/>
  <headerFooter scaleWithDoc="0">
    <oddFooter>&amp;R&amp;"Goudy,Negrita Cursiva"Técnica Diurna&amp;"Goudy,Cursiva",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7D40-5546-4A31-922B-25582783B490}">
  <sheetPr codeName="Hoja7">
    <pageSetUpPr fitToPage="1"/>
  </sheetPr>
  <dimension ref="B1:M17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24" customWidth="1"/>
    <col min="2" max="2" width="3.21875" style="32" hidden="1" customWidth="1"/>
    <col min="3" max="3" width="46.44140625" style="24" customWidth="1"/>
    <col min="4" max="11" width="13" style="24" customWidth="1"/>
    <col min="12" max="12" width="23.33203125" style="108" customWidth="1"/>
    <col min="13" max="16384" width="11.44140625" style="24"/>
  </cols>
  <sheetData>
    <row r="1" spans="2:13" ht="17.399999999999999">
      <c r="C1" s="22" t="s">
        <v>2573</v>
      </c>
      <c r="D1" s="22"/>
      <c r="H1" s="22"/>
      <c r="K1" s="51"/>
      <c r="L1" s="51"/>
    </row>
    <row r="2" spans="2:13" ht="18" thickBot="1">
      <c r="C2" s="22" t="s">
        <v>2568</v>
      </c>
      <c r="D2" s="26"/>
      <c r="H2" s="26"/>
      <c r="I2" s="26"/>
    </row>
    <row r="3" spans="2:13" ht="25.8" customHeight="1" thickTop="1">
      <c r="B3" s="32">
        <v>1</v>
      </c>
      <c r="C3" s="690"/>
      <c r="D3" s="881" t="s">
        <v>0</v>
      </c>
      <c r="E3" s="882"/>
      <c r="F3" s="883" t="s">
        <v>1673</v>
      </c>
      <c r="G3" s="884"/>
      <c r="H3" s="885" t="s">
        <v>1674</v>
      </c>
      <c r="I3" s="882"/>
      <c r="J3" s="885" t="s">
        <v>1675</v>
      </c>
      <c r="K3" s="884"/>
    </row>
    <row r="4" spans="2:13" ht="29.4" customHeight="1" thickBot="1">
      <c r="B4" s="32">
        <v>2</v>
      </c>
      <c r="C4" s="691"/>
      <c r="D4" s="109" t="s">
        <v>0</v>
      </c>
      <c r="E4" s="110" t="s">
        <v>2413</v>
      </c>
      <c r="F4" s="111" t="s">
        <v>0</v>
      </c>
      <c r="G4" s="110" t="s">
        <v>2413</v>
      </c>
      <c r="H4" s="112" t="s">
        <v>0</v>
      </c>
      <c r="I4" s="110" t="s">
        <v>2413</v>
      </c>
      <c r="J4" s="112" t="s">
        <v>0</v>
      </c>
      <c r="K4" s="113" t="s">
        <v>2413</v>
      </c>
    </row>
    <row r="5" spans="2:13" ht="23.4" customHeight="1" thickTop="1">
      <c r="B5" s="32">
        <v>3</v>
      </c>
      <c r="C5" s="114" t="s">
        <v>1672</v>
      </c>
      <c r="D5" s="115">
        <f>+F5+H5+J5</f>
        <v>0</v>
      </c>
      <c r="E5" s="116">
        <f>+G5+I5+K5</f>
        <v>0</v>
      </c>
      <c r="F5" s="117"/>
      <c r="G5" s="118"/>
      <c r="H5" s="119"/>
      <c r="I5" s="120"/>
      <c r="J5" s="119"/>
      <c r="K5" s="118"/>
      <c r="L5" s="872" t="str">
        <f>IF(AND(D5&gt;0,E5=0),"¿Nada en buen estado?",IF(OR(G5&gt;F5,I5&gt;H5,K5&gt;J5),"Verifique la cantidad total, se indicó más cantidad en buen estado",""))</f>
        <v/>
      </c>
      <c r="M5" s="872"/>
    </row>
    <row r="6" spans="2:13" ht="23.4" customHeight="1">
      <c r="B6" s="32">
        <v>4</v>
      </c>
      <c r="C6" s="121" t="s">
        <v>253</v>
      </c>
      <c r="D6" s="122">
        <f t="shared" ref="D6:E9" si="0">+F6+H6+J6</f>
        <v>0</v>
      </c>
      <c r="E6" s="123">
        <f t="shared" si="0"/>
        <v>0</v>
      </c>
      <c r="F6" s="124"/>
      <c r="G6" s="125"/>
      <c r="H6" s="126"/>
      <c r="I6" s="127"/>
      <c r="J6" s="126"/>
      <c r="K6" s="125"/>
      <c r="L6" s="872" t="str">
        <f>IF(AND(D6&gt;0,E6=0),"¿Nada en buen estado?",IF(OR(G6&gt;F6,I6&gt;H6,K6&gt;J6),"Verifique la cantidad total, se indicó más cantidad en buen estado",""))</f>
        <v/>
      </c>
      <c r="M6" s="872"/>
    </row>
    <row r="7" spans="2:13" ht="23.4" customHeight="1">
      <c r="B7" s="32">
        <v>5</v>
      </c>
      <c r="C7" s="121" t="s">
        <v>252</v>
      </c>
      <c r="D7" s="122">
        <f t="shared" si="0"/>
        <v>0</v>
      </c>
      <c r="E7" s="123">
        <f t="shared" si="0"/>
        <v>0</v>
      </c>
      <c r="F7" s="124"/>
      <c r="G7" s="125"/>
      <c r="H7" s="126"/>
      <c r="I7" s="127"/>
      <c r="J7" s="126"/>
      <c r="K7" s="125"/>
      <c r="L7" s="872" t="str">
        <f t="shared" ref="L7:L10" si="1">IF(AND(D7&gt;0,E7=0),"¿Nada en buen estado?",IF(OR(G7&gt;F7,I7&gt;H7,K7&gt;J7),"Verifique la cantidad total, se indicó más cantidad en buen estado",""))</f>
        <v/>
      </c>
      <c r="M7" s="872"/>
    </row>
    <row r="8" spans="2:13" ht="23.4" customHeight="1">
      <c r="B8" s="32">
        <v>6</v>
      </c>
      <c r="C8" s="121" t="s">
        <v>1676</v>
      </c>
      <c r="D8" s="122">
        <f t="shared" si="0"/>
        <v>0</v>
      </c>
      <c r="E8" s="123">
        <f t="shared" si="0"/>
        <v>0</v>
      </c>
      <c r="F8" s="124"/>
      <c r="G8" s="125"/>
      <c r="H8" s="126"/>
      <c r="I8" s="127"/>
      <c r="J8" s="126"/>
      <c r="K8" s="125"/>
      <c r="L8" s="872" t="str">
        <f t="shared" si="1"/>
        <v/>
      </c>
      <c r="M8" s="872"/>
    </row>
    <row r="9" spans="2:13" ht="23.4" customHeight="1">
      <c r="B9" s="32">
        <v>7</v>
      </c>
      <c r="C9" s="692" t="s">
        <v>1780</v>
      </c>
      <c r="D9" s="693">
        <f t="shared" si="0"/>
        <v>0</v>
      </c>
      <c r="E9" s="694">
        <f t="shared" si="0"/>
        <v>0</v>
      </c>
      <c r="F9" s="126"/>
      <c r="G9" s="125"/>
      <c r="H9" s="126"/>
      <c r="I9" s="127"/>
      <c r="J9" s="126"/>
      <c r="K9" s="125"/>
      <c r="L9" s="872" t="str">
        <f t="shared" si="1"/>
        <v/>
      </c>
      <c r="M9" s="872"/>
    </row>
    <row r="10" spans="2:13" ht="23.4" customHeight="1" thickBot="1">
      <c r="B10" s="32">
        <v>8</v>
      </c>
      <c r="C10" s="128" t="s">
        <v>1784</v>
      </c>
      <c r="D10" s="695"/>
      <c r="E10" s="129"/>
      <c r="F10" s="880"/>
      <c r="G10" s="880"/>
      <c r="H10" s="880"/>
      <c r="I10" s="880"/>
      <c r="J10" s="880"/>
      <c r="K10" s="880"/>
      <c r="L10" s="872" t="str">
        <f t="shared" si="1"/>
        <v/>
      </c>
      <c r="M10" s="872"/>
    </row>
    <row r="11" spans="2:13" ht="21" customHeight="1" thickTop="1"/>
    <row r="12" spans="2:13" ht="15.6">
      <c r="C12" s="87" t="s">
        <v>273</v>
      </c>
    </row>
    <row r="13" spans="2:13" ht="20.399999999999999" customHeight="1">
      <c r="B13" s="32">
        <v>9</v>
      </c>
      <c r="C13" s="854"/>
      <c r="D13" s="865"/>
      <c r="E13" s="865"/>
      <c r="F13" s="865"/>
      <c r="G13" s="865"/>
      <c r="H13" s="865"/>
      <c r="I13" s="865"/>
      <c r="J13" s="873"/>
      <c r="K13" s="874"/>
    </row>
    <row r="14" spans="2:13" ht="20.399999999999999" customHeight="1">
      <c r="C14" s="856"/>
      <c r="D14" s="866"/>
      <c r="E14" s="866"/>
      <c r="F14" s="866"/>
      <c r="G14" s="866"/>
      <c r="H14" s="866"/>
      <c r="I14" s="866"/>
      <c r="J14" s="875"/>
      <c r="K14" s="876"/>
    </row>
    <row r="15" spans="2:13" ht="20.399999999999999" customHeight="1">
      <c r="C15" s="856"/>
      <c r="D15" s="866"/>
      <c r="E15" s="866"/>
      <c r="F15" s="866"/>
      <c r="G15" s="866"/>
      <c r="H15" s="866"/>
      <c r="I15" s="866"/>
      <c r="J15" s="875"/>
      <c r="K15" s="876"/>
    </row>
    <row r="16" spans="2:13" ht="20.399999999999999" customHeight="1">
      <c r="C16" s="856"/>
      <c r="D16" s="866"/>
      <c r="E16" s="866"/>
      <c r="F16" s="866"/>
      <c r="G16" s="866"/>
      <c r="H16" s="866"/>
      <c r="I16" s="866"/>
      <c r="J16" s="875"/>
      <c r="K16" s="876"/>
    </row>
    <row r="17" spans="3:11" ht="20.399999999999999" customHeight="1">
      <c r="C17" s="877"/>
      <c r="D17" s="878"/>
      <c r="E17" s="878"/>
      <c r="F17" s="878"/>
      <c r="G17" s="878"/>
      <c r="H17" s="878"/>
      <c r="I17" s="878"/>
      <c r="J17" s="878"/>
      <c r="K17" s="879"/>
    </row>
  </sheetData>
  <sheetProtection algorithmName="SHA-512" hashValue="K8ZX8FeFjMrQKiQUcBLdhBDtu1uoJCBh4vH0WA2HA+REOWdwvoFOzwVyl1fwGqJcftDSv/rVSIKNjVxz7cnpFA==" saltValue="kuLiv8H4zO1iWovZz0eXng==" spinCount="100000" sheet="1" objects="1" scenarios="1"/>
  <mergeCells count="12">
    <mergeCell ref="L6:M6"/>
    <mergeCell ref="D3:E3"/>
    <mergeCell ref="F3:G3"/>
    <mergeCell ref="H3:I3"/>
    <mergeCell ref="J3:K3"/>
    <mergeCell ref="L5:M5"/>
    <mergeCell ref="L7:M7"/>
    <mergeCell ref="L8:M8"/>
    <mergeCell ref="L9:M9"/>
    <mergeCell ref="L10:M10"/>
    <mergeCell ref="C13:K17"/>
    <mergeCell ref="F10:K10"/>
  </mergeCells>
  <conditionalFormatting sqref="D5:E10 L5:L10">
    <cfRule type="cellIs" dxfId="0" priority="1" operator="equal">
      <formula>0</formula>
    </cfRule>
  </conditionalFormatting>
  <printOptions horizontalCentered="1" verticalCentered="1"/>
  <pageMargins left="0.19685039370078741" right="0.19685039370078741" top="0.23622047244094491" bottom="0.19685039370078741" header="0.43307086614173229" footer="0.19685039370078741"/>
  <pageSetup scale="73" orientation="landscape" r:id="rId1"/>
  <headerFooter scaleWithDoc="0">
    <oddFooter>&amp;R&amp;"Goudy,Negrita Cursiva"Técnica Diurna&amp;"Goudy,Cursiva",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G34"/>
  <sheetViews>
    <sheetView showGridLines="0" tabSelected="1" showRuler="0" zoomScale="90" zoomScaleNormal="90" workbookViewId="0"/>
  </sheetViews>
  <sheetFormatPr baseColWidth="10" defaultColWidth="11.44140625" defaultRowHeight="25.8" customHeight="1"/>
  <cols>
    <col min="1" max="1" width="4.88671875" style="291" customWidth="1"/>
    <col min="2" max="2" width="5.33203125" style="607" hidden="1" customWidth="1"/>
    <col min="3" max="3" width="54" style="291" customWidth="1"/>
    <col min="4" max="4" width="66.88671875" style="291" customWidth="1"/>
    <col min="5" max="5" width="10.44140625" style="291" customWidth="1"/>
    <col min="6" max="6" width="51.5546875" style="291" customWidth="1"/>
    <col min="7" max="7" width="10.88671875" style="607" hidden="1" customWidth="1"/>
    <col min="8" max="16384" width="11.44140625" style="291"/>
  </cols>
  <sheetData>
    <row r="1" spans="2:7" ht="7.8" customHeight="1"/>
    <row r="2" spans="2:7" ht="30">
      <c r="C2" s="707" t="s">
        <v>2626</v>
      </c>
      <c r="D2" s="707"/>
      <c r="E2" s="656"/>
    </row>
    <row r="3" spans="2:7" ht="30">
      <c r="C3" s="708" t="s">
        <v>873</v>
      </c>
      <c r="D3" s="708"/>
      <c r="E3" s="657"/>
      <c r="F3" s="658" t="s">
        <v>2627</v>
      </c>
    </row>
    <row r="4" spans="2:7" ht="10.8" customHeight="1">
      <c r="E4" s="657"/>
      <c r="F4" s="659"/>
    </row>
    <row r="5" spans="2:7" s="604" customFormat="1" ht="25.8" customHeight="1">
      <c r="B5" s="607">
        <v>1</v>
      </c>
      <c r="C5" s="660" t="s">
        <v>160</v>
      </c>
      <c r="D5" s="661"/>
      <c r="E5" s="662"/>
      <c r="F5" s="709" t="str">
        <f>CONCATENATE("4.",D7,"-",D5,"-",D6)</f>
        <v>4.--</v>
      </c>
      <c r="G5" s="607"/>
    </row>
    <row r="6" spans="2:7" ht="25.8" customHeight="1">
      <c r="B6" s="607">
        <v>2</v>
      </c>
      <c r="C6" s="660" t="s">
        <v>14</v>
      </c>
      <c r="D6" s="663" t="str">
        <f>IFERROR(VLOOKUP(D7,datos,3,0),"")</f>
        <v/>
      </c>
      <c r="E6" s="662"/>
      <c r="F6" s="710"/>
    </row>
    <row r="7" spans="2:7" ht="25.8" customHeight="1">
      <c r="B7" s="607">
        <v>3</v>
      </c>
      <c r="C7" s="660" t="s">
        <v>1</v>
      </c>
      <c r="D7" s="664" t="str">
        <f>IFERROR(VLOOKUP(D5,codigo,2,0),"")</f>
        <v/>
      </c>
      <c r="E7" s="662"/>
    </row>
    <row r="8" spans="2:7" ht="10.8" customHeight="1">
      <c r="C8" s="660"/>
      <c r="E8" s="35"/>
    </row>
    <row r="9" spans="2:7" ht="25.8" customHeight="1">
      <c r="B9" s="607">
        <v>4</v>
      </c>
      <c r="C9" s="660" t="s">
        <v>2305</v>
      </c>
      <c r="D9" s="665" t="str">
        <f>IFERROR(VLOOKUP(D7,datos,16,0),"")</f>
        <v/>
      </c>
      <c r="E9" s="666"/>
    </row>
    <row r="10" spans="2:7" ht="25.8" customHeight="1">
      <c r="B10" s="607">
        <v>5</v>
      </c>
      <c r="C10" s="660" t="s">
        <v>2306</v>
      </c>
      <c r="D10" s="665" t="str">
        <f>IFERROR(VLOOKUP(D7,datos,17,0),"")</f>
        <v/>
      </c>
      <c r="E10" s="666"/>
    </row>
    <row r="11" spans="2:7" ht="25.8" customHeight="1">
      <c r="B11" s="607">
        <v>6</v>
      </c>
      <c r="C11" s="660" t="s">
        <v>256</v>
      </c>
      <c r="D11" s="667" t="str">
        <f>IFERROR(VLOOKUP(D7,datos,18,0),"")</f>
        <v/>
      </c>
      <c r="E11" s="668"/>
    </row>
    <row r="12" spans="2:7" ht="25.8" customHeight="1">
      <c r="B12" s="607">
        <v>7</v>
      </c>
      <c r="C12" s="660" t="s">
        <v>2628</v>
      </c>
      <c r="D12" s="669" t="str">
        <f>IFERROR(VLOOKUP(G14,prov,2,0),"")</f>
        <v/>
      </c>
      <c r="E12" s="670"/>
      <c r="F12" s="671" t="s">
        <v>2629</v>
      </c>
    </row>
    <row r="13" spans="2:7" ht="25.8" customHeight="1">
      <c r="B13" s="607">
        <v>8</v>
      </c>
      <c r="C13" s="660" t="s">
        <v>307</v>
      </c>
      <c r="D13" s="688" t="str">
        <f>IFERROR(VLOOKUP(D12,ubicac,2,0),"")</f>
        <v/>
      </c>
      <c r="E13" s="670"/>
      <c r="F13" s="84"/>
      <c r="G13" s="456"/>
    </row>
    <row r="14" spans="2:7" ht="25.8" customHeight="1">
      <c r="B14" s="607">
        <v>9</v>
      </c>
      <c r="C14" s="660" t="s">
        <v>157</v>
      </c>
      <c r="D14" s="669" t="str">
        <f>IFERROR(VLOOKUP(D7,datos,13,0),"")</f>
        <v/>
      </c>
      <c r="E14" s="672"/>
      <c r="G14" s="686" t="str">
        <f>IFERROR(VLOOKUP(D7,datos,9,0),"")</f>
        <v/>
      </c>
    </row>
    <row r="15" spans="2:7" ht="25.8" customHeight="1">
      <c r="B15" s="607">
        <v>10</v>
      </c>
      <c r="C15" s="673" t="s">
        <v>158</v>
      </c>
      <c r="D15" s="669" t="str">
        <f>IFERROR(VLOOKUP(D7,datos,19,0),"")</f>
        <v/>
      </c>
      <c r="E15" s="672"/>
    </row>
    <row r="16" spans="2:7" ht="10.8" customHeight="1">
      <c r="C16" s="660"/>
      <c r="E16" s="35"/>
    </row>
    <row r="17" spans="1:7" ht="25.8" customHeight="1">
      <c r="B17" s="607">
        <v>11</v>
      </c>
      <c r="C17" s="673" t="s">
        <v>9</v>
      </c>
      <c r="D17" s="669" t="str">
        <f>IFERROR(VLOOKUP(D7,datos,14,0),"")</f>
        <v/>
      </c>
      <c r="E17" s="672"/>
      <c r="F17" s="671" t="s">
        <v>2630</v>
      </c>
    </row>
    <row r="18" spans="1:7" ht="25.8" customHeight="1">
      <c r="B18" s="607">
        <v>12</v>
      </c>
      <c r="C18" s="673" t="s">
        <v>159</v>
      </c>
      <c r="D18" s="669" t="str">
        <f>IFERROR(VLOOKUP(D7,datos,4,0),"")</f>
        <v/>
      </c>
      <c r="E18" s="672"/>
      <c r="F18" s="674"/>
    </row>
    <row r="19" spans="1:7" ht="25.8" customHeight="1">
      <c r="B19" s="607">
        <v>13</v>
      </c>
      <c r="C19" s="673" t="s">
        <v>13</v>
      </c>
      <c r="D19" s="669" t="str">
        <f>IFERROR(VLOOKUP(D7,datos,5,0),"")</f>
        <v/>
      </c>
      <c r="E19" s="672"/>
    </row>
    <row r="20" spans="1:7" ht="10.8" customHeight="1">
      <c r="C20" s="673"/>
      <c r="E20" s="672"/>
    </row>
    <row r="21" spans="1:7" ht="25.8" customHeight="1">
      <c r="B21" s="607">
        <v>14</v>
      </c>
      <c r="C21" s="675" t="s">
        <v>2631</v>
      </c>
      <c r="D21" s="676"/>
      <c r="F21" s="687" t="str">
        <f>IF(D21="Sí","Complete el Cuadro 8 (Parte 1, 2 y 3) de este formulario.","")</f>
        <v/>
      </c>
    </row>
    <row r="22" spans="1:7" ht="28.2" customHeight="1">
      <c r="B22" s="607">
        <v>15</v>
      </c>
      <c r="C22" s="146" t="s">
        <v>1640</v>
      </c>
      <c r="D22" s="677"/>
      <c r="E22" s="678" t="str">
        <f>IFERROR(VLOOKUP(D7,datos,24,0),"")</f>
        <v/>
      </c>
      <c r="F22" s="680" t="str">
        <f>IF(D22="Sí","Complete el formulario para Técnica Nocturna y, el Cuadro 1 de este formulario.","")</f>
        <v/>
      </c>
    </row>
    <row r="23" spans="1:7" ht="25.8" customHeight="1">
      <c r="B23" s="607">
        <v>16</v>
      </c>
      <c r="C23" s="146" t="s">
        <v>828</v>
      </c>
      <c r="D23" s="677"/>
      <c r="E23" s="678" t="str">
        <f>IFERROR(VLOOKUP(D7,datos,21,0),"")</f>
        <v/>
      </c>
      <c r="F23" s="680" t="str">
        <f>IF(D23="Sí","Complete el formulario para Plan Nacional y, el Cuadro 1 de este formulario.","")</f>
        <v/>
      </c>
    </row>
    <row r="24" spans="1:7" ht="25.8" customHeight="1">
      <c r="B24" s="607">
        <v>17</v>
      </c>
      <c r="C24" s="146" t="s">
        <v>306</v>
      </c>
      <c r="D24" s="677"/>
      <c r="E24" s="678" t="str">
        <f>IFERROR(VLOOKUP(D7,datos,23,0),"")</f>
        <v/>
      </c>
      <c r="F24" s="605" t="str">
        <f>IF(D24="Sí","Complete el Cuadro 1.","")</f>
        <v/>
      </c>
    </row>
    <row r="25" spans="1:7" ht="25.8" customHeight="1">
      <c r="B25" s="607">
        <v>18</v>
      </c>
      <c r="C25" s="146" t="s">
        <v>1578</v>
      </c>
      <c r="D25" s="677"/>
      <c r="E25" s="678" t="str">
        <f>IFERROR(VLOOKUP(D8,datos,23,0),"")</f>
        <v/>
      </c>
      <c r="F25" s="605" t="str">
        <f>IF(D25="Sí","Complete el Cuadro 1.","")</f>
        <v/>
      </c>
    </row>
    <row r="26" spans="1:7" ht="10.8" customHeight="1">
      <c r="A26" s="320" t="s">
        <v>303</v>
      </c>
      <c r="B26" s="679"/>
      <c r="C26" s="606"/>
      <c r="D26" s="680"/>
      <c r="E26" s="606"/>
      <c r="G26" s="679"/>
    </row>
    <row r="27" spans="1:7" ht="25.8" customHeight="1">
      <c r="B27" s="607">
        <v>19</v>
      </c>
      <c r="C27" s="660" t="s">
        <v>2632</v>
      </c>
      <c r="D27" s="689" t="str">
        <f>IFERROR(VLOOKUP(D7,datos,15,0),"")</f>
        <v/>
      </c>
      <c r="E27" s="670"/>
    </row>
    <row r="28" spans="1:7" ht="25.8" customHeight="1">
      <c r="B28" s="607">
        <v>20</v>
      </c>
      <c r="C28" s="660" t="s">
        <v>2633</v>
      </c>
      <c r="D28" s="681"/>
      <c r="E28" s="682"/>
      <c r="G28" s="607" t="s">
        <v>302</v>
      </c>
    </row>
    <row r="29" spans="1:7" s="606" customFormat="1" ht="25.8" customHeight="1">
      <c r="B29" s="607">
        <v>21</v>
      </c>
      <c r="C29" s="660" t="s">
        <v>2634</v>
      </c>
      <c r="D29" s="681"/>
      <c r="E29" s="683"/>
      <c r="F29" s="671" t="s">
        <v>2636</v>
      </c>
      <c r="G29" s="607" t="s">
        <v>303</v>
      </c>
    </row>
    <row r="30" spans="1:7" ht="25.8" customHeight="1">
      <c r="B30" s="607">
        <v>22</v>
      </c>
      <c r="C30" s="660" t="s">
        <v>2635</v>
      </c>
      <c r="D30" s="681"/>
      <c r="E30" s="684"/>
    </row>
    <row r="31" spans="1:7" ht="10.8" customHeight="1">
      <c r="C31" s="685"/>
    </row>
    <row r="32" spans="1:7" ht="25.8" customHeight="1">
      <c r="D32" s="711" t="s">
        <v>2590</v>
      </c>
      <c r="E32" s="712"/>
      <c r="F32" s="713"/>
    </row>
    <row r="33" spans="4:6" ht="25.8" customHeight="1">
      <c r="D33" s="714"/>
      <c r="E33" s="715"/>
      <c r="F33" s="716"/>
    </row>
    <row r="34" spans="4:6" ht="25.8" customHeight="1">
      <c r="D34" s="717"/>
      <c r="E34" s="718"/>
      <c r="F34" s="719"/>
    </row>
  </sheetData>
  <sheetProtection algorithmName="SHA-512" hashValue="9n/f0CiYRSrbkFwYBAFPIpOMXI9ltAnAIEiam6GjlXvK1/XMJhY2dUYwPP357H2iCT0N8Od6KucobmEtwFwJDA==" saltValue="QHNMSvhfZJh5lblDyXO8pg==" spinCount="100000" sheet="1" objects="1" scenarios="1"/>
  <mergeCells count="4">
    <mergeCell ref="C2:D2"/>
    <mergeCell ref="C3:D3"/>
    <mergeCell ref="F5:F6"/>
    <mergeCell ref="D32:F34"/>
  </mergeCells>
  <conditionalFormatting sqref="D5:D6 E26">
    <cfRule type="cellIs" dxfId="97" priority="6" operator="equal">
      <formula>#N/A</formula>
    </cfRule>
  </conditionalFormatting>
  <conditionalFormatting sqref="D17:D19">
    <cfRule type="cellIs" dxfId="96" priority="4" operator="equal">
      <formula>#N/A</formula>
    </cfRule>
  </conditionalFormatting>
  <conditionalFormatting sqref="D21:D25">
    <cfRule type="containsBlanks" dxfId="95" priority="7">
      <formula>LEN(TRIM(D21))=0</formula>
    </cfRule>
    <cfRule type="containsBlanks" dxfId="94" priority="8">
      <formula>LEN(TRIM(D21))=0</formula>
    </cfRule>
  </conditionalFormatting>
  <conditionalFormatting sqref="D9:E14">
    <cfRule type="cellIs" dxfId="93" priority="2" operator="equal">
      <formula>#N/A</formula>
    </cfRule>
  </conditionalFormatting>
  <conditionalFormatting sqref="E22:E25">
    <cfRule type="cellIs" dxfId="92" priority="9" operator="equal">
      <formula>0</formula>
    </cfRule>
  </conditionalFormatting>
  <conditionalFormatting sqref="F13:G13 E17:E21">
    <cfRule type="cellIs" dxfId="91" priority="3" operator="equal">
      <formula>#N/A</formula>
    </cfRule>
  </conditionalFormatting>
  <conditionalFormatting sqref="G14">
    <cfRule type="cellIs" dxfId="90" priority="21" operator="equal">
      <formula>#N/A</formula>
    </cfRule>
  </conditionalFormatting>
  <dataValidations xWindow="122" yWindow="211" count="2">
    <dataValidation type="list" allowBlank="1" showInputMessage="1" showErrorMessage="1" sqref="D21:D25" xr:uid="{00000000-0002-0000-0200-000000000000}">
      <formula1>SINO</formula1>
    </dataValidation>
    <dataValidation allowBlank="1" showInputMessage="1" showErrorMessage="1" prompt="Digite únicamente los últimos 4 dígitos del Código Presupuestario._x000a__x000a_-C.T.P. SAN AGUSTIN CIUDAD DE LOS NIÑOS debe digitar 0007_x000a_-C.T.P. C.I.T. debe digitar 0008_x000a_-COLEGIO AGROPECUARIO DE SAN CARLOS debe digitar 0010" sqref="D5" xr:uid="{00000000-0002-0000-0200-000001000000}"/>
  </dataValidations>
  <printOptions horizontalCentered="1" verticalCentered="1"/>
  <pageMargins left="0.19685039370078741" right="0.19685039370078741" top="0.94488188976377963" bottom="0.19685039370078741" header="0.11811023622047245" footer="0.19685039370078741"/>
  <pageSetup paperSize="135" scale="68" orientation="landscape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0">
    <pageSetUpPr fitToPage="1"/>
  </sheetPr>
  <dimension ref="B1:N31"/>
  <sheetViews>
    <sheetView showGridLines="0" showRuler="0" zoomScale="90" zoomScaleNormal="90" workbookViewId="0"/>
  </sheetViews>
  <sheetFormatPr baseColWidth="10" defaultColWidth="11.44140625" defaultRowHeight="13.8"/>
  <cols>
    <col min="1" max="1" width="8.33203125" style="44" customWidth="1"/>
    <col min="2" max="2" width="8.33203125" style="448" hidden="1" customWidth="1"/>
    <col min="3" max="3" width="43.44140625" style="44" customWidth="1"/>
    <col min="4" max="4" width="4.6640625" style="44" customWidth="1"/>
    <col min="5" max="10" width="11.109375" style="44" customWidth="1"/>
    <col min="11" max="11" width="13.109375" style="44" customWidth="1"/>
    <col min="12" max="12" width="45.6640625" style="44" customWidth="1"/>
    <col min="13" max="16384" width="11.44140625" style="44"/>
  </cols>
  <sheetData>
    <row r="1" spans="2:14" ht="17.399999999999999">
      <c r="C1" s="26" t="s">
        <v>788</v>
      </c>
      <c r="D1" s="26"/>
      <c r="F1" s="546"/>
      <c r="H1" s="51"/>
      <c r="I1" s="51"/>
      <c r="J1" s="51"/>
      <c r="K1" s="51"/>
      <c r="L1" s="547"/>
      <c r="M1" s="547"/>
      <c r="N1" s="547"/>
    </row>
    <row r="2" spans="2:14" ht="38.25" customHeight="1" thickBot="1">
      <c r="C2" s="732" t="s">
        <v>1641</v>
      </c>
      <c r="D2" s="732"/>
      <c r="E2" s="732"/>
      <c r="F2" s="732"/>
      <c r="G2" s="732"/>
      <c r="H2" s="732"/>
      <c r="I2" s="732"/>
      <c r="J2" s="732"/>
      <c r="K2" s="732"/>
    </row>
    <row r="3" spans="2:14" ht="26.25" customHeight="1" thickTop="1">
      <c r="B3" s="448">
        <v>1</v>
      </c>
      <c r="C3" s="735" t="s">
        <v>1642</v>
      </c>
      <c r="D3" s="88"/>
      <c r="E3" s="737" t="s">
        <v>790</v>
      </c>
      <c r="F3" s="738"/>
      <c r="G3" s="738"/>
      <c r="H3" s="741" t="s">
        <v>1639</v>
      </c>
      <c r="I3" s="738"/>
      <c r="J3" s="742"/>
      <c r="K3" s="733" t="s">
        <v>867</v>
      </c>
    </row>
    <row r="4" spans="2:14" ht="26.25" customHeight="1" thickBot="1">
      <c r="B4" s="448">
        <v>2</v>
      </c>
      <c r="C4" s="736"/>
      <c r="D4" s="145"/>
      <c r="E4" s="548" t="s">
        <v>0</v>
      </c>
      <c r="F4" s="549" t="s">
        <v>164</v>
      </c>
      <c r="G4" s="328" t="s">
        <v>165</v>
      </c>
      <c r="H4" s="327" t="s">
        <v>0</v>
      </c>
      <c r="I4" s="549" t="s">
        <v>164</v>
      </c>
      <c r="J4" s="550" t="s">
        <v>165</v>
      </c>
      <c r="K4" s="734"/>
    </row>
    <row r="5" spans="2:14" ht="26.25" customHeight="1" thickTop="1" thickBot="1">
      <c r="B5" s="448">
        <v>3</v>
      </c>
      <c r="C5" s="551" t="s">
        <v>286</v>
      </c>
      <c r="D5" s="552"/>
      <c r="E5" s="553">
        <f>+F5+G5</f>
        <v>0</v>
      </c>
      <c r="F5" s="554">
        <f>F6+F13+F14+F15</f>
        <v>0</v>
      </c>
      <c r="G5" s="555">
        <f>G6+G13+G14+G15</f>
        <v>0</v>
      </c>
      <c r="H5" s="556"/>
      <c r="I5" s="557"/>
      <c r="J5" s="557"/>
      <c r="K5" s="558">
        <f>+K6+K13+K14</f>
        <v>0</v>
      </c>
    </row>
    <row r="6" spans="2:14" ht="27" customHeight="1">
      <c r="B6" s="448">
        <v>4</v>
      </c>
      <c r="C6" s="559" t="s">
        <v>873</v>
      </c>
      <c r="D6" s="560"/>
      <c r="E6" s="184">
        <f>+F6+G6</f>
        <v>0</v>
      </c>
      <c r="F6" s="561">
        <f>SUM(F7:F12)</f>
        <v>0</v>
      </c>
      <c r="G6" s="212">
        <f>SUM(G7:G12)</f>
        <v>0</v>
      </c>
      <c r="H6" s="488">
        <f>+I6+J6</f>
        <v>0</v>
      </c>
      <c r="I6" s="561">
        <f>SUM(I7:I12)</f>
        <v>0</v>
      </c>
      <c r="J6" s="489">
        <f>SUM(J7:J12)</f>
        <v>0</v>
      </c>
      <c r="K6" s="488">
        <f>SUM(K7:K12)</f>
        <v>0</v>
      </c>
    </row>
    <row r="7" spans="2:14" ht="24" customHeight="1">
      <c r="B7" s="448">
        <v>5</v>
      </c>
      <c r="C7" s="562" t="s">
        <v>847</v>
      </c>
      <c r="D7" s="563"/>
      <c r="E7" s="184">
        <f t="shared" ref="E7:E12" si="0">+F7+G7</f>
        <v>0</v>
      </c>
      <c r="F7" s="564"/>
      <c r="G7" s="565"/>
      <c r="H7" s="488">
        <f t="shared" ref="H7:H12" si="1">+I7+J7</f>
        <v>0</v>
      </c>
      <c r="I7" s="564"/>
      <c r="J7" s="566"/>
      <c r="K7" s="567"/>
      <c r="L7" s="568" t="str">
        <f>IF(AND(OR(E7&gt;0),AND(K7=0)),"Digite el número de secciones",IF(AND(OR(E7=0),AND(K7&gt;E7)),"No hay matrícula digitada",IF(AND(OR(E7&gt;0),AND(K7&gt;E7)),"Hay más secciones que matrícula","")))</f>
        <v/>
      </c>
    </row>
    <row r="8" spans="2:14" ht="24" customHeight="1">
      <c r="B8" s="448">
        <v>6</v>
      </c>
      <c r="C8" s="562" t="s">
        <v>848</v>
      </c>
      <c r="D8" s="563"/>
      <c r="E8" s="167">
        <f t="shared" si="0"/>
        <v>0</v>
      </c>
      <c r="F8" s="569"/>
      <c r="G8" s="213"/>
      <c r="H8" s="363">
        <f t="shared" si="1"/>
        <v>0</v>
      </c>
      <c r="I8" s="564"/>
      <c r="J8" s="566"/>
      <c r="K8" s="570"/>
      <c r="L8" s="568" t="str">
        <f t="shared" ref="L8:L14" si="2">IF(AND(OR(E8&gt;0),AND(K8=0)),"Digite el número de secciones",IF(AND(OR(E8=0),AND(K8&gt;E8)),"No hay matrícula digitada",IF(AND(OR(E8&gt;0),AND(K8&gt;E8)),"Hay más secciones que matrícula","")))</f>
        <v/>
      </c>
    </row>
    <row r="9" spans="2:14" ht="24" customHeight="1">
      <c r="B9" s="448">
        <v>7</v>
      </c>
      <c r="C9" s="562" t="s">
        <v>849</v>
      </c>
      <c r="D9" s="563"/>
      <c r="E9" s="167">
        <f t="shared" si="0"/>
        <v>0</v>
      </c>
      <c r="F9" s="569"/>
      <c r="G9" s="213"/>
      <c r="H9" s="363">
        <f t="shared" si="1"/>
        <v>0</v>
      </c>
      <c r="I9" s="564"/>
      <c r="J9" s="566"/>
      <c r="K9" s="570"/>
      <c r="L9" s="568" t="str">
        <f t="shared" si="2"/>
        <v/>
      </c>
    </row>
    <row r="10" spans="2:14" ht="24" customHeight="1">
      <c r="B10" s="448">
        <v>8</v>
      </c>
      <c r="C10" s="562" t="s">
        <v>837</v>
      </c>
      <c r="D10" s="571"/>
      <c r="E10" s="167">
        <f t="shared" si="0"/>
        <v>0</v>
      </c>
      <c r="F10" s="569"/>
      <c r="G10" s="213"/>
      <c r="H10" s="363">
        <f t="shared" si="1"/>
        <v>0</v>
      </c>
      <c r="I10" s="564"/>
      <c r="J10" s="566"/>
      <c r="K10" s="570"/>
      <c r="L10" s="568" t="str">
        <f t="shared" si="2"/>
        <v/>
      </c>
    </row>
    <row r="11" spans="2:14" ht="24" customHeight="1">
      <c r="B11" s="448">
        <v>9</v>
      </c>
      <c r="C11" s="562" t="s">
        <v>850</v>
      </c>
      <c r="D11" s="563"/>
      <c r="E11" s="184">
        <f t="shared" si="0"/>
        <v>0</v>
      </c>
      <c r="F11" s="564"/>
      <c r="G11" s="565"/>
      <c r="H11" s="488">
        <f t="shared" si="1"/>
        <v>0</v>
      </c>
      <c r="I11" s="564"/>
      <c r="J11" s="566"/>
      <c r="K11" s="567"/>
      <c r="L11" s="568" t="str">
        <f t="shared" si="2"/>
        <v/>
      </c>
    </row>
    <row r="12" spans="2:14" ht="24" customHeight="1">
      <c r="B12" s="448">
        <v>10</v>
      </c>
      <c r="C12" s="572" t="s">
        <v>851</v>
      </c>
      <c r="D12" s="573"/>
      <c r="E12" s="574">
        <f t="shared" si="0"/>
        <v>0</v>
      </c>
      <c r="F12" s="575"/>
      <c r="G12" s="576"/>
      <c r="H12" s="577">
        <f t="shared" si="1"/>
        <v>0</v>
      </c>
      <c r="I12" s="564"/>
      <c r="J12" s="566"/>
      <c r="K12" s="578"/>
      <c r="L12" s="568" t="str">
        <f t="shared" si="2"/>
        <v/>
      </c>
    </row>
    <row r="13" spans="2:14" ht="24" customHeight="1">
      <c r="B13" s="448">
        <v>11</v>
      </c>
      <c r="C13" s="579" t="s">
        <v>1529</v>
      </c>
      <c r="D13" s="580" t="str">
        <f>IF(E13=0,"","#")</f>
        <v/>
      </c>
      <c r="E13" s="581">
        <f>+F13+G13</f>
        <v>0</v>
      </c>
      <c r="F13" s="582"/>
      <c r="G13" s="583"/>
      <c r="H13" s="743" t="str">
        <f>IF(OR(I7&gt;F7,I8&gt;F8,I9&gt;F9,I10&gt;F10,I11&gt;F11,I12&gt;F12,J7&gt;G7,J8&gt;G8,J9&gt;G9,J10&gt;G10,J11&gt;G11,J12&gt;G12),"El dato de repitentes no puede ser mayor a la matrícula, en hombres o mujeres. VERIFICAR!!","")</f>
        <v/>
      </c>
      <c r="I13" s="744"/>
      <c r="J13" s="745"/>
      <c r="K13" s="583"/>
      <c r="L13" s="568" t="str">
        <f t="shared" si="2"/>
        <v/>
      </c>
    </row>
    <row r="14" spans="2:14" ht="24" customHeight="1">
      <c r="B14" s="448">
        <v>12</v>
      </c>
      <c r="C14" s="584" t="s">
        <v>305</v>
      </c>
      <c r="D14" s="585" t="str">
        <f>IF(E14=0,"","##")</f>
        <v/>
      </c>
      <c r="E14" s="586">
        <f>+F14+G14</f>
        <v>0</v>
      </c>
      <c r="F14" s="587"/>
      <c r="G14" s="588"/>
      <c r="H14" s="746"/>
      <c r="I14" s="747"/>
      <c r="J14" s="748"/>
      <c r="K14" s="588"/>
      <c r="L14" s="568" t="str">
        <f t="shared" si="2"/>
        <v/>
      </c>
    </row>
    <row r="15" spans="2:14" ht="24" customHeight="1">
      <c r="B15" s="448">
        <v>13</v>
      </c>
      <c r="C15" s="739" t="s">
        <v>789</v>
      </c>
      <c r="D15" s="740"/>
      <c r="E15" s="184">
        <f>+F15+G15</f>
        <v>0</v>
      </c>
      <c r="F15" s="561">
        <f>SUM(F16:F20)</f>
        <v>0</v>
      </c>
      <c r="G15" s="212">
        <f>SUM(G16:G20)</f>
        <v>0</v>
      </c>
      <c r="H15" s="746"/>
      <c r="I15" s="747"/>
      <c r="J15" s="748"/>
      <c r="K15" s="749"/>
    </row>
    <row r="16" spans="2:14" ht="22.5" customHeight="1">
      <c r="B16" s="448">
        <v>14</v>
      </c>
      <c r="C16" s="589" t="s">
        <v>281</v>
      </c>
      <c r="D16" s="590"/>
      <c r="E16" s="167">
        <f>+F16+G16</f>
        <v>0</v>
      </c>
      <c r="F16" s="569"/>
      <c r="G16" s="213"/>
      <c r="H16" s="591"/>
      <c r="I16" s="747" t="str">
        <f>IF(AND('CUADRO 1'!H6&gt;0,'CUADRO 3'!D21=0),"Debe indicar datos en el Cuadro 3",IF(AND('CUADRO 1'!H6=0,'CUADRO 3'!D21&gt;0),"Indicó datos en el Cuadro 3, debe indicar datos en este Cuadro",""))</f>
        <v/>
      </c>
      <c r="J16" s="748"/>
      <c r="K16" s="750"/>
    </row>
    <row r="17" spans="2:11" ht="22.5" customHeight="1">
      <c r="B17" s="448">
        <v>15</v>
      </c>
      <c r="C17" s="589" t="s">
        <v>864</v>
      </c>
      <c r="D17" s="590"/>
      <c r="E17" s="167">
        <f t="shared" ref="E17:E20" si="3">+F17+G17</f>
        <v>0</v>
      </c>
      <c r="F17" s="569"/>
      <c r="G17" s="213"/>
      <c r="H17" s="592"/>
      <c r="I17" s="747"/>
      <c r="J17" s="748"/>
      <c r="K17" s="750"/>
    </row>
    <row r="18" spans="2:11" ht="22.5" customHeight="1">
      <c r="B18" s="448">
        <v>16</v>
      </c>
      <c r="C18" s="589" t="s">
        <v>865</v>
      </c>
      <c r="D18" s="590"/>
      <c r="E18" s="167">
        <f t="shared" si="3"/>
        <v>0</v>
      </c>
      <c r="F18" s="569"/>
      <c r="G18" s="213"/>
      <c r="H18" s="592"/>
      <c r="I18" s="747"/>
      <c r="J18" s="748"/>
      <c r="K18" s="750"/>
    </row>
    <row r="19" spans="2:11" ht="22.5" customHeight="1">
      <c r="B19" s="448">
        <v>17</v>
      </c>
      <c r="C19" s="589" t="s">
        <v>866</v>
      </c>
      <c r="D19" s="590"/>
      <c r="E19" s="167">
        <f t="shared" si="3"/>
        <v>0</v>
      </c>
      <c r="F19" s="569"/>
      <c r="G19" s="213"/>
      <c r="H19" s="593"/>
      <c r="I19" s="594"/>
      <c r="J19" s="595"/>
      <c r="K19" s="750"/>
    </row>
    <row r="20" spans="2:11" ht="22.5" customHeight="1" thickBot="1">
      <c r="B20" s="448">
        <v>18</v>
      </c>
      <c r="C20" s="596" t="s">
        <v>282</v>
      </c>
      <c r="D20" s="597"/>
      <c r="E20" s="187">
        <f t="shared" si="3"/>
        <v>0</v>
      </c>
      <c r="F20" s="598"/>
      <c r="G20" s="223"/>
      <c r="H20" s="599"/>
      <c r="I20" s="600"/>
      <c r="J20" s="601"/>
      <c r="K20" s="751"/>
    </row>
    <row r="21" spans="2:11" ht="21" customHeight="1" thickTop="1">
      <c r="C21" s="720" t="str">
        <f>IF(OR(D13="#"),"# Completar el formulario para Técnica Nocturna.","")</f>
        <v/>
      </c>
      <c r="D21" s="720"/>
      <c r="E21" s="720"/>
      <c r="F21" s="720"/>
      <c r="G21" s="720"/>
      <c r="H21" s="721"/>
      <c r="I21" s="721"/>
      <c r="J21" s="721"/>
      <c r="K21" s="721"/>
    </row>
    <row r="22" spans="2:11" ht="21" customHeight="1">
      <c r="C22" s="722" t="str">
        <f>IF(D14="##","## Completar el formulario para Plan Nacional.","")</f>
        <v/>
      </c>
      <c r="D22" s="722"/>
      <c r="E22" s="722"/>
      <c r="F22" s="722"/>
      <c r="G22" s="722"/>
      <c r="H22" s="722"/>
      <c r="I22" s="722"/>
      <c r="J22" s="722"/>
      <c r="K22" s="722"/>
    </row>
    <row r="23" spans="2:11" ht="21" customHeight="1">
      <c r="C23" s="603" t="str">
        <f>IF(AND('CUADRO 1'!E13&gt;0,OR(Portada!D22="No",Portada!D22="")),"En la Portada indicó que no tiene Sección Técnica Nocturna.",IF(AND('CUADRO 1'!E13=0,Portada!D22="Sí"),"En la Portada indicó que tiene Sección Técnica Nocturna.",""))</f>
        <v/>
      </c>
      <c r="D23" s="602"/>
      <c r="E23" s="602"/>
      <c r="F23" s="602"/>
      <c r="G23" s="602"/>
      <c r="H23" s="602"/>
      <c r="I23" s="602"/>
      <c r="J23" s="602"/>
      <c r="K23" s="602"/>
    </row>
    <row r="24" spans="2:11" ht="21" customHeight="1">
      <c r="C24" s="603" t="str">
        <f>IF(AND('CUADRO 1'!E14&gt;0,OR(Portada!D23="No",Portada!D23="")),"En la Portada indicó que no tiene Plan Nacional.",IF(AND('CUADRO 1'!E14=0,Portada!D23="Sí"),"En la Portada indicó que tiene Plan Nacional.",""))</f>
        <v/>
      </c>
      <c r="D24" s="602"/>
      <c r="E24" s="602"/>
      <c r="F24" s="602"/>
      <c r="G24" s="602"/>
      <c r="H24" s="602"/>
      <c r="I24" s="602"/>
      <c r="J24" s="602"/>
      <c r="K24" s="602"/>
    </row>
    <row r="25" spans="2:11" ht="21" customHeight="1">
      <c r="C25" s="603" t="str">
        <f>IF(AND('CUADRO 1'!E15&gt;0,OR(Portada!D24="No",Portada!D24="")),"En la Portada indicó que no tiene Proyectos de Educación Abierta.",IF(AND('CUADRO 1'!E15=0,Portada!D24="Sí"),"En la Portada indicó que tiene Proyectos de Educación Abierta.",""))</f>
        <v/>
      </c>
      <c r="D25" s="602"/>
      <c r="E25" s="602"/>
      <c r="F25" s="602"/>
      <c r="G25" s="602"/>
      <c r="H25" s="602"/>
      <c r="I25" s="602"/>
      <c r="J25" s="602"/>
      <c r="K25" s="602"/>
    </row>
    <row r="26" spans="2:11" ht="22.5" customHeight="1">
      <c r="C26" s="195" t="s">
        <v>273</v>
      </c>
      <c r="D26" s="195"/>
      <c r="E26" s="510"/>
      <c r="F26" s="510"/>
      <c r="G26" s="510"/>
      <c r="H26" s="510"/>
      <c r="I26" s="510"/>
      <c r="J26" s="510"/>
      <c r="K26" s="510"/>
    </row>
    <row r="27" spans="2:11" ht="18" customHeight="1">
      <c r="B27" s="448">
        <v>19</v>
      </c>
      <c r="C27" s="723"/>
      <c r="D27" s="724"/>
      <c r="E27" s="724"/>
      <c r="F27" s="724"/>
      <c r="G27" s="724"/>
      <c r="H27" s="724"/>
      <c r="I27" s="724"/>
      <c r="J27" s="724"/>
      <c r="K27" s="725"/>
    </row>
    <row r="28" spans="2:11" ht="18" customHeight="1">
      <c r="C28" s="726"/>
      <c r="D28" s="727"/>
      <c r="E28" s="727"/>
      <c r="F28" s="727"/>
      <c r="G28" s="727"/>
      <c r="H28" s="727"/>
      <c r="I28" s="727"/>
      <c r="J28" s="727"/>
      <c r="K28" s="728"/>
    </row>
    <row r="29" spans="2:11" ht="18" customHeight="1">
      <c r="C29" s="726"/>
      <c r="D29" s="727"/>
      <c r="E29" s="727"/>
      <c r="F29" s="727"/>
      <c r="G29" s="727"/>
      <c r="H29" s="727"/>
      <c r="I29" s="727"/>
      <c r="J29" s="727"/>
      <c r="K29" s="728"/>
    </row>
    <row r="30" spans="2:11" ht="18" customHeight="1">
      <c r="C30" s="726"/>
      <c r="D30" s="727"/>
      <c r="E30" s="727"/>
      <c r="F30" s="727"/>
      <c r="G30" s="727"/>
      <c r="H30" s="727"/>
      <c r="I30" s="727"/>
      <c r="J30" s="727"/>
      <c r="K30" s="728"/>
    </row>
    <row r="31" spans="2:11" ht="18" customHeight="1">
      <c r="C31" s="729"/>
      <c r="D31" s="730"/>
      <c r="E31" s="730"/>
      <c r="F31" s="730"/>
      <c r="G31" s="730"/>
      <c r="H31" s="730"/>
      <c r="I31" s="730"/>
      <c r="J31" s="730"/>
      <c r="K31" s="731"/>
    </row>
  </sheetData>
  <sheetProtection algorithmName="SHA-512" hashValue="exe3NYUSk5L21QIqnpMpQgbcSvVI4vdlhip2d879FJnFKQydlU0ToraWrv3eeNJSJNsGMrWuwjz7Z5uGKwSbGA==" saltValue="0+pgHBTasMHFHYgvtNImsg==" spinCount="100000" sheet="1" objects="1" scenarios="1"/>
  <mergeCells count="12">
    <mergeCell ref="C21:K21"/>
    <mergeCell ref="C22:K22"/>
    <mergeCell ref="C27:K31"/>
    <mergeCell ref="C2:K2"/>
    <mergeCell ref="K3:K4"/>
    <mergeCell ref="C3:C4"/>
    <mergeCell ref="E3:G3"/>
    <mergeCell ref="C15:D15"/>
    <mergeCell ref="H3:J3"/>
    <mergeCell ref="H13:J15"/>
    <mergeCell ref="I16:J18"/>
    <mergeCell ref="K15:K20"/>
  </mergeCells>
  <conditionalFormatting sqref="E7:E20">
    <cfRule type="cellIs" dxfId="89" priority="13" operator="equal">
      <formula>0</formula>
    </cfRule>
  </conditionalFormatting>
  <conditionalFormatting sqref="E5:G6">
    <cfRule type="cellIs" dxfId="88" priority="16" operator="equal">
      <formula>0</formula>
    </cfRule>
  </conditionalFormatting>
  <conditionalFormatting sqref="E15:G15">
    <cfRule type="cellIs" dxfId="87" priority="14" operator="equal">
      <formula>0</formula>
    </cfRule>
  </conditionalFormatting>
  <conditionalFormatting sqref="H5">
    <cfRule type="cellIs" dxfId="86" priority="10" operator="equal">
      <formula>0</formula>
    </cfRule>
  </conditionalFormatting>
  <conditionalFormatting sqref="H7:H12">
    <cfRule type="cellIs" dxfId="85" priority="9" operator="equal">
      <formula>0</formula>
    </cfRule>
  </conditionalFormatting>
  <conditionalFormatting sqref="H6:K6">
    <cfRule type="cellIs" dxfId="84" priority="8" operator="equal">
      <formula>0</formula>
    </cfRule>
  </conditionalFormatting>
  <conditionalFormatting sqref="I7:J12">
    <cfRule type="expression" dxfId="83" priority="2">
      <formula>I7&gt;F7</formula>
    </cfRule>
  </conditionalFormatting>
  <conditionalFormatting sqref="K5">
    <cfRule type="cellIs" dxfId="82" priority="1" operator="equal">
      <formula>0</formula>
    </cfRule>
  </conditionalFormatting>
  <dataValidations count="1">
    <dataValidation type="whole" operator="greaterThanOrEqual" allowBlank="1" showInputMessage="1" showErrorMessage="1" sqref="I6:J12 H19:I20 K6:K14 H5:H12 E5:G20" xr:uid="{00000000-0002-0000-03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77" orientation="landscape" r:id="rId1"/>
  <headerFooter scaleWithDoc="0">
    <oddFooter>&amp;R&amp;"Goudy,Negrita Cursiva"Técnica Diurna&amp;"Goudy,Cursiva",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pageSetUpPr fitToPage="1"/>
  </sheetPr>
  <dimension ref="A1:AA31"/>
  <sheetViews>
    <sheetView showGridLines="0" zoomScale="90" zoomScaleNormal="90" workbookViewId="0"/>
  </sheetViews>
  <sheetFormatPr baseColWidth="10" defaultColWidth="11.44140625" defaultRowHeight="13.8"/>
  <cols>
    <col min="1" max="1" width="5.5546875" style="44" customWidth="1"/>
    <col min="2" max="2" width="4.44140625" style="448" hidden="1" customWidth="1"/>
    <col min="3" max="3" width="43.6640625" style="44" customWidth="1"/>
    <col min="4" max="24" width="8.109375" style="44" customWidth="1"/>
    <col min="25" max="16384" width="11.44140625" style="44"/>
  </cols>
  <sheetData>
    <row r="1" spans="2:24" ht="17.399999999999999">
      <c r="C1" s="26" t="s">
        <v>869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"/>
      <c r="Q1" s="51"/>
      <c r="R1" s="51"/>
      <c r="S1" s="51"/>
      <c r="T1" s="51"/>
      <c r="U1" s="51"/>
      <c r="V1" s="51"/>
      <c r="W1" s="51"/>
      <c r="X1" s="51"/>
    </row>
    <row r="2" spans="2:24" ht="18" thickBot="1">
      <c r="C2" s="473" t="s">
        <v>1677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2:24" ht="21" customHeight="1" thickTop="1" thickBot="1">
      <c r="B3" s="448">
        <v>1</v>
      </c>
      <c r="C3" s="756" t="s">
        <v>274</v>
      </c>
      <c r="D3" s="759" t="s">
        <v>0</v>
      </c>
      <c r="E3" s="760"/>
      <c r="F3" s="761"/>
      <c r="G3" s="764" t="s">
        <v>1643</v>
      </c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4" ht="18" customHeight="1">
      <c r="B4" s="448">
        <v>2</v>
      </c>
      <c r="C4" s="757"/>
      <c r="D4" s="762"/>
      <c r="E4" s="753"/>
      <c r="F4" s="763"/>
      <c r="G4" s="752" t="s">
        <v>847</v>
      </c>
      <c r="H4" s="753"/>
      <c r="I4" s="753"/>
      <c r="J4" s="752" t="s">
        <v>848</v>
      </c>
      <c r="K4" s="753"/>
      <c r="L4" s="753"/>
      <c r="M4" s="752" t="s">
        <v>849</v>
      </c>
      <c r="N4" s="753"/>
      <c r="O4" s="753"/>
      <c r="P4" s="752" t="s">
        <v>837</v>
      </c>
      <c r="Q4" s="753"/>
      <c r="R4" s="753"/>
      <c r="S4" s="752" t="s">
        <v>850</v>
      </c>
      <c r="T4" s="753"/>
      <c r="U4" s="753"/>
      <c r="V4" s="754" t="s">
        <v>851</v>
      </c>
      <c r="W4" s="755"/>
      <c r="X4" s="755"/>
    </row>
    <row r="5" spans="2:24" ht="32.25" customHeight="1" thickBot="1">
      <c r="B5" s="448">
        <v>3</v>
      </c>
      <c r="C5" s="758"/>
      <c r="D5" s="475" t="s">
        <v>0</v>
      </c>
      <c r="E5" s="476" t="s">
        <v>20</v>
      </c>
      <c r="F5" s="477" t="s">
        <v>19</v>
      </c>
      <c r="G5" s="478" t="s">
        <v>0</v>
      </c>
      <c r="H5" s="476" t="s">
        <v>20</v>
      </c>
      <c r="I5" s="479" t="s">
        <v>19</v>
      </c>
      <c r="J5" s="478" t="s">
        <v>0</v>
      </c>
      <c r="K5" s="476" t="s">
        <v>20</v>
      </c>
      <c r="L5" s="479" t="s">
        <v>19</v>
      </c>
      <c r="M5" s="478" t="s">
        <v>0</v>
      </c>
      <c r="N5" s="476" t="s">
        <v>20</v>
      </c>
      <c r="O5" s="479" t="s">
        <v>19</v>
      </c>
      <c r="P5" s="478" t="s">
        <v>0</v>
      </c>
      <c r="Q5" s="476" t="s">
        <v>20</v>
      </c>
      <c r="R5" s="479" t="s">
        <v>19</v>
      </c>
      <c r="S5" s="478" t="s">
        <v>0</v>
      </c>
      <c r="T5" s="476" t="s">
        <v>20</v>
      </c>
      <c r="U5" s="479" t="s">
        <v>19</v>
      </c>
      <c r="V5" s="478" t="s">
        <v>0</v>
      </c>
      <c r="W5" s="476" t="s">
        <v>20</v>
      </c>
      <c r="X5" s="480" t="s">
        <v>19</v>
      </c>
    </row>
    <row r="6" spans="2:24" ht="24" customHeight="1" thickTop="1">
      <c r="B6" s="448">
        <v>4</v>
      </c>
      <c r="C6" s="530" t="s">
        <v>277</v>
      </c>
      <c r="D6" s="531">
        <f t="shared" ref="D6:D14" si="0">+E6+F6</f>
        <v>0</v>
      </c>
      <c r="E6" s="543">
        <f t="shared" ref="E6:F14" si="1">+H6+K6+N6+Q6+T6+W6</f>
        <v>0</v>
      </c>
      <c r="F6" s="543">
        <f t="shared" si="1"/>
        <v>0</v>
      </c>
      <c r="G6" s="514">
        <f t="shared" ref="G6:G18" si="2">+H6+I6</f>
        <v>0</v>
      </c>
      <c r="H6" s="515"/>
      <c r="I6" s="515"/>
      <c r="J6" s="514">
        <f t="shared" ref="J6:J18" si="3">+K6+L6</f>
        <v>0</v>
      </c>
      <c r="K6" s="515"/>
      <c r="L6" s="515"/>
      <c r="M6" s="514">
        <f t="shared" ref="M6:M18" si="4">+N6+O6</f>
        <v>0</v>
      </c>
      <c r="N6" s="515"/>
      <c r="O6" s="515"/>
      <c r="P6" s="514">
        <f t="shared" ref="P6:P18" si="5">+Q6+R6</f>
        <v>0</v>
      </c>
      <c r="Q6" s="515"/>
      <c r="R6" s="515"/>
      <c r="S6" s="514">
        <f t="shared" ref="S6:S18" si="6">+T6+U6</f>
        <v>0</v>
      </c>
      <c r="T6" s="515"/>
      <c r="U6" s="515"/>
      <c r="V6" s="514">
        <f t="shared" ref="V6:V18" si="7">+W6+X6</f>
        <v>0</v>
      </c>
      <c r="W6" s="515"/>
      <c r="X6" s="517"/>
    </row>
    <row r="7" spans="2:24" ht="24" customHeight="1">
      <c r="B7" s="448">
        <v>5</v>
      </c>
      <c r="C7" s="534" t="s">
        <v>278</v>
      </c>
      <c r="D7" s="236">
        <f t="shared" si="0"/>
        <v>0</v>
      </c>
      <c r="E7" s="272">
        <f>+H7+K7+N7+Q7+T7+W7</f>
        <v>0</v>
      </c>
      <c r="F7" s="272">
        <f t="shared" si="1"/>
        <v>0</v>
      </c>
      <c r="G7" s="347">
        <f t="shared" ref="G7:G14" si="8">+H7+I7</f>
        <v>0</v>
      </c>
      <c r="H7" s="237"/>
      <c r="I7" s="237"/>
      <c r="J7" s="347">
        <f t="shared" ref="J7:J14" si="9">+K7+L7</f>
        <v>0</v>
      </c>
      <c r="K7" s="237"/>
      <c r="L7" s="237"/>
      <c r="M7" s="347">
        <f t="shared" ref="M7:M14" si="10">+N7+O7</f>
        <v>0</v>
      </c>
      <c r="N7" s="237"/>
      <c r="O7" s="237"/>
      <c r="P7" s="347">
        <f t="shared" ref="P7:P14" si="11">+Q7+R7</f>
        <v>0</v>
      </c>
      <c r="Q7" s="237"/>
      <c r="R7" s="237"/>
      <c r="S7" s="347">
        <f t="shared" ref="S7:S14" si="12">+T7+U7</f>
        <v>0</v>
      </c>
      <c r="T7" s="237"/>
      <c r="U7" s="237"/>
      <c r="V7" s="347">
        <f t="shared" ref="V7:V14" si="13">+W7+X7</f>
        <v>0</v>
      </c>
      <c r="W7" s="237"/>
      <c r="X7" s="71"/>
    </row>
    <row r="8" spans="2:24" ht="24" customHeight="1">
      <c r="B8" s="448">
        <v>6</v>
      </c>
      <c r="C8" s="534" t="s">
        <v>280</v>
      </c>
      <c r="D8" s="236">
        <f t="shared" si="0"/>
        <v>0</v>
      </c>
      <c r="E8" s="272">
        <f t="shared" ref="E8:E14" si="14">+H8+K8+N8+Q8+T8+W8</f>
        <v>0</v>
      </c>
      <c r="F8" s="272">
        <f t="shared" si="1"/>
        <v>0</v>
      </c>
      <c r="G8" s="347">
        <f t="shared" si="8"/>
        <v>0</v>
      </c>
      <c r="H8" s="237"/>
      <c r="I8" s="237"/>
      <c r="J8" s="347">
        <f t="shared" si="9"/>
        <v>0</v>
      </c>
      <c r="K8" s="237"/>
      <c r="L8" s="237"/>
      <c r="M8" s="347">
        <f t="shared" si="10"/>
        <v>0</v>
      </c>
      <c r="N8" s="237"/>
      <c r="O8" s="237"/>
      <c r="P8" s="347">
        <f t="shared" si="11"/>
        <v>0</v>
      </c>
      <c r="Q8" s="237"/>
      <c r="R8" s="237"/>
      <c r="S8" s="347">
        <f t="shared" si="12"/>
        <v>0</v>
      </c>
      <c r="T8" s="237"/>
      <c r="U8" s="237"/>
      <c r="V8" s="347">
        <f t="shared" si="13"/>
        <v>0</v>
      </c>
      <c r="W8" s="237"/>
      <c r="X8" s="71"/>
    </row>
    <row r="9" spans="2:24" ht="24" customHeight="1">
      <c r="B9" s="448">
        <v>7</v>
      </c>
      <c r="C9" s="534" t="s">
        <v>279</v>
      </c>
      <c r="D9" s="236">
        <f t="shared" si="0"/>
        <v>0</v>
      </c>
      <c r="E9" s="272">
        <f t="shared" si="14"/>
        <v>0</v>
      </c>
      <c r="F9" s="272">
        <f t="shared" si="1"/>
        <v>0</v>
      </c>
      <c r="G9" s="347">
        <f t="shared" si="8"/>
        <v>0</v>
      </c>
      <c r="H9" s="237"/>
      <c r="I9" s="237"/>
      <c r="J9" s="347">
        <f t="shared" si="9"/>
        <v>0</v>
      </c>
      <c r="K9" s="237"/>
      <c r="L9" s="237"/>
      <c r="M9" s="347">
        <f t="shared" si="10"/>
        <v>0</v>
      </c>
      <c r="N9" s="237"/>
      <c r="O9" s="237"/>
      <c r="P9" s="765"/>
      <c r="Q9" s="766"/>
      <c r="R9" s="766"/>
      <c r="S9" s="766"/>
      <c r="T9" s="766"/>
      <c r="U9" s="766"/>
      <c r="V9" s="766"/>
      <c r="W9" s="766"/>
      <c r="X9" s="766"/>
    </row>
    <row r="10" spans="2:24" ht="24" customHeight="1">
      <c r="B10" s="448">
        <v>8</v>
      </c>
      <c r="C10" s="534" t="s">
        <v>831</v>
      </c>
      <c r="D10" s="236">
        <f t="shared" si="0"/>
        <v>0</v>
      </c>
      <c r="E10" s="272">
        <f t="shared" si="14"/>
        <v>0</v>
      </c>
      <c r="F10" s="272">
        <f>+I10+L10+O10+R10+U10+X10</f>
        <v>0</v>
      </c>
      <c r="G10" s="347">
        <f>+H10+I10</f>
        <v>0</v>
      </c>
      <c r="H10" s="237"/>
      <c r="I10" s="237"/>
      <c r="J10" s="347">
        <f t="shared" si="9"/>
        <v>0</v>
      </c>
      <c r="K10" s="237"/>
      <c r="L10" s="237"/>
      <c r="M10" s="347">
        <f t="shared" si="10"/>
        <v>0</v>
      </c>
      <c r="N10" s="237"/>
      <c r="O10" s="237"/>
      <c r="P10" s="347">
        <f t="shared" si="11"/>
        <v>0</v>
      </c>
      <c r="Q10" s="237"/>
      <c r="R10" s="522"/>
      <c r="S10" s="347">
        <f>+T10+U10</f>
        <v>0</v>
      </c>
      <c r="T10" s="237"/>
      <c r="U10" s="522"/>
      <c r="V10" s="347">
        <f t="shared" si="13"/>
        <v>0</v>
      </c>
      <c r="W10" s="237"/>
      <c r="X10" s="71"/>
    </row>
    <row r="11" spans="2:24" ht="24" customHeight="1">
      <c r="B11" s="448">
        <v>9</v>
      </c>
      <c r="C11" s="534" t="s">
        <v>832</v>
      </c>
      <c r="D11" s="236">
        <f t="shared" si="0"/>
        <v>0</v>
      </c>
      <c r="E11" s="272">
        <f t="shared" si="14"/>
        <v>0</v>
      </c>
      <c r="F11" s="272">
        <f t="shared" si="1"/>
        <v>0</v>
      </c>
      <c r="G11" s="347">
        <f t="shared" si="8"/>
        <v>0</v>
      </c>
      <c r="H11" s="237"/>
      <c r="I11" s="237"/>
      <c r="J11" s="347">
        <f t="shared" si="9"/>
        <v>0</v>
      </c>
      <c r="K11" s="237"/>
      <c r="L11" s="237"/>
      <c r="M11" s="347">
        <f t="shared" si="10"/>
        <v>0</v>
      </c>
      <c r="N11" s="237"/>
      <c r="O11" s="237"/>
      <c r="P11" s="347">
        <f t="shared" si="11"/>
        <v>0</v>
      </c>
      <c r="Q11" s="237"/>
      <c r="R11" s="522"/>
      <c r="S11" s="347">
        <f t="shared" si="12"/>
        <v>0</v>
      </c>
      <c r="T11" s="237"/>
      <c r="U11" s="522"/>
      <c r="V11" s="347">
        <f t="shared" si="13"/>
        <v>0</v>
      </c>
      <c r="W11" s="237"/>
      <c r="X11" s="71"/>
    </row>
    <row r="12" spans="2:24" ht="24" customHeight="1">
      <c r="B12" s="448">
        <v>10</v>
      </c>
      <c r="C12" s="534" t="s">
        <v>833</v>
      </c>
      <c r="D12" s="236">
        <f t="shared" si="0"/>
        <v>0</v>
      </c>
      <c r="E12" s="272">
        <f t="shared" si="14"/>
        <v>0</v>
      </c>
      <c r="F12" s="272">
        <f t="shared" si="1"/>
        <v>0</v>
      </c>
      <c r="G12" s="347">
        <f t="shared" si="8"/>
        <v>0</v>
      </c>
      <c r="H12" s="237"/>
      <c r="I12" s="237"/>
      <c r="J12" s="347">
        <f t="shared" si="9"/>
        <v>0</v>
      </c>
      <c r="K12" s="237"/>
      <c r="L12" s="237"/>
      <c r="M12" s="347">
        <f t="shared" si="10"/>
        <v>0</v>
      </c>
      <c r="N12" s="237"/>
      <c r="O12" s="237"/>
      <c r="P12" s="347">
        <f t="shared" si="11"/>
        <v>0</v>
      </c>
      <c r="Q12" s="237"/>
      <c r="R12" s="522"/>
      <c r="S12" s="347">
        <f t="shared" si="12"/>
        <v>0</v>
      </c>
      <c r="T12" s="237"/>
      <c r="U12" s="522"/>
      <c r="V12" s="347">
        <f t="shared" si="13"/>
        <v>0</v>
      </c>
      <c r="W12" s="237"/>
      <c r="X12" s="71"/>
    </row>
    <row r="13" spans="2:24" ht="24" customHeight="1">
      <c r="B13" s="448">
        <v>11</v>
      </c>
      <c r="C13" s="534" t="s">
        <v>171</v>
      </c>
      <c r="D13" s="236">
        <f t="shared" si="0"/>
        <v>0</v>
      </c>
      <c r="E13" s="272">
        <f t="shared" si="14"/>
        <v>0</v>
      </c>
      <c r="F13" s="272">
        <f t="shared" si="1"/>
        <v>0</v>
      </c>
      <c r="G13" s="347">
        <f t="shared" si="8"/>
        <v>0</v>
      </c>
      <c r="H13" s="237"/>
      <c r="I13" s="237"/>
      <c r="J13" s="347">
        <f t="shared" si="9"/>
        <v>0</v>
      </c>
      <c r="K13" s="237"/>
      <c r="L13" s="237"/>
      <c r="M13" s="347">
        <f t="shared" si="10"/>
        <v>0</v>
      </c>
      <c r="N13" s="237"/>
      <c r="O13" s="237"/>
      <c r="P13" s="347">
        <f t="shared" si="11"/>
        <v>0</v>
      </c>
      <c r="Q13" s="237"/>
      <c r="R13" s="522"/>
      <c r="S13" s="347">
        <f t="shared" si="12"/>
        <v>0</v>
      </c>
      <c r="T13" s="237"/>
      <c r="U13" s="522"/>
      <c r="V13" s="347">
        <f t="shared" si="13"/>
        <v>0</v>
      </c>
      <c r="W13" s="237"/>
      <c r="X13" s="71"/>
    </row>
    <row r="14" spans="2:24" ht="24" customHeight="1">
      <c r="B14" s="448">
        <v>12</v>
      </c>
      <c r="C14" s="534" t="s">
        <v>18</v>
      </c>
      <c r="D14" s="236">
        <f t="shared" si="0"/>
        <v>0</v>
      </c>
      <c r="E14" s="272">
        <f t="shared" si="14"/>
        <v>0</v>
      </c>
      <c r="F14" s="272">
        <f t="shared" si="1"/>
        <v>0</v>
      </c>
      <c r="G14" s="347">
        <f t="shared" si="8"/>
        <v>0</v>
      </c>
      <c r="H14" s="237"/>
      <c r="I14" s="237"/>
      <c r="J14" s="347">
        <f t="shared" si="9"/>
        <v>0</v>
      </c>
      <c r="K14" s="237"/>
      <c r="L14" s="237"/>
      <c r="M14" s="347">
        <f t="shared" si="10"/>
        <v>0</v>
      </c>
      <c r="N14" s="237"/>
      <c r="O14" s="237"/>
      <c r="P14" s="347">
        <f t="shared" si="11"/>
        <v>0</v>
      </c>
      <c r="Q14" s="237"/>
      <c r="R14" s="522"/>
      <c r="S14" s="347">
        <f t="shared" si="12"/>
        <v>0</v>
      </c>
      <c r="T14" s="237"/>
      <c r="U14" s="522"/>
      <c r="V14" s="347">
        <f t="shared" si="13"/>
        <v>0</v>
      </c>
      <c r="W14" s="237"/>
      <c r="X14" s="71"/>
    </row>
    <row r="15" spans="2:24" ht="24" customHeight="1">
      <c r="B15" s="448">
        <v>13</v>
      </c>
      <c r="C15" s="534" t="s">
        <v>834</v>
      </c>
      <c r="D15" s="236">
        <f t="shared" ref="D15:D17" si="15">+E15+F15</f>
        <v>0</v>
      </c>
      <c r="E15" s="272">
        <f t="shared" ref="E15:E16" si="16">+H15+K15+N15+Q15+T15+W15</f>
        <v>0</v>
      </c>
      <c r="F15" s="272">
        <f t="shared" ref="F15:F18" si="17">+I15+L15+O15+R15+U15+X15</f>
        <v>0</v>
      </c>
      <c r="G15" s="347">
        <f t="shared" si="2"/>
        <v>0</v>
      </c>
      <c r="H15" s="237"/>
      <c r="I15" s="237"/>
      <c r="J15" s="347">
        <f t="shared" si="3"/>
        <v>0</v>
      </c>
      <c r="K15" s="237"/>
      <c r="L15" s="237"/>
      <c r="M15" s="347">
        <f t="shared" si="4"/>
        <v>0</v>
      </c>
      <c r="N15" s="237"/>
      <c r="O15" s="237"/>
      <c r="P15" s="347">
        <f t="shared" si="5"/>
        <v>0</v>
      </c>
      <c r="Q15" s="237"/>
      <c r="R15" s="522"/>
      <c r="S15" s="347">
        <f t="shared" si="6"/>
        <v>0</v>
      </c>
      <c r="T15" s="237"/>
      <c r="U15" s="522"/>
      <c r="V15" s="347">
        <f t="shared" si="7"/>
        <v>0</v>
      </c>
      <c r="W15" s="237"/>
      <c r="X15" s="71"/>
    </row>
    <row r="16" spans="2:24" ht="24" customHeight="1">
      <c r="B16" s="448">
        <v>14</v>
      </c>
      <c r="C16" s="534" t="s">
        <v>162</v>
      </c>
      <c r="D16" s="236">
        <f t="shared" si="15"/>
        <v>0</v>
      </c>
      <c r="E16" s="272">
        <f t="shared" si="16"/>
        <v>0</v>
      </c>
      <c r="F16" s="272">
        <f t="shared" si="17"/>
        <v>0</v>
      </c>
      <c r="G16" s="347">
        <f t="shared" si="2"/>
        <v>0</v>
      </c>
      <c r="H16" s="237"/>
      <c r="I16" s="237"/>
      <c r="J16" s="347">
        <f t="shared" si="3"/>
        <v>0</v>
      </c>
      <c r="K16" s="237"/>
      <c r="L16" s="237"/>
      <c r="M16" s="347">
        <f t="shared" si="4"/>
        <v>0</v>
      </c>
      <c r="N16" s="237"/>
      <c r="O16" s="237"/>
      <c r="P16" s="347">
        <f t="shared" si="5"/>
        <v>0</v>
      </c>
      <c r="Q16" s="237"/>
      <c r="R16" s="522"/>
      <c r="S16" s="347">
        <f t="shared" si="6"/>
        <v>0</v>
      </c>
      <c r="T16" s="237"/>
      <c r="U16" s="522"/>
      <c r="V16" s="347">
        <f t="shared" si="7"/>
        <v>0</v>
      </c>
      <c r="W16" s="237"/>
      <c r="X16" s="71"/>
    </row>
    <row r="17" spans="1:27" ht="24" customHeight="1">
      <c r="B17" s="448">
        <v>15</v>
      </c>
      <c r="C17" s="534" t="s">
        <v>163</v>
      </c>
      <c r="D17" s="236">
        <f t="shared" si="15"/>
        <v>0</v>
      </c>
      <c r="E17" s="272">
        <f>+H17+K17+N17+Q17+T17+W17</f>
        <v>0</v>
      </c>
      <c r="F17" s="272">
        <f t="shared" si="17"/>
        <v>0</v>
      </c>
      <c r="G17" s="347">
        <f t="shared" si="2"/>
        <v>0</v>
      </c>
      <c r="H17" s="237"/>
      <c r="I17" s="237"/>
      <c r="J17" s="347">
        <f t="shared" si="3"/>
        <v>0</v>
      </c>
      <c r="K17" s="237"/>
      <c r="L17" s="237"/>
      <c r="M17" s="347">
        <f t="shared" si="4"/>
        <v>0</v>
      </c>
      <c r="N17" s="237"/>
      <c r="O17" s="237"/>
      <c r="P17" s="347">
        <f t="shared" si="5"/>
        <v>0</v>
      </c>
      <c r="Q17" s="237"/>
      <c r="R17" s="522"/>
      <c r="S17" s="347">
        <f t="shared" si="6"/>
        <v>0</v>
      </c>
      <c r="T17" s="237"/>
      <c r="U17" s="522"/>
      <c r="V17" s="347">
        <f t="shared" si="7"/>
        <v>0</v>
      </c>
      <c r="W17" s="237"/>
      <c r="X17" s="71"/>
    </row>
    <row r="18" spans="1:27" ht="24" customHeight="1">
      <c r="B18" s="448">
        <v>16</v>
      </c>
      <c r="C18" s="534" t="s">
        <v>161</v>
      </c>
      <c r="D18" s="236">
        <f>+E18+F18</f>
        <v>0</v>
      </c>
      <c r="E18" s="272">
        <f t="shared" ref="E18:E19" si="18">+H18+K18+N18+Q18+T18+W18</f>
        <v>0</v>
      </c>
      <c r="F18" s="272">
        <f t="shared" si="17"/>
        <v>0</v>
      </c>
      <c r="G18" s="347">
        <f t="shared" si="2"/>
        <v>0</v>
      </c>
      <c r="H18" s="237"/>
      <c r="I18" s="237"/>
      <c r="J18" s="347">
        <f t="shared" si="3"/>
        <v>0</v>
      </c>
      <c r="K18" s="237"/>
      <c r="L18" s="237"/>
      <c r="M18" s="347">
        <f t="shared" si="4"/>
        <v>0</v>
      </c>
      <c r="N18" s="237"/>
      <c r="O18" s="237"/>
      <c r="P18" s="347">
        <f t="shared" si="5"/>
        <v>0</v>
      </c>
      <c r="Q18" s="237"/>
      <c r="R18" s="522"/>
      <c r="S18" s="347">
        <f t="shared" si="6"/>
        <v>0</v>
      </c>
      <c r="T18" s="237"/>
      <c r="U18" s="522"/>
      <c r="V18" s="347">
        <f t="shared" si="7"/>
        <v>0</v>
      </c>
      <c r="W18" s="237"/>
      <c r="X18" s="71"/>
    </row>
    <row r="19" spans="1:27" ht="24" customHeight="1">
      <c r="B19" s="448">
        <v>17</v>
      </c>
      <c r="C19" s="534" t="s">
        <v>1530</v>
      </c>
      <c r="D19" s="236">
        <f t="shared" ref="D19" si="19">+E19+F19</f>
        <v>0</v>
      </c>
      <c r="E19" s="272">
        <f t="shared" si="18"/>
        <v>0</v>
      </c>
      <c r="F19" s="272">
        <f t="shared" ref="F19" si="20">+I19+L19+O19+R19+U19+X19</f>
        <v>0</v>
      </c>
      <c r="G19" s="765"/>
      <c r="H19" s="766"/>
      <c r="I19" s="766"/>
      <c r="J19" s="766"/>
      <c r="K19" s="766"/>
      <c r="L19" s="766"/>
      <c r="M19" s="766"/>
      <c r="N19" s="766"/>
      <c r="O19" s="770"/>
      <c r="P19" s="347">
        <f t="shared" ref="P19" si="21">+Q19+R19</f>
        <v>0</v>
      </c>
      <c r="Q19" s="237"/>
      <c r="R19" s="522"/>
      <c r="S19" s="347">
        <f t="shared" ref="S19" si="22">+T19+U19</f>
        <v>0</v>
      </c>
      <c r="T19" s="237"/>
      <c r="U19" s="522"/>
      <c r="V19" s="347">
        <f t="shared" ref="V19" si="23">+W19+X19</f>
        <v>0</v>
      </c>
      <c r="W19" s="237"/>
      <c r="X19" s="71"/>
    </row>
    <row r="20" spans="1:27" ht="24" customHeight="1">
      <c r="B20" s="448">
        <v>18</v>
      </c>
      <c r="C20" s="274" t="s">
        <v>868</v>
      </c>
      <c r="D20" s="519">
        <f t="shared" ref="D20" si="24">+E20+F20</f>
        <v>0</v>
      </c>
      <c r="E20" s="272">
        <f>+H20+K20+N20+Q20+T20+W20</f>
        <v>0</v>
      </c>
      <c r="F20" s="359">
        <f t="shared" ref="F20" si="25">+I20+L20+O20+R20+U20+X20</f>
        <v>0</v>
      </c>
      <c r="G20" s="360">
        <f t="shared" ref="G20" si="26">+H20+I20</f>
        <v>0</v>
      </c>
      <c r="H20" s="535"/>
      <c r="I20" s="535"/>
      <c r="J20" s="360">
        <f t="shared" ref="J20" si="27">+K20+L20</f>
        <v>0</v>
      </c>
      <c r="K20" s="535"/>
      <c r="L20" s="535"/>
      <c r="M20" s="360">
        <f t="shared" ref="M20" si="28">+N20+O20</f>
        <v>0</v>
      </c>
      <c r="N20" s="535"/>
      <c r="O20" s="535"/>
      <c r="P20" s="360">
        <f t="shared" ref="P20" si="29">+Q20+R20</f>
        <v>0</v>
      </c>
      <c r="Q20" s="535"/>
      <c r="R20" s="536"/>
      <c r="S20" s="360">
        <f t="shared" ref="S20" si="30">+T20+U20</f>
        <v>0</v>
      </c>
      <c r="T20" s="535"/>
      <c r="U20" s="536"/>
      <c r="V20" s="360">
        <f t="shared" ref="V20" si="31">+W20+X20</f>
        <v>0</v>
      </c>
      <c r="W20" s="535"/>
      <c r="X20" s="537"/>
    </row>
    <row r="21" spans="1:27" ht="24" customHeight="1" thickBot="1">
      <c r="B21" s="448">
        <v>19</v>
      </c>
      <c r="C21" s="538" t="s">
        <v>1638</v>
      </c>
      <c r="D21" s="539">
        <f t="shared" ref="D21" si="32">+E21+F21</f>
        <v>0</v>
      </c>
      <c r="E21" s="540">
        <f>+H21+K21+N21+Q21+T21+W21</f>
        <v>0</v>
      </c>
      <c r="F21" s="540">
        <f t="shared" ref="F21" si="33">+I21+L21+O21+R21+U21+X21</f>
        <v>0</v>
      </c>
      <c r="G21" s="392">
        <f t="shared" ref="G21" si="34">+H21+I21</f>
        <v>0</v>
      </c>
      <c r="H21" s="391"/>
      <c r="I21" s="391"/>
      <c r="J21" s="392">
        <f t="shared" ref="J21" si="35">+K21+L21</f>
        <v>0</v>
      </c>
      <c r="K21" s="391"/>
      <c r="L21" s="391"/>
      <c r="M21" s="392">
        <f t="shared" ref="M21" si="36">+N21+O21</f>
        <v>0</v>
      </c>
      <c r="N21" s="391"/>
      <c r="O21" s="391"/>
      <c r="P21" s="392">
        <f t="shared" ref="P21" si="37">+Q21+R21</f>
        <v>0</v>
      </c>
      <c r="Q21" s="391"/>
      <c r="R21" s="541"/>
      <c r="S21" s="392">
        <f t="shared" ref="S21" si="38">+T21+U21</f>
        <v>0</v>
      </c>
      <c r="T21" s="391"/>
      <c r="U21" s="541"/>
      <c r="V21" s="392">
        <f t="shared" ref="V21" si="39">+W21+X21</f>
        <v>0</v>
      </c>
      <c r="W21" s="391"/>
      <c r="X21" s="393"/>
    </row>
    <row r="22" spans="1:27" s="448" customFormat="1" ht="18.75" customHeight="1" thickTop="1">
      <c r="A22" s="191"/>
      <c r="B22" s="191"/>
      <c r="C22" s="191"/>
      <c r="E22" s="544" t="str">
        <f>IF(OR(E6&gt;'CUADRO 1'!F6,E7&gt;'CUADRO 1'!F6,E8&gt;'CUADRO 1'!F6,E9&gt;'CUADRO 1'!F6,E10&gt;'CUADRO 1'!F6,E11&gt;'CUADRO 1'!F6,E12&gt;'CUADRO 1'!F6,E13&gt;'CUADRO 1'!F6,E14&gt;'CUADRO 1'!F6,E15&gt;'CUADRO 1'!F6,E16&gt;'CUADRO 1'!F6,E17&gt;'CUADRO 1'!F6,E18&gt;'CUADRO 1'!F6,E19&gt;'CUADRO 1'!F6,E20&gt;'CUADRO 1'!F6,E21&gt;'CUADRO 1'!F6),"XX","")</f>
        <v/>
      </c>
      <c r="F22" s="544" t="str">
        <f>IF(OR(F6&gt;'CUADRO 1'!G6,F7&gt;'CUADRO 1'!G6,F8&gt;'CUADRO 1'!G6,F9&gt;'CUADRO 1'!G6,F10&gt;'CUADRO 1'!G6,F11&gt;'CUADRO 1'!G6,F12&gt;'CUADRO 1'!G6,F13&gt;'CUADRO 1'!G6,F14&gt;'CUADRO 1'!G6,F15&gt;'CUADRO 1'!G6,F16&gt;'CUADRO 1'!G6,F17&gt;'CUADRO 1'!G6,F18&gt;'CUADRO 1'!G6,F19&gt;'CUADRO 1'!G6,F20&gt;'CUADRO 1'!G6,F21&gt;'CUADRO 1'!G6),"XX","")</f>
        <v/>
      </c>
      <c r="G22" s="447"/>
      <c r="H22" s="447" t="str">
        <f>IF(OR(H6&gt;'CUADRO 1'!F7,H7&gt;'CUADRO 1'!F7,H8&gt;'CUADRO 1'!F7,H9&gt;'CUADRO 1'!F7,H10&gt;'CUADRO 1'!F7,H11&gt;'CUADRO 1'!F7,H12&gt;'CUADRO 1'!F7,H13&gt;'CUADRO 1'!F7,H14&gt;'CUADRO 1'!F7,H15&gt;'CUADRO 1'!F7,H16&gt;'CUADRO 1'!F7,H17&gt;'CUADRO 1'!F7,H18&gt;'CUADRO 1'!F7,H19&gt;'CUADRO 1'!F7,H20&gt;'CUADRO 1'!F7,H21&gt;'CUADRO 1'!F7),"XX","")</f>
        <v/>
      </c>
      <c r="I22" s="447" t="str">
        <f>IF(OR(I6&gt;'CUADRO 1'!G7,I7&gt;'CUADRO 1'!G7,I8&gt;'CUADRO 1'!G7,I9&gt;'CUADRO 1'!G7,I10&gt;'CUADRO 1'!G7,I11&gt;'CUADRO 1'!G7,I12&gt;'CUADRO 1'!G7,I13&gt;'CUADRO 1'!G7,I14&gt;'CUADRO 1'!G7,I15&gt;'CUADRO 1'!G7,I16&gt;'CUADRO 1'!G7,I17&gt;'CUADRO 1'!G7,I18&gt;'CUADRO 1'!G7,I19&gt;'CUADRO 1'!G7,I20&gt;'CUADRO 1'!G7,I21&gt;'CUADRO 1'!G7),"XX","")</f>
        <v/>
      </c>
      <c r="J22" s="447"/>
      <c r="K22" s="447" t="str">
        <f>IF(OR(K6&gt;('CUADRO 1'!F7+'CUADRO 1'!F8),K7&gt;('CUADRO 1'!F7+'CUADRO 1'!F8),K8&gt;('CUADRO 1'!F7+'CUADRO 1'!F8),K9&gt;('CUADRO 1'!F7+'CUADRO 1'!F8),K10&gt;('CUADRO 1'!F7+'CUADRO 1'!F8),K11&gt;('CUADRO 1'!F7+'CUADRO 1'!F8),K12&gt;('CUADRO 1'!F7+'CUADRO 1'!F8),K13&gt;('CUADRO 1'!F7+'CUADRO 1'!F8),K14&gt;('CUADRO 1'!F7+'CUADRO 1'!F8),K15&gt;('CUADRO 1'!F7+'CUADRO 1'!F8),K16&gt;('CUADRO 1'!F7+'CUADRO 1'!F8),K17&gt;('CUADRO 1'!F7+'CUADRO 1'!F8),K18&gt;('CUADRO 1'!F7+'CUADRO 1'!F8),K19&gt;('CUADRO 1'!F7+'CUADRO 1'!F8),K20&gt;('CUADRO 1'!F7+'CUADRO 1'!F8),K21&gt;('CUADRO 1'!F7+'CUADRO 1'!F8)),"XX","")</f>
        <v/>
      </c>
      <c r="L22" s="447" t="str">
        <f>IF(OR(L6&gt;('CUADRO 1'!G7+'CUADRO 1'!G8),L7&gt;('CUADRO 1'!G7+'CUADRO 1'!G8),L8&gt;('CUADRO 1'!G7+'CUADRO 1'!G8),L9&gt;('CUADRO 1'!G7+'CUADRO 1'!G8),L10&gt;('CUADRO 1'!G7+'CUADRO 1'!G8),L11&gt;('CUADRO 1'!G7+'CUADRO 1'!G8),L12&gt;('CUADRO 1'!G7+'CUADRO 1'!G8),L13&gt;('CUADRO 1'!G7+'CUADRO 1'!G8),L14&gt;('CUADRO 1'!G7+'CUADRO 1'!G8),L15&gt;('CUADRO 1'!G7+'CUADRO 1'!G8),L16&gt;('CUADRO 1'!G7+'CUADRO 1'!G8),L17&gt;('CUADRO 1'!G7+'CUADRO 1'!G8),L18&gt;('CUADRO 1'!G7+'CUADRO 1'!G8),L19&gt;('CUADRO 1'!G7+'CUADRO 1'!G8),L20&gt;('CUADRO 1'!G7+'CUADRO 1'!G8),L21&gt;('CUADRO 1'!G7+'CUADRO 1'!G8)),"XX","")</f>
        <v/>
      </c>
      <c r="M22" s="447"/>
      <c r="N22" s="447" t="str">
        <f>IF(OR(N6&gt;('CUADRO 1'!F7+'CUADRO 1'!F8+'CUADRO 1'!F9),N7&gt;('CUADRO 1'!F7+'CUADRO 1'!F8+'CUADRO 1'!F9),N8&gt;('CUADRO 1'!F7+'CUADRO 1'!F8+'CUADRO 1'!F9),N9&gt;('CUADRO 1'!F7+'CUADRO 1'!F8+'CUADRO 1'!F9),N10&gt;('CUADRO 1'!F7+'CUADRO 1'!F8+'CUADRO 1'!F9),N11&gt;('CUADRO 1'!F7+'CUADRO 1'!F8+'CUADRO 1'!F9),N12&gt;('CUADRO 1'!F7+'CUADRO 1'!F8+'CUADRO 1'!F9),N13&gt;('CUADRO 1'!F7+'CUADRO 1'!F8+'CUADRO 1'!F9),N14&gt;('CUADRO 1'!F7+'CUADRO 1'!F8+'CUADRO 1'!F9),N15&gt;('CUADRO 1'!F7+'CUADRO 1'!F8+'CUADRO 1'!F9),N16&gt;('CUADRO 1'!F7+'CUADRO 1'!F8+'CUADRO 1'!F9),N17&gt;('CUADRO 1'!F7+'CUADRO 1'!F8+'CUADRO 1'!F9),N18&gt;('CUADRO 1'!F7+'CUADRO 1'!F8+'CUADRO 1'!F9),N19&gt;('CUADRO 1'!F7+'CUADRO 1'!F8+'CUADRO 1'!F9),N20&gt;('CUADRO 1'!F7+'CUADRO 1'!F8+'CUADRO 1'!F9),N21&gt;('CUADRO 1'!F7+'CUADRO 1'!F8+'CUADRO 1'!F9)),"XX","")</f>
        <v/>
      </c>
      <c r="O22" s="447" t="str">
        <f>IF(OR(O6&gt;('CUADRO 1'!G7+'CUADRO 1'!G8+'CUADRO 1'!G9),O7&gt;('CUADRO 1'!G7+'CUADRO 1'!G8+'CUADRO 1'!G9),O8&gt;('CUADRO 1'!G7+'CUADRO 1'!G8+'CUADRO 1'!G9),O9&gt;('CUADRO 1'!G7+'CUADRO 1'!G8+'CUADRO 1'!G9),O10&gt;('CUADRO 1'!G7+'CUADRO 1'!G8+'CUADRO 1'!G9),O11&gt;('CUADRO 1'!G7+'CUADRO 1'!G8+'CUADRO 1'!G9),O12&gt;('CUADRO 1'!G7+'CUADRO 1'!G8+'CUADRO 1'!G9),O13&gt;('CUADRO 1'!G7+'CUADRO 1'!G8+'CUADRO 1'!G9),O14&gt;('CUADRO 1'!G7+'CUADRO 1'!G8+'CUADRO 1'!G9),O15&gt;('CUADRO 1'!G7+'CUADRO 1'!G8+'CUADRO 1'!G9),O16&gt;('CUADRO 1'!G7+'CUADRO 1'!G8+'CUADRO 1'!G9),O17&gt;('CUADRO 1'!G7+'CUADRO 1'!G8+'CUADRO 1'!G9),O18&gt;('CUADRO 1'!G7+'CUADRO 1'!G8+'CUADRO 1'!G9),O19&gt;('CUADRO 1'!G7+'CUADRO 1'!G8+'CUADRO 1'!G9),O20&gt;('CUADRO 1'!G7+'CUADRO 1'!G8+'CUADRO 1'!G9),O21&gt;('CUADRO 1'!G7+'CUADRO 1'!G8+'CUADRO 1'!G9)),"XX","")</f>
        <v/>
      </c>
      <c r="P22" s="447"/>
      <c r="Q22" s="447" t="str">
        <f>IF(OR(Q6&gt;('CUADRO 1'!F7+'CUADRO 1'!F8+'CUADRO 1'!F9+'CUADRO 1'!F10),Q7&gt;('CUADRO 1'!F7+'CUADRO 1'!F8+'CUADRO 1'!F9+'CUADRO 1'!F10),Q8&gt;('CUADRO 1'!F7+'CUADRO 1'!F8+'CUADRO 1'!F9+'CUADRO 1'!F10),Q9&gt;('CUADRO 1'!F7+'CUADRO 1'!F8+'CUADRO 1'!F9+'CUADRO 1'!F10),Q10&gt;('CUADRO 1'!F7+'CUADRO 1'!F8+'CUADRO 1'!F9+'CUADRO 1'!F10),Q11&gt;('CUADRO 1'!F7+'CUADRO 1'!F8+'CUADRO 1'!F9+'CUADRO 1'!F10),Q12&gt;('CUADRO 1'!F7+'CUADRO 1'!F8+'CUADRO 1'!F9+'CUADRO 1'!F10),Q13&gt;('CUADRO 1'!F7+'CUADRO 1'!F8+'CUADRO 1'!F9+'CUADRO 1'!F10),Q14&gt;('CUADRO 1'!F7+'CUADRO 1'!F8+'CUADRO 1'!F9+'CUADRO 1'!F10),Q15&gt;('CUADRO 1'!F7+'CUADRO 1'!F8+'CUADRO 1'!F9+'CUADRO 1'!F10),Q16&gt;('CUADRO 1'!F7+'CUADRO 1'!F8+'CUADRO 1'!F9+'CUADRO 1'!F10),Q17&gt;('CUADRO 1'!F7+'CUADRO 1'!F8+'CUADRO 1'!F9+'CUADRO 1'!F10),Q18&gt;('CUADRO 1'!F7+'CUADRO 1'!F8+'CUADRO 1'!F9+'CUADRO 1'!F10),Q19&gt;('CUADRO 1'!F7+'CUADRO 1'!F8+'CUADRO 1'!F9+'CUADRO 1'!F10),Q20&gt;('CUADRO 1'!F7+'CUADRO 1'!F8+'CUADRO 1'!F9+'CUADRO 1'!F10),Q21&gt;('CUADRO 1'!F7+'CUADRO 1'!F8+'CUADRO 1'!F9+'CUADRO 1'!F10)),"XX","")</f>
        <v/>
      </c>
      <c r="R22" s="447" t="str">
        <f>IF(OR(R6&gt;('CUADRO 1'!G7+'CUADRO 1'!G8+'CUADRO 1'!G9+'CUADRO 1'!G10),R7&gt;('CUADRO 1'!G7+'CUADRO 1'!G8+'CUADRO 1'!G9+'CUADRO 1'!G10),R8&gt;('CUADRO 1'!G7+'CUADRO 1'!G8+'CUADRO 1'!G9+'CUADRO 1'!G10),R9&gt;('CUADRO 1'!G7+'CUADRO 1'!G8+'CUADRO 1'!G9+'CUADRO 1'!G10),R10&gt;('CUADRO 1'!G7+'CUADRO 1'!G8+'CUADRO 1'!G9+'CUADRO 1'!G10),R11&gt;('CUADRO 1'!G7+'CUADRO 1'!G8+'CUADRO 1'!G9+'CUADRO 1'!G10),R12&gt;('CUADRO 1'!G7+'CUADRO 1'!G8+'CUADRO 1'!G9+'CUADRO 1'!G10),R13&gt;('CUADRO 1'!G7+'CUADRO 1'!G8+'CUADRO 1'!G9+'CUADRO 1'!G10),R14&gt;('CUADRO 1'!G7+'CUADRO 1'!G8+'CUADRO 1'!G9+'CUADRO 1'!G10),R15&gt;('CUADRO 1'!G7+'CUADRO 1'!G8+'CUADRO 1'!G9+'CUADRO 1'!G10),R16&gt;('CUADRO 1'!G7+'CUADRO 1'!G8+'CUADRO 1'!G9+'CUADRO 1'!G10),R17&gt;('CUADRO 1'!G7+'CUADRO 1'!G8+'CUADRO 1'!G9+'CUADRO 1'!G10),R18&gt;('CUADRO 1'!G7+'CUADRO 1'!G8+'CUADRO 1'!G9+'CUADRO 1'!G10),R19&gt;('CUADRO 1'!G7+'CUADRO 1'!G8+'CUADRO 1'!G9+'CUADRO 1'!G10),R20&gt;('CUADRO 1'!G7+'CUADRO 1'!G8+'CUADRO 1'!G9+'CUADRO 1'!G10),R21&gt;('CUADRO 1'!G7+'CUADRO 1'!G8+'CUADRO 1'!G9+'CUADRO 1'!G10)),"XX","")</f>
        <v/>
      </c>
      <c r="S22" s="447"/>
      <c r="T22" s="447" t="str">
        <f>IF(OR(T6&gt;('CUADRO 1'!F7+'CUADRO 1'!F8+'CUADRO 1'!F9+'CUADRO 1'!F10+'CUADRO 1'!F11),T7&gt;('CUADRO 1'!F7+'CUADRO 1'!F8+'CUADRO 1'!F9+'CUADRO 1'!F10+'CUADRO 1'!F11),T8&gt;('CUADRO 1'!F7+'CUADRO 1'!F8+'CUADRO 1'!F9+'CUADRO 1'!F10+'CUADRO 1'!F11),T9&gt;('CUADRO 1'!F7+'CUADRO 1'!F8+'CUADRO 1'!F9+'CUADRO 1'!F10+'CUADRO 1'!F11),T10&gt;('CUADRO 1'!F7+'CUADRO 1'!F8+'CUADRO 1'!F9+'CUADRO 1'!F10+'CUADRO 1'!F11),T11&gt;('CUADRO 1'!F7+'CUADRO 1'!F8+'CUADRO 1'!F9+'CUADRO 1'!F10+'CUADRO 1'!F11),T12&gt;('CUADRO 1'!F7+'CUADRO 1'!F8+'CUADRO 1'!F9+'CUADRO 1'!F10+'CUADRO 1'!F11),T13&gt;('CUADRO 1'!F7+'CUADRO 1'!F8+'CUADRO 1'!F9+'CUADRO 1'!F10+'CUADRO 1'!F11),T14&gt;('CUADRO 1'!F7+'CUADRO 1'!F8+'CUADRO 1'!F9+'CUADRO 1'!F10+'CUADRO 1'!F11),T15&gt;('CUADRO 1'!F7+'CUADRO 1'!F8+'CUADRO 1'!F9+'CUADRO 1'!F10+'CUADRO 1'!F11),T16&gt;('CUADRO 1'!F7+'CUADRO 1'!F8+'CUADRO 1'!F9+'CUADRO 1'!F10+'CUADRO 1'!F11),T17&gt;('CUADRO 1'!F7+'CUADRO 1'!F8+'CUADRO 1'!F9+'CUADRO 1'!F10+'CUADRO 1'!F11),T18&gt;('CUADRO 1'!F7+'CUADRO 1'!F8+'CUADRO 1'!F9+'CUADRO 1'!F10+'CUADRO 1'!F11),T19&gt;('CUADRO 1'!F7+'CUADRO 1'!F8+'CUADRO 1'!F9+'CUADRO 1'!F10+'CUADRO 1'!F11),T20&gt;('CUADRO 1'!F7+'CUADRO 1'!F8+'CUADRO 1'!F9+'CUADRO 1'!F10+'CUADRO 1'!F11),T21&gt;('CUADRO 1'!F7+'CUADRO 1'!F8+'CUADRO 1'!F9+'CUADRO 1'!F10+'CUADRO 1'!F11)),"XX","")</f>
        <v/>
      </c>
      <c r="U22" s="447" t="str">
        <f>IF(OR(U6&gt;('CUADRO 1'!G7+'CUADRO 1'!G8+'CUADRO 1'!G9+'CUADRO 1'!G10+'CUADRO 1'!G11),U7&gt;('CUADRO 1'!G7+'CUADRO 1'!G8+'CUADRO 1'!G9+'CUADRO 1'!G10+'CUADRO 1'!G11),U8&gt;('CUADRO 1'!G7+'CUADRO 1'!G8+'CUADRO 1'!G9+'CUADRO 1'!G10+'CUADRO 1'!G11),U9&gt;('CUADRO 1'!G7+'CUADRO 1'!G8+'CUADRO 1'!G9+'CUADRO 1'!G10+'CUADRO 1'!G11),U10&gt;('CUADRO 1'!G7+'CUADRO 1'!G8+'CUADRO 1'!G9+'CUADRO 1'!G10+'CUADRO 1'!G11),U11&gt;('CUADRO 1'!G7+'CUADRO 1'!G8+'CUADRO 1'!G9+'CUADRO 1'!G10+'CUADRO 1'!G11),U12&gt;('CUADRO 1'!G7+'CUADRO 1'!G8+'CUADRO 1'!G9+'CUADRO 1'!G10+'CUADRO 1'!G11),U13&gt;('CUADRO 1'!G7+'CUADRO 1'!G8+'CUADRO 1'!G9+'CUADRO 1'!G10+'CUADRO 1'!G11),U14&gt;('CUADRO 1'!G7+'CUADRO 1'!G8+'CUADRO 1'!G9+'CUADRO 1'!G10+'CUADRO 1'!G11),U15&gt;('CUADRO 1'!G7+'CUADRO 1'!G8+'CUADRO 1'!G9+'CUADRO 1'!G10+'CUADRO 1'!G11),U16&gt;('CUADRO 1'!G7+'CUADRO 1'!G8+'CUADRO 1'!G9+'CUADRO 1'!G10+'CUADRO 1'!G11),U17&gt;('CUADRO 1'!G7+'CUADRO 1'!G8+'CUADRO 1'!G9+'CUADRO 1'!G10+'CUADRO 1'!G11),U18&gt;('CUADRO 1'!G7+'CUADRO 1'!G8+'CUADRO 1'!G9+'CUADRO 1'!G10+'CUADRO 1'!G11),U19&gt;('CUADRO 1'!G7+'CUADRO 1'!G8+'CUADRO 1'!G9+'CUADRO 1'!G10+'CUADRO 1'!G11),U20&gt;('CUADRO 1'!G7+'CUADRO 1'!G8+'CUADRO 1'!G9+'CUADRO 1'!G10+'CUADRO 1'!G11),U21&gt;('CUADRO 1'!G7+'CUADRO 1'!G8+'CUADRO 1'!G9+'CUADRO 1'!G10+'CUADRO 1'!G11)),"XX","")</f>
        <v/>
      </c>
      <c r="V22" s="447"/>
      <c r="W22" s="447"/>
      <c r="X22" s="447"/>
    </row>
    <row r="23" spans="1:27" ht="23.25" customHeight="1">
      <c r="A23" s="244"/>
      <c r="B23" s="191"/>
      <c r="C23" s="545" t="s">
        <v>1782</v>
      </c>
      <c r="D23" s="768" t="str">
        <f>IF(OR(E22="XX",F22="XX"),"El dato indicado en alguna Asignatura es mayor a la Matrícula Total indicada en el Cuadro 1.","")</f>
        <v/>
      </c>
      <c r="E23" s="768"/>
      <c r="F23" s="768"/>
      <c r="G23" s="424"/>
      <c r="H23" s="767" t="str">
        <f>IF(OR(H22="XX",I22="XX",K22="XX",L22="XX",N22="XX",O22="XX",Q22="XX",R22="XX",T22="XX",U22="XX",W22="XX",X22="XX"),CONCATENATE(C23),"")</f>
        <v/>
      </c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Z23" s="191"/>
      <c r="AA23" s="191"/>
    </row>
    <row r="24" spans="1:27" ht="23.25" customHeight="1">
      <c r="A24" s="244"/>
      <c r="B24" s="191"/>
      <c r="C24" s="545"/>
      <c r="D24" s="768"/>
      <c r="E24" s="768"/>
      <c r="F24" s="768"/>
      <c r="G24" s="424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767"/>
      <c r="V24" s="767"/>
      <c r="W24" s="767"/>
      <c r="X24" s="767"/>
      <c r="Z24" s="191"/>
      <c r="AA24" s="191"/>
    </row>
    <row r="25" spans="1:27" ht="23.25" customHeight="1">
      <c r="D25" s="768"/>
      <c r="E25" s="768"/>
      <c r="F25" s="768"/>
      <c r="G25" s="424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</row>
    <row r="26" spans="1:27" ht="18.75" customHeight="1">
      <c r="C26" s="195" t="s">
        <v>273</v>
      </c>
      <c r="D26" s="769"/>
      <c r="E26" s="769"/>
      <c r="F26" s="769"/>
    </row>
    <row r="27" spans="1:27" ht="18.75" customHeight="1">
      <c r="B27" s="448">
        <v>20</v>
      </c>
      <c r="C27" s="723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5"/>
    </row>
    <row r="28" spans="1:27" ht="18.75" customHeight="1">
      <c r="C28" s="726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8"/>
    </row>
    <row r="29" spans="1:27" ht="18.75" customHeight="1">
      <c r="C29" s="726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8"/>
    </row>
    <row r="30" spans="1:27" ht="18.75" customHeight="1">
      <c r="C30" s="726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8"/>
    </row>
    <row r="31" spans="1:27" ht="18.75" customHeight="1">
      <c r="C31" s="729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1"/>
    </row>
  </sheetData>
  <sheetProtection algorithmName="SHA-512" hashValue="MKjLzNQjVaoJwRofxbdbryySJwpbbLO7ZyVvCJLJLuEBZ+L4Q9luhB2znwD/aLtbiJDmDCuv0aI3coCluonA9A==" saltValue="Jn0m4DNYoVR3lkGarP+Idw==" spinCount="100000" sheet="1" objects="1" scenarios="1"/>
  <mergeCells count="14">
    <mergeCell ref="C27:X31"/>
    <mergeCell ref="J4:L4"/>
    <mergeCell ref="M4:O4"/>
    <mergeCell ref="P4:R4"/>
    <mergeCell ref="S4:U4"/>
    <mergeCell ref="V4:X4"/>
    <mergeCell ref="C3:C5"/>
    <mergeCell ref="D3:F4"/>
    <mergeCell ref="G3:X3"/>
    <mergeCell ref="G4:I4"/>
    <mergeCell ref="P9:X9"/>
    <mergeCell ref="H23:X25"/>
    <mergeCell ref="D23:F26"/>
    <mergeCell ref="G19:O19"/>
  </mergeCells>
  <conditionalFormatting sqref="D18:E20 F19:F20">
    <cfRule type="cellIs" dxfId="81" priority="2" operator="equal">
      <formula>0</formula>
    </cfRule>
  </conditionalFormatting>
  <conditionalFormatting sqref="D6:G17 J6:J18 M6:M18 F18:G18 D21:F21">
    <cfRule type="cellIs" dxfId="80" priority="17" operator="equal">
      <formula>0</formula>
    </cfRule>
  </conditionalFormatting>
  <conditionalFormatting sqref="F6">
    <cfRule type="expression" dxfId="79" priority="36">
      <formula>F6&gt;#REF!</formula>
    </cfRule>
  </conditionalFormatting>
  <conditionalFormatting sqref="F7">
    <cfRule type="expression" dxfId="78" priority="35">
      <formula>F7&gt;#REF!</formula>
    </cfRule>
  </conditionalFormatting>
  <conditionalFormatting sqref="F8">
    <cfRule type="expression" dxfId="77" priority="34">
      <formula>F8&gt;#REF!</formula>
    </cfRule>
  </conditionalFormatting>
  <conditionalFormatting sqref="F9:F18">
    <cfRule type="expression" dxfId="76" priority="21">
      <formula>F9&gt;#REF!</formula>
    </cfRule>
  </conditionalFormatting>
  <conditionalFormatting sqref="F19">
    <cfRule type="expression" dxfId="75" priority="3">
      <formula>F19&gt;#REF!</formula>
    </cfRule>
  </conditionalFormatting>
  <conditionalFormatting sqref="F20:F21">
    <cfRule type="expression" dxfId="74" priority="19">
      <formula>F20&gt;#REF!</formula>
    </cfRule>
  </conditionalFormatting>
  <conditionalFormatting sqref="G19:G21 J20:J21 M20:M21">
    <cfRule type="cellIs" dxfId="73" priority="4" operator="equal">
      <formula>0</formula>
    </cfRule>
  </conditionalFormatting>
  <conditionalFormatting sqref="P6:P8 S6:S8 V6:V8">
    <cfRule type="cellIs" dxfId="72" priority="16" operator="equal">
      <formula>0</formula>
    </cfRule>
  </conditionalFormatting>
  <conditionalFormatting sqref="P10:P21 S10:S21 V10:V21">
    <cfRule type="cellIs" dxfId="71" priority="1" operator="equal">
      <formula>0</formula>
    </cfRule>
  </conditionalFormatting>
  <dataValidations count="1">
    <dataValidation type="whole" operator="greaterThanOrEqual" allowBlank="1" showInputMessage="1" showErrorMessage="1" sqref="D6:G21 P6:X21 H6:O18 H20:O21" xr:uid="{00000000-0002-0000-04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63" orientation="landscape" r:id="rId1"/>
  <headerFooter scaleWithDoc="0">
    <oddFooter>&amp;R&amp;"Goudy,Negrita Cursiva"Técnica Diurna&amp;"Goudy,Cursiva",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4">
    <pageSetUpPr fitToPage="1"/>
  </sheetPr>
  <dimension ref="A1:AA30"/>
  <sheetViews>
    <sheetView showGridLines="0" zoomScale="90" zoomScaleNormal="90" workbookViewId="0"/>
  </sheetViews>
  <sheetFormatPr baseColWidth="10" defaultColWidth="11.44140625" defaultRowHeight="13.8"/>
  <cols>
    <col min="1" max="1" width="3.88671875" style="44" customWidth="1"/>
    <col min="2" max="2" width="4.109375" style="448" hidden="1" customWidth="1"/>
    <col min="3" max="3" width="39" style="44" customWidth="1"/>
    <col min="4" max="24" width="8.109375" style="44" customWidth="1"/>
    <col min="25" max="16384" width="11.44140625" style="44"/>
  </cols>
  <sheetData>
    <row r="1" spans="2:25" ht="17.399999999999999">
      <c r="C1" s="26" t="s">
        <v>870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Q1" s="51"/>
      <c r="R1" s="51"/>
      <c r="S1" s="51"/>
      <c r="T1" s="51"/>
      <c r="U1" s="51"/>
      <c r="V1" s="51"/>
      <c r="W1" s="51"/>
      <c r="X1" s="51"/>
      <c r="Y1" s="51"/>
    </row>
    <row r="2" spans="2:25" ht="18" thickBot="1">
      <c r="C2" s="473" t="s">
        <v>1678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2:25" ht="21" customHeight="1" thickTop="1" thickBot="1">
      <c r="B3" s="448">
        <v>1</v>
      </c>
      <c r="C3" s="756" t="s">
        <v>274</v>
      </c>
      <c r="D3" s="759" t="s">
        <v>0</v>
      </c>
      <c r="E3" s="760"/>
      <c r="F3" s="761"/>
      <c r="G3" s="764" t="s">
        <v>1643</v>
      </c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spans="2:25" ht="18" customHeight="1">
      <c r="B4" s="448">
        <v>2</v>
      </c>
      <c r="C4" s="757"/>
      <c r="D4" s="762"/>
      <c r="E4" s="753"/>
      <c r="F4" s="763"/>
      <c r="G4" s="752" t="s">
        <v>847</v>
      </c>
      <c r="H4" s="753"/>
      <c r="I4" s="753"/>
      <c r="J4" s="752" t="s">
        <v>848</v>
      </c>
      <c r="K4" s="753"/>
      <c r="L4" s="753"/>
      <c r="M4" s="752" t="s">
        <v>849</v>
      </c>
      <c r="N4" s="753"/>
      <c r="O4" s="753"/>
      <c r="P4" s="752" t="s">
        <v>837</v>
      </c>
      <c r="Q4" s="753"/>
      <c r="R4" s="753"/>
      <c r="S4" s="752" t="s">
        <v>850</v>
      </c>
      <c r="T4" s="753"/>
      <c r="U4" s="753"/>
      <c r="V4" s="754" t="s">
        <v>851</v>
      </c>
      <c r="W4" s="755"/>
      <c r="X4" s="755"/>
    </row>
    <row r="5" spans="2:25" ht="27.75" customHeight="1" thickBot="1">
      <c r="B5" s="448">
        <v>3</v>
      </c>
      <c r="C5" s="758"/>
      <c r="D5" s="475" t="s">
        <v>0</v>
      </c>
      <c r="E5" s="476" t="s">
        <v>20</v>
      </c>
      <c r="F5" s="477" t="s">
        <v>19</v>
      </c>
      <c r="G5" s="478" t="s">
        <v>0</v>
      </c>
      <c r="H5" s="476" t="s">
        <v>20</v>
      </c>
      <c r="I5" s="479" t="s">
        <v>19</v>
      </c>
      <c r="J5" s="478" t="s">
        <v>0</v>
      </c>
      <c r="K5" s="476" t="s">
        <v>20</v>
      </c>
      <c r="L5" s="479" t="s">
        <v>19</v>
      </c>
      <c r="M5" s="478" t="s">
        <v>0</v>
      </c>
      <c r="N5" s="476" t="s">
        <v>20</v>
      </c>
      <c r="O5" s="479" t="s">
        <v>19</v>
      </c>
      <c r="P5" s="478" t="s">
        <v>0</v>
      </c>
      <c r="Q5" s="476" t="s">
        <v>20</v>
      </c>
      <c r="R5" s="479" t="s">
        <v>19</v>
      </c>
      <c r="S5" s="478" t="s">
        <v>0</v>
      </c>
      <c r="T5" s="476" t="s">
        <v>20</v>
      </c>
      <c r="U5" s="479" t="s">
        <v>19</v>
      </c>
      <c r="V5" s="478" t="s">
        <v>0</v>
      </c>
      <c r="W5" s="476" t="s">
        <v>20</v>
      </c>
      <c r="X5" s="480" t="s">
        <v>19</v>
      </c>
    </row>
    <row r="6" spans="2:25" ht="24" customHeight="1" thickTop="1">
      <c r="B6" s="448">
        <v>4</v>
      </c>
      <c r="C6" s="530" t="s">
        <v>277</v>
      </c>
      <c r="D6" s="531">
        <f t="shared" ref="D6:D19" si="0">+E6+F6</f>
        <v>0</v>
      </c>
      <c r="E6" s="532">
        <f t="shared" ref="E6:F18" si="1">+H6+K6+N6+Q6+T6+W6</f>
        <v>0</v>
      </c>
      <c r="F6" s="533">
        <f t="shared" si="1"/>
        <v>0</v>
      </c>
      <c r="G6" s="514">
        <f t="shared" ref="G6:G17" si="2">+H6+I6</f>
        <v>0</v>
      </c>
      <c r="H6" s="515"/>
      <c r="I6" s="515"/>
      <c r="J6" s="514">
        <f t="shared" ref="J6:J17" si="3">+K6+L6</f>
        <v>0</v>
      </c>
      <c r="K6" s="515"/>
      <c r="L6" s="515"/>
      <c r="M6" s="514">
        <f t="shared" ref="M6:M17" si="4">+N6+O6</f>
        <v>0</v>
      </c>
      <c r="N6" s="515"/>
      <c r="O6" s="515"/>
      <c r="P6" s="514">
        <f t="shared" ref="P6:P19" si="5">+Q6+R6</f>
        <v>0</v>
      </c>
      <c r="Q6" s="515"/>
      <c r="R6" s="515"/>
      <c r="S6" s="514">
        <f t="shared" ref="S6:S19" si="6">+T6+U6</f>
        <v>0</v>
      </c>
      <c r="T6" s="515"/>
      <c r="U6" s="515"/>
      <c r="V6" s="514">
        <f t="shared" ref="V6:V19" si="7">+W6+X6</f>
        <v>0</v>
      </c>
      <c r="W6" s="515"/>
      <c r="X6" s="517"/>
    </row>
    <row r="7" spans="2:25" ht="24" customHeight="1">
      <c r="B7" s="448">
        <v>5</v>
      </c>
      <c r="C7" s="534" t="s">
        <v>278</v>
      </c>
      <c r="D7" s="236">
        <f t="shared" si="0"/>
        <v>0</v>
      </c>
      <c r="E7" s="272">
        <f>+H7+K7+N7+Q7+T7+W7</f>
        <v>0</v>
      </c>
      <c r="F7" s="423">
        <f t="shared" si="1"/>
        <v>0</v>
      </c>
      <c r="G7" s="347">
        <f t="shared" si="2"/>
        <v>0</v>
      </c>
      <c r="H7" s="535"/>
      <c r="I7" s="536"/>
      <c r="J7" s="347">
        <f t="shared" si="3"/>
        <v>0</v>
      </c>
      <c r="K7" s="535"/>
      <c r="L7" s="536"/>
      <c r="M7" s="347">
        <f t="shared" si="4"/>
        <v>0</v>
      </c>
      <c r="N7" s="535"/>
      <c r="O7" s="536"/>
      <c r="P7" s="347">
        <f t="shared" si="5"/>
        <v>0</v>
      </c>
      <c r="Q7" s="535"/>
      <c r="R7" s="536"/>
      <c r="S7" s="347">
        <f t="shared" si="6"/>
        <v>0</v>
      </c>
      <c r="T7" s="535"/>
      <c r="U7" s="536"/>
      <c r="V7" s="347">
        <f t="shared" si="7"/>
        <v>0</v>
      </c>
      <c r="W7" s="535"/>
      <c r="X7" s="537"/>
    </row>
    <row r="8" spans="2:25" ht="24" customHeight="1">
      <c r="B8" s="448">
        <v>6</v>
      </c>
      <c r="C8" s="534" t="s">
        <v>280</v>
      </c>
      <c r="D8" s="236">
        <f t="shared" si="0"/>
        <v>0</v>
      </c>
      <c r="E8" s="272">
        <f t="shared" ref="E8:E14" si="8">+H8+K8+N8+Q8+T8+W8</f>
        <v>0</v>
      </c>
      <c r="F8" s="423">
        <f t="shared" si="1"/>
        <v>0</v>
      </c>
      <c r="G8" s="347">
        <f t="shared" si="2"/>
        <v>0</v>
      </c>
      <c r="H8" s="535"/>
      <c r="I8" s="536"/>
      <c r="J8" s="347">
        <f t="shared" si="3"/>
        <v>0</v>
      </c>
      <c r="K8" s="535"/>
      <c r="L8" s="536"/>
      <c r="M8" s="347">
        <f t="shared" si="4"/>
        <v>0</v>
      </c>
      <c r="N8" s="535"/>
      <c r="O8" s="536"/>
      <c r="P8" s="347">
        <f t="shared" si="5"/>
        <v>0</v>
      </c>
      <c r="Q8" s="535"/>
      <c r="R8" s="536"/>
      <c r="S8" s="347">
        <f t="shared" si="6"/>
        <v>0</v>
      </c>
      <c r="T8" s="535"/>
      <c r="U8" s="536"/>
      <c r="V8" s="347">
        <f t="shared" si="7"/>
        <v>0</v>
      </c>
      <c r="W8" s="237"/>
      <c r="X8" s="71"/>
    </row>
    <row r="9" spans="2:25" ht="24" customHeight="1">
      <c r="B9" s="448">
        <v>7</v>
      </c>
      <c r="C9" s="534" t="s">
        <v>279</v>
      </c>
      <c r="D9" s="236">
        <f t="shared" si="0"/>
        <v>0</v>
      </c>
      <c r="E9" s="272">
        <f t="shared" si="8"/>
        <v>0</v>
      </c>
      <c r="F9" s="423">
        <f t="shared" si="1"/>
        <v>0</v>
      </c>
      <c r="G9" s="347">
        <f t="shared" si="2"/>
        <v>0</v>
      </c>
      <c r="H9" s="535"/>
      <c r="I9" s="536"/>
      <c r="J9" s="347">
        <f t="shared" si="3"/>
        <v>0</v>
      </c>
      <c r="K9" s="535"/>
      <c r="L9" s="536"/>
      <c r="M9" s="347">
        <f t="shared" si="4"/>
        <v>0</v>
      </c>
      <c r="N9" s="535"/>
      <c r="O9" s="536"/>
      <c r="P9" s="765"/>
      <c r="Q9" s="766"/>
      <c r="R9" s="766"/>
      <c r="S9" s="766"/>
      <c r="T9" s="766"/>
      <c r="U9" s="766"/>
      <c r="V9" s="766"/>
      <c r="W9" s="766"/>
      <c r="X9" s="766"/>
    </row>
    <row r="10" spans="2:25" ht="24" customHeight="1">
      <c r="B10" s="448">
        <v>8</v>
      </c>
      <c r="C10" s="534" t="s">
        <v>831</v>
      </c>
      <c r="D10" s="236">
        <f t="shared" si="0"/>
        <v>0</v>
      </c>
      <c r="E10" s="272">
        <f t="shared" si="8"/>
        <v>0</v>
      </c>
      <c r="F10" s="423">
        <f t="shared" si="1"/>
        <v>0</v>
      </c>
      <c r="G10" s="347">
        <f t="shared" si="2"/>
        <v>0</v>
      </c>
      <c r="H10" s="535"/>
      <c r="I10" s="536"/>
      <c r="J10" s="347">
        <f t="shared" si="3"/>
        <v>0</v>
      </c>
      <c r="K10" s="535"/>
      <c r="L10" s="536"/>
      <c r="M10" s="347">
        <f t="shared" si="4"/>
        <v>0</v>
      </c>
      <c r="N10" s="535"/>
      <c r="O10" s="536"/>
      <c r="P10" s="347">
        <f t="shared" si="5"/>
        <v>0</v>
      </c>
      <c r="Q10" s="535"/>
      <c r="R10" s="536"/>
      <c r="S10" s="347">
        <f t="shared" si="6"/>
        <v>0</v>
      </c>
      <c r="T10" s="535"/>
      <c r="U10" s="536"/>
      <c r="V10" s="347">
        <f t="shared" si="7"/>
        <v>0</v>
      </c>
      <c r="W10" s="535"/>
      <c r="X10" s="537"/>
    </row>
    <row r="11" spans="2:25" ht="24" customHeight="1">
      <c r="B11" s="448">
        <v>9</v>
      </c>
      <c r="C11" s="534" t="s">
        <v>832</v>
      </c>
      <c r="D11" s="236">
        <f t="shared" si="0"/>
        <v>0</v>
      </c>
      <c r="E11" s="272">
        <f t="shared" si="8"/>
        <v>0</v>
      </c>
      <c r="F11" s="423">
        <f t="shared" si="1"/>
        <v>0</v>
      </c>
      <c r="G11" s="347">
        <f t="shared" si="2"/>
        <v>0</v>
      </c>
      <c r="H11" s="535"/>
      <c r="I11" s="536"/>
      <c r="J11" s="347">
        <f t="shared" si="3"/>
        <v>0</v>
      </c>
      <c r="K11" s="535"/>
      <c r="L11" s="536"/>
      <c r="M11" s="347">
        <f t="shared" si="4"/>
        <v>0</v>
      </c>
      <c r="N11" s="535"/>
      <c r="O11" s="536"/>
      <c r="P11" s="347">
        <f t="shared" si="5"/>
        <v>0</v>
      </c>
      <c r="Q11" s="535"/>
      <c r="R11" s="536"/>
      <c r="S11" s="347">
        <f t="shared" si="6"/>
        <v>0</v>
      </c>
      <c r="T11" s="535"/>
      <c r="U11" s="536"/>
      <c r="V11" s="347">
        <f t="shared" si="7"/>
        <v>0</v>
      </c>
      <c r="W11" s="535"/>
      <c r="X11" s="537"/>
    </row>
    <row r="12" spans="2:25" ht="24" customHeight="1">
      <c r="B12" s="448">
        <v>10</v>
      </c>
      <c r="C12" s="534" t="s">
        <v>833</v>
      </c>
      <c r="D12" s="236">
        <f t="shared" si="0"/>
        <v>0</v>
      </c>
      <c r="E12" s="272">
        <f t="shared" si="8"/>
        <v>0</v>
      </c>
      <c r="F12" s="423">
        <f t="shared" si="1"/>
        <v>0</v>
      </c>
      <c r="G12" s="347">
        <f t="shared" si="2"/>
        <v>0</v>
      </c>
      <c r="H12" s="535"/>
      <c r="I12" s="536"/>
      <c r="J12" s="347">
        <f t="shared" si="3"/>
        <v>0</v>
      </c>
      <c r="K12" s="535"/>
      <c r="L12" s="536"/>
      <c r="M12" s="347">
        <f t="shared" si="4"/>
        <v>0</v>
      </c>
      <c r="N12" s="535"/>
      <c r="O12" s="536"/>
      <c r="P12" s="347">
        <f t="shared" si="5"/>
        <v>0</v>
      </c>
      <c r="Q12" s="535"/>
      <c r="R12" s="536"/>
      <c r="S12" s="347">
        <f t="shared" si="6"/>
        <v>0</v>
      </c>
      <c r="T12" s="535"/>
      <c r="U12" s="536"/>
      <c r="V12" s="347">
        <f t="shared" si="7"/>
        <v>0</v>
      </c>
      <c r="W12" s="535"/>
      <c r="X12" s="537"/>
    </row>
    <row r="13" spans="2:25" ht="24" customHeight="1">
      <c r="B13" s="448">
        <v>11</v>
      </c>
      <c r="C13" s="534" t="s">
        <v>171</v>
      </c>
      <c r="D13" s="236">
        <f t="shared" si="0"/>
        <v>0</v>
      </c>
      <c r="E13" s="272">
        <f t="shared" si="8"/>
        <v>0</v>
      </c>
      <c r="F13" s="423">
        <f t="shared" si="1"/>
        <v>0</v>
      </c>
      <c r="G13" s="347">
        <f t="shared" si="2"/>
        <v>0</v>
      </c>
      <c r="H13" s="535"/>
      <c r="I13" s="536"/>
      <c r="J13" s="347">
        <f t="shared" si="3"/>
        <v>0</v>
      </c>
      <c r="K13" s="535"/>
      <c r="L13" s="536"/>
      <c r="M13" s="347">
        <f t="shared" si="4"/>
        <v>0</v>
      </c>
      <c r="N13" s="535"/>
      <c r="O13" s="536"/>
      <c r="P13" s="347">
        <f t="shared" si="5"/>
        <v>0</v>
      </c>
      <c r="Q13" s="535"/>
      <c r="R13" s="536"/>
      <c r="S13" s="347">
        <f t="shared" si="6"/>
        <v>0</v>
      </c>
      <c r="T13" s="535"/>
      <c r="U13" s="536"/>
      <c r="V13" s="347">
        <f t="shared" si="7"/>
        <v>0</v>
      </c>
      <c r="W13" s="535"/>
      <c r="X13" s="537"/>
    </row>
    <row r="14" spans="2:25" ht="24" customHeight="1">
      <c r="B14" s="448">
        <v>12</v>
      </c>
      <c r="C14" s="534" t="s">
        <v>18</v>
      </c>
      <c r="D14" s="236">
        <f t="shared" si="0"/>
        <v>0</v>
      </c>
      <c r="E14" s="272">
        <f t="shared" si="8"/>
        <v>0</v>
      </c>
      <c r="F14" s="423">
        <f t="shared" si="1"/>
        <v>0</v>
      </c>
      <c r="G14" s="347">
        <f t="shared" si="2"/>
        <v>0</v>
      </c>
      <c r="H14" s="535"/>
      <c r="I14" s="536"/>
      <c r="J14" s="347">
        <f t="shared" si="3"/>
        <v>0</v>
      </c>
      <c r="K14" s="535"/>
      <c r="L14" s="536"/>
      <c r="M14" s="347">
        <f t="shared" si="4"/>
        <v>0</v>
      </c>
      <c r="N14" s="535"/>
      <c r="O14" s="536"/>
      <c r="P14" s="347">
        <f t="shared" si="5"/>
        <v>0</v>
      </c>
      <c r="Q14" s="535"/>
      <c r="R14" s="536"/>
      <c r="S14" s="347">
        <f t="shared" si="6"/>
        <v>0</v>
      </c>
      <c r="T14" s="535"/>
      <c r="U14" s="536"/>
      <c r="V14" s="347">
        <f t="shared" si="7"/>
        <v>0</v>
      </c>
      <c r="W14" s="535"/>
      <c r="X14" s="537"/>
    </row>
    <row r="15" spans="2:25" ht="24" customHeight="1">
      <c r="B15" s="448">
        <v>13</v>
      </c>
      <c r="C15" s="534" t="s">
        <v>834</v>
      </c>
      <c r="D15" s="236">
        <f t="shared" si="0"/>
        <v>0</v>
      </c>
      <c r="E15" s="272">
        <f t="shared" ref="E15:F20" si="9">+H15+K15+N15+Q15+T15+W15</f>
        <v>0</v>
      </c>
      <c r="F15" s="423">
        <f t="shared" si="1"/>
        <v>0</v>
      </c>
      <c r="G15" s="347">
        <f t="shared" si="2"/>
        <v>0</v>
      </c>
      <c r="H15" s="535"/>
      <c r="I15" s="536"/>
      <c r="J15" s="347">
        <f t="shared" si="3"/>
        <v>0</v>
      </c>
      <c r="K15" s="535"/>
      <c r="L15" s="536"/>
      <c r="M15" s="347">
        <f t="shared" si="4"/>
        <v>0</v>
      </c>
      <c r="N15" s="535"/>
      <c r="O15" s="536"/>
      <c r="P15" s="347">
        <f t="shared" si="5"/>
        <v>0</v>
      </c>
      <c r="Q15" s="535"/>
      <c r="R15" s="536"/>
      <c r="S15" s="347">
        <f t="shared" si="6"/>
        <v>0</v>
      </c>
      <c r="T15" s="535"/>
      <c r="U15" s="536"/>
      <c r="V15" s="347">
        <f t="shared" si="7"/>
        <v>0</v>
      </c>
      <c r="W15" s="535"/>
      <c r="X15" s="537"/>
    </row>
    <row r="16" spans="2:25" ht="24" customHeight="1">
      <c r="B16" s="448">
        <v>14</v>
      </c>
      <c r="C16" s="534" t="s">
        <v>162</v>
      </c>
      <c r="D16" s="236">
        <f t="shared" si="0"/>
        <v>0</v>
      </c>
      <c r="E16" s="272">
        <f t="shared" si="9"/>
        <v>0</v>
      </c>
      <c r="F16" s="423">
        <f t="shared" si="1"/>
        <v>0</v>
      </c>
      <c r="G16" s="347">
        <f t="shared" si="2"/>
        <v>0</v>
      </c>
      <c r="H16" s="535"/>
      <c r="I16" s="536"/>
      <c r="J16" s="347">
        <f t="shared" si="3"/>
        <v>0</v>
      </c>
      <c r="K16" s="535"/>
      <c r="L16" s="536"/>
      <c r="M16" s="347">
        <f t="shared" si="4"/>
        <v>0</v>
      </c>
      <c r="N16" s="535"/>
      <c r="O16" s="536"/>
      <c r="P16" s="347">
        <f t="shared" si="5"/>
        <v>0</v>
      </c>
      <c r="Q16" s="535"/>
      <c r="R16" s="536"/>
      <c r="S16" s="347">
        <f t="shared" si="6"/>
        <v>0</v>
      </c>
      <c r="T16" s="535"/>
      <c r="U16" s="536"/>
      <c r="V16" s="347">
        <f t="shared" si="7"/>
        <v>0</v>
      </c>
      <c r="W16" s="535"/>
      <c r="X16" s="537"/>
    </row>
    <row r="17" spans="1:27" ht="24" customHeight="1">
      <c r="B17" s="448">
        <v>15</v>
      </c>
      <c r="C17" s="534" t="s">
        <v>163</v>
      </c>
      <c r="D17" s="236">
        <f t="shared" si="0"/>
        <v>0</v>
      </c>
      <c r="E17" s="272">
        <f t="shared" si="9"/>
        <v>0</v>
      </c>
      <c r="F17" s="423">
        <f t="shared" si="1"/>
        <v>0</v>
      </c>
      <c r="G17" s="347">
        <f t="shared" si="2"/>
        <v>0</v>
      </c>
      <c r="H17" s="535"/>
      <c r="I17" s="536"/>
      <c r="J17" s="347">
        <f t="shared" si="3"/>
        <v>0</v>
      </c>
      <c r="K17" s="535"/>
      <c r="L17" s="536"/>
      <c r="M17" s="347">
        <f t="shared" si="4"/>
        <v>0</v>
      </c>
      <c r="N17" s="535"/>
      <c r="O17" s="536"/>
      <c r="P17" s="347">
        <f t="shared" si="5"/>
        <v>0</v>
      </c>
      <c r="Q17" s="535"/>
      <c r="R17" s="536"/>
      <c r="S17" s="347">
        <f t="shared" si="6"/>
        <v>0</v>
      </c>
      <c r="T17" s="535"/>
      <c r="U17" s="536"/>
      <c r="V17" s="347">
        <f t="shared" si="7"/>
        <v>0</v>
      </c>
      <c r="W17" s="535"/>
      <c r="X17" s="537"/>
    </row>
    <row r="18" spans="1:27" ht="24" customHeight="1">
      <c r="B18" s="448">
        <v>16</v>
      </c>
      <c r="C18" s="534" t="s">
        <v>161</v>
      </c>
      <c r="D18" s="236">
        <f t="shared" si="0"/>
        <v>0</v>
      </c>
      <c r="E18" s="272">
        <f t="shared" si="9"/>
        <v>0</v>
      </c>
      <c r="F18" s="423">
        <f t="shared" si="1"/>
        <v>0</v>
      </c>
      <c r="G18" s="347">
        <f t="shared" ref="G18" si="10">+H18+I18</f>
        <v>0</v>
      </c>
      <c r="H18" s="535"/>
      <c r="I18" s="536"/>
      <c r="J18" s="347">
        <f t="shared" ref="J18" si="11">+K18+L18</f>
        <v>0</v>
      </c>
      <c r="K18" s="535"/>
      <c r="L18" s="536"/>
      <c r="M18" s="347">
        <f t="shared" ref="M18" si="12">+N18+O18</f>
        <v>0</v>
      </c>
      <c r="N18" s="535"/>
      <c r="O18" s="536"/>
      <c r="P18" s="347">
        <f t="shared" si="5"/>
        <v>0</v>
      </c>
      <c r="Q18" s="535"/>
      <c r="R18" s="536"/>
      <c r="S18" s="347">
        <f t="shared" si="6"/>
        <v>0</v>
      </c>
      <c r="T18" s="535"/>
      <c r="U18" s="536"/>
      <c r="V18" s="347">
        <f t="shared" si="7"/>
        <v>0</v>
      </c>
      <c r="W18" s="535"/>
      <c r="X18" s="537"/>
    </row>
    <row r="19" spans="1:27" ht="24" customHeight="1">
      <c r="B19" s="448">
        <v>17</v>
      </c>
      <c r="C19" s="534" t="s">
        <v>1530</v>
      </c>
      <c r="D19" s="236">
        <f t="shared" si="0"/>
        <v>0</v>
      </c>
      <c r="E19" s="272">
        <f t="shared" si="9"/>
        <v>0</v>
      </c>
      <c r="F19" s="423">
        <f t="shared" si="9"/>
        <v>0</v>
      </c>
      <c r="G19" s="614"/>
      <c r="H19" s="615"/>
      <c r="I19" s="615"/>
      <c r="J19" s="615"/>
      <c r="K19" s="615"/>
      <c r="L19" s="615"/>
      <c r="M19" s="615"/>
      <c r="N19" s="615"/>
      <c r="O19" s="616"/>
      <c r="P19" s="347">
        <f t="shared" si="5"/>
        <v>0</v>
      </c>
      <c r="Q19" s="535"/>
      <c r="R19" s="536"/>
      <c r="S19" s="347">
        <f t="shared" si="6"/>
        <v>0</v>
      </c>
      <c r="T19" s="535"/>
      <c r="U19" s="536"/>
      <c r="V19" s="347">
        <f t="shared" si="7"/>
        <v>0</v>
      </c>
      <c r="W19" s="535"/>
      <c r="X19" s="537"/>
    </row>
    <row r="20" spans="1:27" ht="24" customHeight="1" thickBot="1">
      <c r="B20" s="448">
        <v>18</v>
      </c>
      <c r="C20" s="538" t="s">
        <v>868</v>
      </c>
      <c r="D20" s="539">
        <f t="shared" ref="D20" si="13">+E20+F20</f>
        <v>0</v>
      </c>
      <c r="E20" s="540">
        <f t="shared" ref="E20" si="14">+H20+K20+N20+Q20+T20+W20</f>
        <v>0</v>
      </c>
      <c r="F20" s="526">
        <f t="shared" si="9"/>
        <v>0</v>
      </c>
      <c r="G20" s="392">
        <f t="shared" ref="G20" si="15">+H20+I20</f>
        <v>0</v>
      </c>
      <c r="H20" s="391"/>
      <c r="I20" s="541"/>
      <c r="J20" s="392">
        <f t="shared" ref="J20" si="16">+K20+L20</f>
        <v>0</v>
      </c>
      <c r="K20" s="391"/>
      <c r="L20" s="541"/>
      <c r="M20" s="392">
        <f t="shared" ref="M20" si="17">+N20+O20</f>
        <v>0</v>
      </c>
      <c r="N20" s="391"/>
      <c r="O20" s="541"/>
      <c r="P20" s="392">
        <f t="shared" ref="P20" si="18">+Q20+R20</f>
        <v>0</v>
      </c>
      <c r="Q20" s="391"/>
      <c r="R20" s="541"/>
      <c r="S20" s="392">
        <f t="shared" ref="S20" si="19">+T20+U20</f>
        <v>0</v>
      </c>
      <c r="T20" s="391"/>
      <c r="U20" s="541"/>
      <c r="V20" s="392">
        <f t="shared" ref="V20" si="20">+W20+X20</f>
        <v>0</v>
      </c>
      <c r="W20" s="391"/>
      <c r="X20" s="393"/>
    </row>
    <row r="21" spans="1:27" s="529" customFormat="1" ht="17.25" customHeight="1" thickTop="1">
      <c r="A21" s="527"/>
      <c r="B21" s="608"/>
      <c r="C21" s="527"/>
      <c r="D21" s="542">
        <f>SUM(D6:D20)</f>
        <v>0</v>
      </c>
      <c r="E21" s="528"/>
      <c r="G21" s="528"/>
      <c r="H21" s="528" t="str">
        <f>IF(OR(H6&gt;'CUADRO 2'!H6,H7&gt;'CUADRO 2'!H7,H8&gt;'CUADRO 2'!H8,H9&gt;'CUADRO 2'!H9,H10&gt;'CUADRO 2'!H10,H11&gt;'CUADRO 2'!H11,H12&gt;'CUADRO 2'!H12,H13&gt;'CUADRO 2'!H13,H14&gt;'CUADRO 2'!H14,H15&gt;'CUADRO 2'!H15,H16&gt;'CUADRO 2'!H16,H17&gt;'CUADRO 2'!H17,H18&gt;'CUADRO 2'!H18,H19&gt;'CUADRO 2'!H19,H20&gt;'CUADRO 2'!H20),"XX","")</f>
        <v/>
      </c>
      <c r="I21" s="528" t="str">
        <f>IF(OR(I6&gt;'CUADRO 2'!I6,I7&gt;'CUADRO 2'!I7,I8&gt;'CUADRO 2'!I8,I9&gt;'CUADRO 2'!I9,I10&gt;'CUADRO 2'!I10,I11&gt;'CUADRO 2'!I11,I12&gt;'CUADRO 2'!I12,I13&gt;'CUADRO 2'!I13,I14&gt;'CUADRO 2'!I14,I15&gt;'CUADRO 2'!I15,I16&gt;'CUADRO 2'!I16,I17&gt;'CUADRO 2'!I17,I18&gt;'CUADRO 2'!I18,I19&gt;'CUADRO 2'!I19,I20&gt;'CUADRO 2'!I20),"XX","")</f>
        <v/>
      </c>
      <c r="J21" s="528"/>
      <c r="K21" s="528" t="str">
        <f>IF(OR(K6&gt;'CUADRO 2'!K6,K7&gt;'CUADRO 2'!K7,K8&gt;'CUADRO 2'!K8,K9&gt;'CUADRO 2'!K9,K10&gt;'CUADRO 2'!K10,K11&gt;'CUADRO 2'!K11,K12&gt;'CUADRO 2'!K12,K13&gt;'CUADRO 2'!K13,K14&gt;'CUADRO 2'!K14,K15&gt;'CUADRO 2'!K15,K16&gt;'CUADRO 2'!K16,K17&gt;'CUADRO 2'!K17,K18&gt;'CUADRO 2'!K18,K19&gt;'CUADRO 2'!K19,K20&gt;'CUADRO 2'!K20),"XX","")</f>
        <v/>
      </c>
      <c r="L21" s="528" t="str">
        <f>IF(OR(L6&gt;'CUADRO 2'!L6,L7&gt;'CUADRO 2'!L7,L8&gt;'CUADRO 2'!L8,L9&gt;'CUADRO 2'!L9,L10&gt;'CUADRO 2'!L10,L11&gt;'CUADRO 2'!L11,L12&gt;'CUADRO 2'!L12,L13&gt;'CUADRO 2'!L13,L14&gt;'CUADRO 2'!L14,L15&gt;'CUADRO 2'!L15,L16&gt;'CUADRO 2'!L16,L17&gt;'CUADRO 2'!L17,L18&gt;'CUADRO 2'!L18,L19&gt;'CUADRO 2'!L19,L20&gt;'CUADRO 2'!L20),"XX","")</f>
        <v/>
      </c>
      <c r="M21" s="528"/>
      <c r="N21" s="528" t="str">
        <f>IF(OR(N6&gt;'CUADRO 2'!N6,N7&gt;'CUADRO 2'!N7,N8&gt;'CUADRO 2'!N8,N9&gt;'CUADRO 2'!N9,N10&gt;'CUADRO 2'!N10,N11&gt;'CUADRO 2'!N11,N12&gt;'CUADRO 2'!N12,N13&gt;'CUADRO 2'!N13,N14&gt;'CUADRO 2'!N14,N15&gt;'CUADRO 2'!N15,N16&gt;'CUADRO 2'!N16,N17&gt;'CUADRO 2'!N17,N18&gt;'CUADRO 2'!N18,N19&gt;'CUADRO 2'!N19,N20&gt;'CUADRO 2'!N20),"XX","")</f>
        <v/>
      </c>
      <c r="O21" s="528" t="str">
        <f>IF(OR(O6&gt;'CUADRO 2'!O6,O7&gt;'CUADRO 2'!O7,O8&gt;'CUADRO 2'!O8,O9&gt;'CUADRO 2'!O9,O10&gt;'CUADRO 2'!O10,O11&gt;'CUADRO 2'!O11,O12&gt;'CUADRO 2'!O12,O13&gt;'CUADRO 2'!O13,O14&gt;'CUADRO 2'!O14,O15&gt;'CUADRO 2'!O15,O16&gt;'CUADRO 2'!O16,O17&gt;'CUADRO 2'!O17,O18&gt;'CUADRO 2'!O18,O19&gt;'CUADRO 2'!O19,O20&gt;'CUADRO 2'!O20),"XX","")</f>
        <v/>
      </c>
      <c r="P21" s="528"/>
      <c r="Q21" s="528" t="str">
        <f>IF(OR(Q6&gt;'CUADRO 2'!Q6,Q7&gt;'CUADRO 2'!Q7,Q8&gt;'CUADRO 2'!Q8,Q9&gt;'CUADRO 2'!Q9,Q10&gt;'CUADRO 2'!Q10,Q11&gt;'CUADRO 2'!Q11,Q12&gt;'CUADRO 2'!Q12,Q13&gt;'CUADRO 2'!Q13,Q14&gt;'CUADRO 2'!Q14,Q15&gt;'CUADRO 2'!Q15,Q16&gt;'CUADRO 2'!Q16,Q17&gt;'CUADRO 2'!Q17,Q18&gt;'CUADRO 2'!Q18,Q19&gt;'CUADRO 2'!Q19,Q20&gt;'CUADRO 2'!Q20),"XX","")</f>
        <v/>
      </c>
      <c r="R21" s="528" t="str">
        <f>IF(OR(R6&gt;'CUADRO 2'!R6,R7&gt;'CUADRO 2'!R7,R8&gt;'CUADRO 2'!R8,R9&gt;'CUADRO 2'!R9,R10&gt;'CUADRO 2'!R10,R11&gt;'CUADRO 2'!R11,R12&gt;'CUADRO 2'!R12,R13&gt;'CUADRO 2'!R13,R14&gt;'CUADRO 2'!R14,R15&gt;'CUADRO 2'!R15,R16&gt;'CUADRO 2'!R16,R17&gt;'CUADRO 2'!R17,R18&gt;'CUADRO 2'!R18,R19&gt;'CUADRO 2'!R19,R20&gt;'CUADRO 2'!R20),"XX","")</f>
        <v/>
      </c>
      <c r="S21" s="528"/>
      <c r="T21" s="528" t="str">
        <f>IF(OR(T6&gt;'CUADRO 2'!T6,T7&gt;'CUADRO 2'!T7,T8&gt;'CUADRO 2'!T8,T9&gt;'CUADRO 2'!T9,T10&gt;'CUADRO 2'!T10,T11&gt;'CUADRO 2'!T11,T12&gt;'CUADRO 2'!T12,T13&gt;'CUADRO 2'!T13,T14&gt;'CUADRO 2'!T14,T15&gt;'CUADRO 2'!T15,T16&gt;'CUADRO 2'!T16,T17&gt;'CUADRO 2'!T17,T18&gt;'CUADRO 2'!T18,T19&gt;'CUADRO 2'!T19,T20&gt;'CUADRO 2'!T20),"XX","")</f>
        <v/>
      </c>
      <c r="U21" s="528" t="str">
        <f>IF(OR(U6&gt;'CUADRO 2'!U6,U7&gt;'CUADRO 2'!U7,U8&gt;'CUADRO 2'!U8,U9&gt;'CUADRO 2'!U9,U10&gt;'CUADRO 2'!U10,U11&gt;'CUADRO 2'!U11,U12&gt;'CUADRO 2'!U12,U13&gt;'CUADRO 2'!U13,U14&gt;'CUADRO 2'!U14,U15&gt;'CUADRO 2'!U15,U16&gt;'CUADRO 2'!U16,U17&gt;'CUADRO 2'!U17,U18&gt;'CUADRO 2'!U18,U19&gt;'CUADRO 2'!U19,U20&gt;'CUADRO 2'!U20),"XX","")</f>
        <v/>
      </c>
      <c r="V21" s="528"/>
      <c r="W21" s="528" t="str">
        <f>IF(OR(W6&gt;'CUADRO 2'!W6,W7&gt;'CUADRO 2'!W7,W8&gt;'CUADRO 2'!W8,W9&gt;'CUADRO 2'!W9,W10&gt;'CUADRO 2'!W10,W11&gt;'CUADRO 2'!W11,W12&gt;'CUADRO 2'!W12,W13&gt;'CUADRO 2'!W13,W14&gt;'CUADRO 2'!W14,W15&gt;'CUADRO 2'!W15,W16&gt;'CUADRO 2'!W16,W17&gt;'CUADRO 2'!W17,W18&gt;'CUADRO 2'!W18,W19&gt;'CUADRO 2'!W19,W20&gt;'CUADRO 2'!W20),"XX","")</f>
        <v/>
      </c>
      <c r="X21" s="528" t="str">
        <f>IF(OR(X6&gt;'CUADRO 2'!X6,X7&gt;'CUADRO 2'!X7,X8&gt;'CUADRO 2'!X8,X9&gt;'CUADRO 2'!X9,X10&gt;'CUADRO 2'!X10,X11&gt;'CUADRO 2'!X11,X12&gt;'CUADRO 2'!X12,X13&gt;'CUADRO 2'!X13,X14&gt;'CUADRO 2'!X14,X15&gt;'CUADRO 2'!X15,X16&gt;'CUADRO 2'!X16,X17&gt;'CUADRO 2'!X17,X18&gt;'CUADRO 2'!X18,X19&gt;'CUADRO 2'!X19,X20&gt;'CUADRO 2'!X20),"XX","")</f>
        <v/>
      </c>
    </row>
    <row r="22" spans="1:27" ht="27.75" customHeight="1">
      <c r="A22" s="244"/>
      <c r="B22" s="191"/>
      <c r="C22" s="244"/>
      <c r="D22" s="244"/>
      <c r="E22" s="244"/>
      <c r="G22" s="771" t="str">
        <f>IF(OR(H21="XX",I21="XX",K21="XX",L21="XX",N21="XX",O21="XX",Q21="XX",R21="XX",T21="XX",U21="XX",W21="XX",X21="XX"),"El dato de repitentes es mayor a la cifra de matrícula reportada en el Cuadro 2.","")</f>
        <v/>
      </c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771"/>
      <c r="V22" s="293"/>
      <c r="W22" s="293"/>
      <c r="X22" s="293"/>
      <c r="Z22" s="191"/>
      <c r="AA22" s="191"/>
    </row>
    <row r="24" spans="1:27" ht="27.75" customHeight="1">
      <c r="G24" s="771" t="str">
        <f>IF(AND('CUADRO 1'!H6=0,'CUADRO 3'!D21&gt;0),"Debe indicar datos en el Cuadro 1",IF(AND('CUADRO 1'!H6&gt;0,'CUADRO 3'!D21=0),"Indicó datos en el Cuadro 1, debe indicar datos en este Cuadro",""))</f>
        <v/>
      </c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</row>
    <row r="25" spans="1:27" ht="15.6">
      <c r="C25" s="52" t="s">
        <v>273</v>
      </c>
      <c r="D25" s="510"/>
      <c r="E25" s="510"/>
      <c r="F25" s="510"/>
      <c r="G25" s="510"/>
      <c r="H25" s="510"/>
      <c r="I25" s="510"/>
    </row>
    <row r="26" spans="1:27">
      <c r="B26" s="448">
        <v>19</v>
      </c>
      <c r="C26" s="723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5"/>
    </row>
    <row r="27" spans="1:27">
      <c r="C27" s="726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8"/>
    </row>
    <row r="28" spans="1:27">
      <c r="C28" s="726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8"/>
    </row>
    <row r="29" spans="1:27">
      <c r="C29" s="726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8"/>
    </row>
    <row r="30" spans="1:27">
      <c r="C30" s="729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1"/>
    </row>
  </sheetData>
  <sheetProtection algorithmName="SHA-512" hashValue="H2tpRRSrdZe2ZNC/HhyyRC7JBiyz7ZV49DraOwjC0+LyfLPdyRPJ6pztC8HYh7b5k5ky1lRP71BXxtP3xAnhsQ==" saltValue="v4Muc9t2e477uKPY7z3FHQ==" spinCount="100000" sheet="1" objects="1" scenarios="1"/>
  <mergeCells count="13">
    <mergeCell ref="P9:X9"/>
    <mergeCell ref="G22:U22"/>
    <mergeCell ref="C26:X30"/>
    <mergeCell ref="C3:C5"/>
    <mergeCell ref="D3:F4"/>
    <mergeCell ref="G3:X3"/>
    <mergeCell ref="G4:I4"/>
    <mergeCell ref="J4:L4"/>
    <mergeCell ref="M4:O4"/>
    <mergeCell ref="P4:R4"/>
    <mergeCell ref="S4:U4"/>
    <mergeCell ref="V4:X4"/>
    <mergeCell ref="G24:U24"/>
  </mergeCells>
  <conditionalFormatting sqref="D6:G20 P6:P20 S10:S20 V10:V20 J20 M20">
    <cfRule type="cellIs" dxfId="70" priority="12" operator="equal">
      <formula>0</formula>
    </cfRule>
  </conditionalFormatting>
  <conditionalFormatting sqref="G22">
    <cfRule type="notContainsBlanks" dxfId="69" priority="215">
      <formula>LEN(TRIM(G22))&gt;0</formula>
    </cfRule>
  </conditionalFormatting>
  <conditionalFormatting sqref="G24">
    <cfRule type="notContainsBlanks" dxfId="68" priority="1">
      <formula>LEN(TRIM(G24))&gt;0</formula>
    </cfRule>
  </conditionalFormatting>
  <conditionalFormatting sqref="S6:S8 V6:V8 J6:J18 M6:M18">
    <cfRule type="cellIs" dxfId="66" priority="214" operator="equal">
      <formula>0</formula>
    </cfRule>
  </conditionalFormatting>
  <dataValidations count="1">
    <dataValidation type="whole" operator="greaterThanOrEqual" allowBlank="1" showInputMessage="1" showErrorMessage="1" sqref="D6:G20 P6:X20 H6:O18 H20:O20" xr:uid="{00000000-0002-0000-05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65" orientation="landscape" r:id="rId1"/>
  <headerFooter scaleWithDoc="0">
    <oddFooter>&amp;R&amp;"Goudy,Negrita Cursiva"Técnica Diurna&amp;"Goudy,Cursiva", 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6" id="{A7E77AD3-A7CA-4108-A438-C0DE41E8B78C}">
            <xm:f>H6&gt;'CUADRO 2'!H6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Q6:R8 T6:U8 W6:X8 H6:I18 K6:L18 N6:O18 Q10:R20 T10:U20 W10:X20 H20:I20 K20:L20 N20:O20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6">
    <pageSetUpPr fitToPage="1"/>
  </sheetPr>
  <dimension ref="A1:S18"/>
  <sheetViews>
    <sheetView showGridLines="0" zoomScale="90" zoomScaleNormal="90" workbookViewId="0"/>
  </sheetViews>
  <sheetFormatPr baseColWidth="10" defaultColWidth="11.44140625" defaultRowHeight="13.8"/>
  <cols>
    <col min="1" max="1" width="5.88671875" style="44" customWidth="1"/>
    <col min="2" max="2" width="5.88671875" style="448" hidden="1" customWidth="1"/>
    <col min="3" max="3" width="18" style="44" customWidth="1"/>
    <col min="4" max="18" width="8.109375" style="44" customWidth="1"/>
    <col min="19" max="16384" width="11.44140625" style="44"/>
  </cols>
  <sheetData>
    <row r="1" spans="1:19" ht="17.399999999999999">
      <c r="C1" s="26" t="s">
        <v>791</v>
      </c>
      <c r="D1" s="511"/>
      <c r="E1" s="511"/>
      <c r="F1" s="511"/>
      <c r="G1" s="511"/>
      <c r="H1" s="511"/>
      <c r="I1" s="511"/>
      <c r="J1" s="511"/>
      <c r="K1" s="512"/>
      <c r="M1" s="51"/>
      <c r="N1" s="51"/>
      <c r="O1" s="51"/>
      <c r="P1" s="51"/>
      <c r="Q1" s="51"/>
      <c r="R1" s="51"/>
      <c r="S1" s="51"/>
    </row>
    <row r="2" spans="1:19" ht="18" thickBot="1">
      <c r="C2" s="473" t="s">
        <v>2637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19" ht="21" customHeight="1" thickTop="1" thickBot="1">
      <c r="B3" s="448">
        <v>1</v>
      </c>
      <c r="C3" s="756" t="s">
        <v>1679</v>
      </c>
      <c r="D3" s="772" t="s">
        <v>852</v>
      </c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19" ht="18" customHeight="1">
      <c r="B4" s="448">
        <v>2</v>
      </c>
      <c r="C4" s="757"/>
      <c r="D4" s="752" t="s">
        <v>848</v>
      </c>
      <c r="E4" s="753"/>
      <c r="F4" s="753"/>
      <c r="G4" s="752" t="s">
        <v>849</v>
      </c>
      <c r="H4" s="753"/>
      <c r="I4" s="753"/>
      <c r="J4" s="752" t="s">
        <v>837</v>
      </c>
      <c r="K4" s="753"/>
      <c r="L4" s="753"/>
      <c r="M4" s="752" t="s">
        <v>850</v>
      </c>
      <c r="N4" s="753"/>
      <c r="O4" s="753"/>
      <c r="P4" s="754" t="s">
        <v>851</v>
      </c>
      <c r="Q4" s="755"/>
      <c r="R4" s="755"/>
    </row>
    <row r="5" spans="1:19" ht="27.75" customHeight="1" thickBot="1">
      <c r="B5" s="448">
        <v>3</v>
      </c>
      <c r="C5" s="758"/>
      <c r="D5" s="478" t="s">
        <v>0</v>
      </c>
      <c r="E5" s="476" t="s">
        <v>20</v>
      </c>
      <c r="F5" s="479" t="s">
        <v>19</v>
      </c>
      <c r="G5" s="478" t="s">
        <v>0</v>
      </c>
      <c r="H5" s="476" t="s">
        <v>20</v>
      </c>
      <c r="I5" s="479" t="s">
        <v>19</v>
      </c>
      <c r="J5" s="478" t="s">
        <v>0</v>
      </c>
      <c r="K5" s="476" t="s">
        <v>20</v>
      </c>
      <c r="L5" s="479" t="s">
        <v>19</v>
      </c>
      <c r="M5" s="478" t="s">
        <v>0</v>
      </c>
      <c r="N5" s="476" t="s">
        <v>20</v>
      </c>
      <c r="O5" s="479" t="s">
        <v>19</v>
      </c>
      <c r="P5" s="478" t="s">
        <v>0</v>
      </c>
      <c r="Q5" s="476" t="s">
        <v>20</v>
      </c>
      <c r="R5" s="480" t="s">
        <v>19</v>
      </c>
    </row>
    <row r="6" spans="1:19" ht="24.75" customHeight="1" thickTop="1">
      <c r="B6" s="448">
        <v>4</v>
      </c>
      <c r="C6" s="323" t="s">
        <v>847</v>
      </c>
      <c r="D6" s="514">
        <f t="shared" ref="D6:D7" si="0">+E6+F6</f>
        <v>0</v>
      </c>
      <c r="E6" s="515"/>
      <c r="F6" s="515"/>
      <c r="G6" s="514">
        <f t="shared" ref="G6:G8" si="1">+H6+I6</f>
        <v>0</v>
      </c>
      <c r="H6" s="515"/>
      <c r="I6" s="516"/>
      <c r="J6" s="514">
        <f t="shared" ref="J6:J8" si="2">+K6+L6</f>
        <v>0</v>
      </c>
      <c r="K6" s="515"/>
      <c r="L6" s="516"/>
      <c r="M6" s="514">
        <f t="shared" ref="M6:M10" si="3">+N6+O6</f>
        <v>0</v>
      </c>
      <c r="N6" s="515"/>
      <c r="O6" s="516"/>
      <c r="P6" s="514">
        <f t="shared" ref="P6:P10" si="4">+Q6+R6</f>
        <v>0</v>
      </c>
      <c r="Q6" s="515"/>
      <c r="R6" s="517"/>
    </row>
    <row r="7" spans="1:19" ht="24.75" customHeight="1">
      <c r="B7" s="448">
        <v>5</v>
      </c>
      <c r="C7" s="518" t="s">
        <v>848</v>
      </c>
      <c r="D7" s="519">
        <f t="shared" si="0"/>
        <v>0</v>
      </c>
      <c r="E7" s="520"/>
      <c r="F7" s="521"/>
      <c r="G7" s="347">
        <f t="shared" si="1"/>
        <v>0</v>
      </c>
      <c r="H7" s="237"/>
      <c r="I7" s="522"/>
      <c r="J7" s="347">
        <f t="shared" si="2"/>
        <v>0</v>
      </c>
      <c r="K7" s="237"/>
      <c r="L7" s="522"/>
      <c r="M7" s="347">
        <f t="shared" si="3"/>
        <v>0</v>
      </c>
      <c r="N7" s="237"/>
      <c r="O7" s="522"/>
      <c r="P7" s="347">
        <f t="shared" si="4"/>
        <v>0</v>
      </c>
      <c r="Q7" s="237"/>
      <c r="R7" s="71"/>
    </row>
    <row r="8" spans="1:19" ht="24.75" customHeight="1">
      <c r="B8" s="448">
        <v>6</v>
      </c>
      <c r="C8" s="518" t="s">
        <v>849</v>
      </c>
      <c r="D8" s="67"/>
      <c r="E8" s="85"/>
      <c r="F8" s="523"/>
      <c r="G8" s="773">
        <f t="shared" si="1"/>
        <v>0</v>
      </c>
      <c r="H8" s="774"/>
      <c r="I8" s="775"/>
      <c r="J8" s="347">
        <f t="shared" si="2"/>
        <v>0</v>
      </c>
      <c r="K8" s="237"/>
      <c r="L8" s="522"/>
      <c r="M8" s="347">
        <f t="shared" si="3"/>
        <v>0</v>
      </c>
      <c r="N8" s="237"/>
      <c r="O8" s="522"/>
      <c r="P8" s="347">
        <f t="shared" si="4"/>
        <v>0</v>
      </c>
      <c r="Q8" s="237"/>
      <c r="R8" s="71"/>
    </row>
    <row r="9" spans="1:19" ht="24.75" customHeight="1">
      <c r="B9" s="448">
        <v>7</v>
      </c>
      <c r="C9" s="518" t="s">
        <v>837</v>
      </c>
      <c r="D9" s="67"/>
      <c r="E9" s="85"/>
      <c r="F9" s="523"/>
      <c r="G9" s="776"/>
      <c r="H9" s="777"/>
      <c r="I9" s="778"/>
      <c r="J9" s="773">
        <f>+K10+L10</f>
        <v>0</v>
      </c>
      <c r="K9" s="774"/>
      <c r="L9" s="775"/>
      <c r="M9" s="347">
        <f t="shared" ref="M9" si="5">+N9+O9</f>
        <v>0</v>
      </c>
      <c r="N9" s="237"/>
      <c r="O9" s="522"/>
      <c r="P9" s="347">
        <f t="shared" ref="P9" si="6">+Q9+R9</f>
        <v>0</v>
      </c>
      <c r="Q9" s="237"/>
      <c r="R9" s="71"/>
    </row>
    <row r="10" spans="1:19" ht="24.75" customHeight="1" thickBot="1">
      <c r="B10" s="448">
        <v>8</v>
      </c>
      <c r="C10" s="524" t="s">
        <v>850</v>
      </c>
      <c r="D10" s="240"/>
      <c r="E10" s="446"/>
      <c r="F10" s="525"/>
      <c r="G10" s="779"/>
      <c r="H10" s="780"/>
      <c r="I10" s="781"/>
      <c r="J10" s="779"/>
      <c r="K10" s="780"/>
      <c r="L10" s="781"/>
      <c r="M10" s="782">
        <f t="shared" si="3"/>
        <v>0</v>
      </c>
      <c r="N10" s="783"/>
      <c r="O10" s="784"/>
      <c r="P10" s="392">
        <f t="shared" si="4"/>
        <v>0</v>
      </c>
      <c r="Q10" s="391"/>
      <c r="R10" s="393"/>
    </row>
    <row r="11" spans="1:19" s="529" customFormat="1" ht="18.75" customHeight="1" thickTop="1">
      <c r="A11" s="527"/>
      <c r="B11" s="608"/>
      <c r="C11" s="527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</row>
    <row r="12" spans="1:19" ht="19.5" customHeight="1"/>
    <row r="13" spans="1:19" ht="18.75" customHeight="1">
      <c r="C13" s="195" t="s">
        <v>273</v>
      </c>
    </row>
    <row r="14" spans="1:19" ht="18.75" customHeight="1">
      <c r="B14" s="448">
        <v>9</v>
      </c>
      <c r="C14" s="723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5"/>
    </row>
    <row r="15" spans="1:19" ht="18.75" customHeight="1">
      <c r="C15" s="726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8"/>
    </row>
    <row r="16" spans="1:19" ht="18.75" customHeight="1">
      <c r="C16" s="726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8"/>
    </row>
    <row r="17" spans="3:18" ht="18.75" customHeight="1">
      <c r="C17" s="726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8"/>
    </row>
    <row r="18" spans="3:18" ht="18.75" customHeight="1">
      <c r="C18" s="729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1"/>
    </row>
  </sheetData>
  <sheetProtection algorithmName="SHA-512" hashValue="3Jaz3juOHWzi0lL5CitfrBBRadBDg7lSYpq1wQTd6fBIJxIQVjJbCYqD+gKUtcDOg/MpNtzcUOrYF4h0IxxjTA==" saltValue="mKkFjxWLQ/goAD9Gcg3CKA==" spinCount="100000" sheet="1" objects="1" scenarios="1"/>
  <mergeCells count="11">
    <mergeCell ref="C14:R18"/>
    <mergeCell ref="D3:R3"/>
    <mergeCell ref="G8:I10"/>
    <mergeCell ref="J9:L10"/>
    <mergeCell ref="M10:O10"/>
    <mergeCell ref="C3:C5"/>
    <mergeCell ref="D4:F4"/>
    <mergeCell ref="G4:I4"/>
    <mergeCell ref="J4:L4"/>
    <mergeCell ref="M4:O4"/>
    <mergeCell ref="P4:R4"/>
  </mergeCells>
  <conditionalFormatting sqref="D6:D7 G6:G8 J6:J9 M6:M10 P6:P10">
    <cfRule type="cellIs" dxfId="65" priority="1" operator="equal">
      <formula>0</formula>
    </cfRule>
  </conditionalFormatting>
  <dataValidations count="1">
    <dataValidation type="whole" operator="greaterThanOrEqual" allowBlank="1" showInputMessage="1" showErrorMessage="1" sqref="D6:R10" xr:uid="{00000000-0002-0000-06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97" orientation="landscape" r:id="rId1"/>
  <headerFooter scaleWithDoc="0">
    <oddFooter>&amp;R&amp;"Goudy,Negrita Cursiva"Técnica Diurna&amp;"Goudy,Cursiva",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B1:R91"/>
  <sheetViews>
    <sheetView showGridLines="0" zoomScale="90" zoomScaleNormal="90" zoomScaleSheetLayoutView="90" workbookViewId="0"/>
  </sheetViews>
  <sheetFormatPr baseColWidth="10" defaultColWidth="11.44140625" defaultRowHeight="13.8"/>
  <cols>
    <col min="1" max="1" width="3.44140625" style="44" customWidth="1"/>
    <col min="2" max="2" width="6.77734375" style="448" hidden="1" customWidth="1"/>
    <col min="3" max="3" width="25.21875" style="448" hidden="1" customWidth="1"/>
    <col min="4" max="4" width="77.88671875" style="44" customWidth="1"/>
    <col min="5" max="16" width="7.88671875" style="44" customWidth="1"/>
    <col min="17" max="16384" width="11.44140625" style="44"/>
  </cols>
  <sheetData>
    <row r="1" spans="2:18" ht="17.399999999999999">
      <c r="D1" s="26" t="s">
        <v>793</v>
      </c>
      <c r="E1" s="472"/>
      <c r="F1" s="472"/>
      <c r="G1" s="472"/>
      <c r="H1" s="472"/>
      <c r="I1" s="472"/>
      <c r="J1" s="472"/>
      <c r="K1" s="51"/>
      <c r="L1" s="51"/>
      <c r="M1" s="51"/>
      <c r="N1" s="51"/>
      <c r="O1" s="51"/>
      <c r="P1" s="51"/>
      <c r="Q1" s="51"/>
    </row>
    <row r="2" spans="2:18" ht="18" thickBot="1">
      <c r="D2" s="473" t="s">
        <v>1816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</row>
    <row r="3" spans="2:18" ht="21" customHeight="1" thickTop="1" thickBot="1">
      <c r="B3" s="448">
        <v>1</v>
      </c>
      <c r="D3" s="756" t="s">
        <v>1531</v>
      </c>
      <c r="E3" s="759" t="s">
        <v>0</v>
      </c>
      <c r="F3" s="760"/>
      <c r="G3" s="761"/>
      <c r="H3" s="764" t="s">
        <v>1643</v>
      </c>
      <c r="I3" s="764"/>
      <c r="J3" s="764"/>
      <c r="K3" s="764"/>
      <c r="L3" s="764"/>
      <c r="M3" s="764"/>
      <c r="N3" s="764"/>
      <c r="O3" s="764"/>
      <c r="P3" s="764"/>
      <c r="Q3" s="771" t="str">
        <f>IF(OR($E$7="*",$F$7="*",$G$7="*"),"¡VERIFICAR!.  No coincide con el Cuadro 1.","")</f>
        <v/>
      </c>
      <c r="R3" s="771"/>
    </row>
    <row r="4" spans="2:18" ht="18" customHeight="1">
      <c r="B4" s="448">
        <v>2</v>
      </c>
      <c r="D4" s="757"/>
      <c r="E4" s="762"/>
      <c r="F4" s="753"/>
      <c r="G4" s="763"/>
      <c r="H4" s="752" t="s">
        <v>837</v>
      </c>
      <c r="I4" s="753"/>
      <c r="J4" s="753"/>
      <c r="K4" s="752" t="s">
        <v>850</v>
      </c>
      <c r="L4" s="753"/>
      <c r="M4" s="753"/>
      <c r="N4" s="754" t="s">
        <v>851</v>
      </c>
      <c r="O4" s="755"/>
      <c r="P4" s="755"/>
      <c r="Q4" s="771"/>
      <c r="R4" s="771"/>
    </row>
    <row r="5" spans="2:18" ht="27.75" customHeight="1" thickBot="1">
      <c r="B5" s="448">
        <v>3</v>
      </c>
      <c r="D5" s="758"/>
      <c r="E5" s="475" t="s">
        <v>0</v>
      </c>
      <c r="F5" s="476" t="s">
        <v>20</v>
      </c>
      <c r="G5" s="477" t="s">
        <v>19</v>
      </c>
      <c r="H5" s="478" t="s">
        <v>0</v>
      </c>
      <c r="I5" s="476" t="s">
        <v>20</v>
      </c>
      <c r="J5" s="479" t="s">
        <v>19</v>
      </c>
      <c r="K5" s="478" t="s">
        <v>0</v>
      </c>
      <c r="L5" s="476" t="s">
        <v>20</v>
      </c>
      <c r="M5" s="479" t="s">
        <v>19</v>
      </c>
      <c r="N5" s="478" t="s">
        <v>0</v>
      </c>
      <c r="O5" s="476" t="s">
        <v>20</v>
      </c>
      <c r="P5" s="480" t="s">
        <v>19</v>
      </c>
      <c r="Q5" s="771"/>
      <c r="R5" s="771"/>
    </row>
    <row r="6" spans="2:18" ht="24.75" customHeight="1" thickTop="1" thickBot="1">
      <c r="B6" s="448">
        <v>4</v>
      </c>
      <c r="C6" s="448" t="s">
        <v>181</v>
      </c>
      <c r="D6" s="481" t="s">
        <v>1840</v>
      </c>
      <c r="E6" s="230">
        <f>+F6+G6</f>
        <v>0</v>
      </c>
      <c r="F6" s="157">
        <f>+I6+L6+O6</f>
        <v>0</v>
      </c>
      <c r="G6" s="231">
        <f>+J6+M6+P6</f>
        <v>0</v>
      </c>
      <c r="H6" s="482">
        <f>+I6+J6</f>
        <v>0</v>
      </c>
      <c r="I6" s="157">
        <f>+I8+I47+I77</f>
        <v>0</v>
      </c>
      <c r="J6" s="483">
        <f>+J8+J47+J77</f>
        <v>0</v>
      </c>
      <c r="K6" s="482">
        <f>+L6+M6</f>
        <v>0</v>
      </c>
      <c r="L6" s="157">
        <f>+L8+L47+L77</f>
        <v>0</v>
      </c>
      <c r="M6" s="483">
        <f>+M8+M47+M77</f>
        <v>0</v>
      </c>
      <c r="N6" s="482">
        <f>+O6+P6</f>
        <v>0</v>
      </c>
      <c r="O6" s="157">
        <f>+O8+O47+O77</f>
        <v>0</v>
      </c>
      <c r="P6" s="231">
        <f>+P8+P47+P77</f>
        <v>0</v>
      </c>
      <c r="Q6" s="771"/>
      <c r="R6" s="771"/>
    </row>
    <row r="7" spans="2:18" ht="14.25" customHeight="1">
      <c r="B7" s="448">
        <v>5</v>
      </c>
      <c r="D7" s="484"/>
      <c r="E7" s="485" t="str">
        <f>IF($E$6&gt;('CUADRO 1'!E10+'CUADRO 1'!E11+'CUADRO 1'!E12),"*","")</f>
        <v/>
      </c>
      <c r="F7" s="485" t="str">
        <f>IF($F$6&gt;('CUADRO 1'!F10+'CUADRO 1'!F11+'CUADRO 1'!F12),"*","")</f>
        <v/>
      </c>
      <c r="G7" s="485" t="str">
        <f>IF($G$6&gt;('CUADRO 1'!G10+'CUADRO 1'!G11+'CUADRO 1'!G12),"*","")</f>
        <v/>
      </c>
      <c r="H7" s="486"/>
      <c r="I7" s="486"/>
      <c r="J7" s="486"/>
      <c r="K7" s="486"/>
      <c r="L7" s="486"/>
      <c r="M7" s="486"/>
      <c r="N7" s="486"/>
      <c r="O7" s="486"/>
      <c r="P7" s="486"/>
      <c r="Q7" s="771"/>
      <c r="R7" s="771"/>
    </row>
    <row r="8" spans="2:18" ht="19.5" customHeight="1">
      <c r="B8" s="448">
        <v>6</v>
      </c>
      <c r="C8" s="21" t="s">
        <v>1532</v>
      </c>
      <c r="D8" s="487" t="s">
        <v>1532</v>
      </c>
      <c r="E8" s="184">
        <f t="shared" ref="E8:E85" si="0">+F8+G8</f>
        <v>0</v>
      </c>
      <c r="F8" s="161">
        <f>I8+L8+O8</f>
        <v>0</v>
      </c>
      <c r="G8" s="212">
        <f>J8+M8+P8</f>
        <v>0</v>
      </c>
      <c r="H8" s="488">
        <f t="shared" ref="H8:H85" si="1">+I8+J8</f>
        <v>0</v>
      </c>
      <c r="I8" s="161">
        <f>SUM(I9:I46)</f>
        <v>0</v>
      </c>
      <c r="J8" s="489">
        <f>SUM(J9:J46)</f>
        <v>0</v>
      </c>
      <c r="K8" s="488">
        <f t="shared" ref="K8:K85" si="2">+L8+M8</f>
        <v>0</v>
      </c>
      <c r="L8" s="161">
        <f>SUM(L9:L46)</f>
        <v>0</v>
      </c>
      <c r="M8" s="489">
        <f>SUM(M9:M46)</f>
        <v>0</v>
      </c>
      <c r="N8" s="488">
        <f t="shared" ref="N8:N85" si="3">+O8+P8</f>
        <v>0</v>
      </c>
      <c r="O8" s="161">
        <f>SUM(O9:O46)</f>
        <v>0</v>
      </c>
      <c r="P8" s="212">
        <f>SUM(P9:P46)</f>
        <v>0</v>
      </c>
    </row>
    <row r="9" spans="2:18" ht="19.5" customHeight="1">
      <c r="B9" s="448">
        <v>7</v>
      </c>
      <c r="C9" s="21" t="s">
        <v>1532</v>
      </c>
      <c r="D9" s="490" t="s">
        <v>1533</v>
      </c>
      <c r="E9" s="184">
        <f t="shared" si="0"/>
        <v>0</v>
      </c>
      <c r="F9" s="161">
        <f t="shared" ref="F9:G46" si="4">I9+L9+O9</f>
        <v>0</v>
      </c>
      <c r="G9" s="212">
        <f t="shared" si="4"/>
        <v>0</v>
      </c>
      <c r="H9" s="341">
        <f t="shared" si="1"/>
        <v>0</v>
      </c>
      <c r="I9" s="233"/>
      <c r="J9" s="491"/>
      <c r="K9" s="341">
        <f t="shared" si="2"/>
        <v>0</v>
      </c>
      <c r="L9" s="233"/>
      <c r="M9" s="491"/>
      <c r="N9" s="341">
        <f t="shared" si="3"/>
        <v>0</v>
      </c>
      <c r="O9" s="233"/>
      <c r="P9" s="234"/>
    </row>
    <row r="10" spans="2:18" ht="19.5" customHeight="1">
      <c r="B10" s="448">
        <v>8</v>
      </c>
      <c r="C10" s="21" t="s">
        <v>1532</v>
      </c>
      <c r="D10" s="492" t="s">
        <v>1534</v>
      </c>
      <c r="E10" s="167">
        <f t="shared" si="0"/>
        <v>0</v>
      </c>
      <c r="F10" s="493">
        <f t="shared" si="4"/>
        <v>0</v>
      </c>
      <c r="G10" s="494">
        <f t="shared" si="4"/>
        <v>0</v>
      </c>
      <c r="H10" s="363">
        <f t="shared" si="1"/>
        <v>0</v>
      </c>
      <c r="I10" s="168"/>
      <c r="J10" s="495"/>
      <c r="K10" s="363">
        <f t="shared" si="2"/>
        <v>0</v>
      </c>
      <c r="L10" s="168"/>
      <c r="M10" s="495"/>
      <c r="N10" s="363">
        <f t="shared" si="3"/>
        <v>0</v>
      </c>
      <c r="O10" s="168"/>
      <c r="P10" s="213"/>
    </row>
    <row r="11" spans="2:18" ht="19.5" customHeight="1">
      <c r="B11" s="448">
        <v>9</v>
      </c>
      <c r="C11" s="21" t="s">
        <v>1532</v>
      </c>
      <c r="D11" s="492" t="s">
        <v>1535</v>
      </c>
      <c r="E11" s="167">
        <f t="shared" si="0"/>
        <v>0</v>
      </c>
      <c r="F11" s="493">
        <f t="shared" si="4"/>
        <v>0</v>
      </c>
      <c r="G11" s="494">
        <f t="shared" si="4"/>
        <v>0</v>
      </c>
      <c r="H11" s="363">
        <f t="shared" si="1"/>
        <v>0</v>
      </c>
      <c r="I11" s="168"/>
      <c r="J11" s="495"/>
      <c r="K11" s="363">
        <f t="shared" si="2"/>
        <v>0</v>
      </c>
      <c r="L11" s="168"/>
      <c r="M11" s="495"/>
      <c r="N11" s="363">
        <f t="shared" si="3"/>
        <v>0</v>
      </c>
      <c r="O11" s="168"/>
      <c r="P11" s="213"/>
    </row>
    <row r="12" spans="2:18" ht="19.5" customHeight="1">
      <c r="B12" s="448">
        <v>10</v>
      </c>
      <c r="C12" s="21" t="s">
        <v>1532</v>
      </c>
      <c r="D12" s="492" t="s">
        <v>1547</v>
      </c>
      <c r="E12" s="167">
        <f>+F12+G12</f>
        <v>0</v>
      </c>
      <c r="F12" s="493">
        <f>I12+L12+O12</f>
        <v>0</v>
      </c>
      <c r="G12" s="494">
        <f>J12+M12+P12</f>
        <v>0</v>
      </c>
      <c r="H12" s="363">
        <f>+I12+J12</f>
        <v>0</v>
      </c>
      <c r="I12" s="168"/>
      <c r="J12" s="495"/>
      <c r="K12" s="363">
        <f>+L12+M12</f>
        <v>0</v>
      </c>
      <c r="L12" s="168"/>
      <c r="M12" s="495"/>
      <c r="N12" s="363">
        <f>+O12+P12</f>
        <v>0</v>
      </c>
      <c r="O12" s="168"/>
      <c r="P12" s="213"/>
    </row>
    <row r="13" spans="2:18" ht="19.5" customHeight="1">
      <c r="B13" s="448">
        <v>11</v>
      </c>
      <c r="C13" s="21" t="s">
        <v>1532</v>
      </c>
      <c r="D13" s="496" t="s">
        <v>1811</v>
      </c>
      <c r="E13" s="167">
        <f>+F13+G13</f>
        <v>0</v>
      </c>
      <c r="F13" s="493">
        <f>I13+L13+O13</f>
        <v>0</v>
      </c>
      <c r="G13" s="494">
        <f>J13+M13+P13</f>
        <v>0</v>
      </c>
      <c r="H13" s="363">
        <f>+I13+J13</f>
        <v>0</v>
      </c>
      <c r="I13" s="168"/>
      <c r="J13" s="495"/>
      <c r="K13" s="363">
        <f>+L13+M13</f>
        <v>0</v>
      </c>
      <c r="L13" s="168"/>
      <c r="M13" s="495"/>
      <c r="N13" s="363">
        <f>+O13+P13</f>
        <v>0</v>
      </c>
      <c r="O13" s="168"/>
      <c r="P13" s="213"/>
    </row>
    <row r="14" spans="2:18" ht="19.5" customHeight="1">
      <c r="B14" s="448">
        <v>12</v>
      </c>
      <c r="C14" s="21" t="s">
        <v>1532</v>
      </c>
      <c r="D14" s="496" t="s">
        <v>1536</v>
      </c>
      <c r="E14" s="167">
        <f t="shared" si="0"/>
        <v>0</v>
      </c>
      <c r="F14" s="493">
        <f t="shared" si="4"/>
        <v>0</v>
      </c>
      <c r="G14" s="494">
        <f t="shared" si="4"/>
        <v>0</v>
      </c>
      <c r="H14" s="363">
        <f t="shared" si="1"/>
        <v>0</v>
      </c>
      <c r="I14" s="168"/>
      <c r="J14" s="495"/>
      <c r="K14" s="363">
        <f t="shared" si="2"/>
        <v>0</v>
      </c>
      <c r="L14" s="168"/>
      <c r="M14" s="495"/>
      <c r="N14" s="363">
        <f t="shared" si="3"/>
        <v>0</v>
      </c>
      <c r="O14" s="168"/>
      <c r="P14" s="213"/>
    </row>
    <row r="15" spans="2:18" ht="19.5" customHeight="1">
      <c r="B15" s="448">
        <v>13</v>
      </c>
      <c r="C15" s="21" t="s">
        <v>1532</v>
      </c>
      <c r="D15" s="492" t="s">
        <v>2591</v>
      </c>
      <c r="E15" s="167">
        <f t="shared" si="0"/>
        <v>0</v>
      </c>
      <c r="F15" s="493">
        <f t="shared" si="4"/>
        <v>0</v>
      </c>
      <c r="G15" s="494">
        <f t="shared" si="4"/>
        <v>0</v>
      </c>
      <c r="H15" s="363">
        <f t="shared" si="1"/>
        <v>0</v>
      </c>
      <c r="I15" s="168"/>
      <c r="J15" s="495"/>
      <c r="K15" s="363">
        <f t="shared" si="2"/>
        <v>0</v>
      </c>
      <c r="L15" s="168"/>
      <c r="M15" s="495"/>
      <c r="N15" s="363">
        <f t="shared" si="3"/>
        <v>0</v>
      </c>
      <c r="O15" s="168"/>
      <c r="P15" s="213"/>
    </row>
    <row r="16" spans="2:18" ht="19.5" customHeight="1">
      <c r="B16" s="448">
        <v>14</v>
      </c>
      <c r="C16" s="21" t="s">
        <v>1532</v>
      </c>
      <c r="D16" s="492" t="s">
        <v>2314</v>
      </c>
      <c r="E16" s="167">
        <f t="shared" si="0"/>
        <v>0</v>
      </c>
      <c r="F16" s="493">
        <f t="shared" si="4"/>
        <v>0</v>
      </c>
      <c r="G16" s="494">
        <f t="shared" si="4"/>
        <v>0</v>
      </c>
      <c r="H16" s="363">
        <f t="shared" si="1"/>
        <v>0</v>
      </c>
      <c r="I16" s="168"/>
      <c r="J16" s="495"/>
      <c r="K16" s="363">
        <f t="shared" si="2"/>
        <v>0</v>
      </c>
      <c r="L16" s="168"/>
      <c r="M16" s="495"/>
      <c r="N16" s="363">
        <f t="shared" si="3"/>
        <v>0</v>
      </c>
      <c r="O16" s="168"/>
      <c r="P16" s="213"/>
    </row>
    <row r="17" spans="2:16" ht="19.5" customHeight="1">
      <c r="B17" s="448">
        <v>15</v>
      </c>
      <c r="C17" s="21" t="s">
        <v>1532</v>
      </c>
      <c r="D17" s="492" t="s">
        <v>1537</v>
      </c>
      <c r="E17" s="167">
        <f t="shared" si="0"/>
        <v>0</v>
      </c>
      <c r="F17" s="493">
        <f t="shared" si="4"/>
        <v>0</v>
      </c>
      <c r="G17" s="494">
        <f t="shared" si="4"/>
        <v>0</v>
      </c>
      <c r="H17" s="363">
        <f t="shared" si="1"/>
        <v>0</v>
      </c>
      <c r="I17" s="168"/>
      <c r="J17" s="495"/>
      <c r="K17" s="363">
        <f t="shared" si="2"/>
        <v>0</v>
      </c>
      <c r="L17" s="168"/>
      <c r="M17" s="495"/>
      <c r="N17" s="363">
        <f t="shared" si="3"/>
        <v>0</v>
      </c>
      <c r="O17" s="168"/>
      <c r="P17" s="213"/>
    </row>
    <row r="18" spans="2:16" ht="19.5" customHeight="1">
      <c r="B18" s="448">
        <v>16</v>
      </c>
      <c r="C18" s="21" t="s">
        <v>1532</v>
      </c>
      <c r="D18" s="492" t="s">
        <v>1538</v>
      </c>
      <c r="E18" s="167">
        <f t="shared" si="0"/>
        <v>0</v>
      </c>
      <c r="F18" s="493">
        <f t="shared" si="4"/>
        <v>0</v>
      </c>
      <c r="G18" s="494">
        <f t="shared" si="4"/>
        <v>0</v>
      </c>
      <c r="H18" s="363">
        <f t="shared" si="1"/>
        <v>0</v>
      </c>
      <c r="I18" s="168"/>
      <c r="J18" s="495"/>
      <c r="K18" s="363">
        <f t="shared" si="2"/>
        <v>0</v>
      </c>
      <c r="L18" s="168"/>
      <c r="M18" s="495"/>
      <c r="N18" s="363">
        <f t="shared" si="3"/>
        <v>0</v>
      </c>
      <c r="O18" s="168"/>
      <c r="P18" s="213"/>
    </row>
    <row r="19" spans="2:16" ht="19.5" customHeight="1">
      <c r="B19" s="448">
        <v>17</v>
      </c>
      <c r="C19" s="21" t="s">
        <v>1532</v>
      </c>
      <c r="D19" s="496" t="s">
        <v>1543</v>
      </c>
      <c r="E19" s="167">
        <f>+F19+G19</f>
        <v>0</v>
      </c>
      <c r="F19" s="493">
        <f t="shared" si="4"/>
        <v>0</v>
      </c>
      <c r="G19" s="494">
        <f t="shared" si="4"/>
        <v>0</v>
      </c>
      <c r="H19" s="363">
        <f>+I19+J19</f>
        <v>0</v>
      </c>
      <c r="I19" s="168"/>
      <c r="J19" s="495"/>
      <c r="K19" s="363">
        <f>+L19+M19</f>
        <v>0</v>
      </c>
      <c r="L19" s="168"/>
      <c r="M19" s="495"/>
      <c r="N19" s="363">
        <f>+O19+P19</f>
        <v>0</v>
      </c>
      <c r="O19" s="168"/>
      <c r="P19" s="213"/>
    </row>
    <row r="20" spans="2:16" ht="19.5" customHeight="1">
      <c r="B20" s="448">
        <v>18</v>
      </c>
      <c r="C20" s="21" t="s">
        <v>1532</v>
      </c>
      <c r="D20" s="496" t="s">
        <v>1544</v>
      </c>
      <c r="E20" s="167">
        <f>+F20+G20</f>
        <v>0</v>
      </c>
      <c r="F20" s="493">
        <f t="shared" si="4"/>
        <v>0</v>
      </c>
      <c r="G20" s="494">
        <f t="shared" si="4"/>
        <v>0</v>
      </c>
      <c r="H20" s="363">
        <f>+I20+J20</f>
        <v>0</v>
      </c>
      <c r="I20" s="168"/>
      <c r="J20" s="495"/>
      <c r="K20" s="363">
        <f>+L20+M20</f>
        <v>0</v>
      </c>
      <c r="L20" s="168"/>
      <c r="M20" s="495"/>
      <c r="N20" s="363">
        <f>+O20+P20</f>
        <v>0</v>
      </c>
      <c r="O20" s="168"/>
      <c r="P20" s="213"/>
    </row>
    <row r="21" spans="2:16" ht="19.5" customHeight="1">
      <c r="B21" s="448">
        <v>19</v>
      </c>
      <c r="C21" s="21" t="s">
        <v>1532</v>
      </c>
      <c r="D21" s="496" t="s">
        <v>1812</v>
      </c>
      <c r="E21" s="167">
        <f>+F21+G21</f>
        <v>0</v>
      </c>
      <c r="F21" s="493">
        <f t="shared" si="4"/>
        <v>0</v>
      </c>
      <c r="G21" s="494">
        <f t="shared" si="4"/>
        <v>0</v>
      </c>
      <c r="H21" s="363">
        <f>+I21+J21</f>
        <v>0</v>
      </c>
      <c r="I21" s="168"/>
      <c r="J21" s="495"/>
      <c r="K21" s="363">
        <f>+L21+M21</f>
        <v>0</v>
      </c>
      <c r="L21" s="168"/>
      <c r="M21" s="495"/>
      <c r="N21" s="363">
        <f>+O21+P21</f>
        <v>0</v>
      </c>
      <c r="O21" s="168"/>
      <c r="P21" s="213"/>
    </row>
    <row r="22" spans="2:16" ht="19.5" customHeight="1">
      <c r="B22" s="448">
        <v>20</v>
      </c>
      <c r="C22" s="21" t="s">
        <v>1532</v>
      </c>
      <c r="D22" s="492" t="s">
        <v>2592</v>
      </c>
      <c r="E22" s="167">
        <f>+F22+G22</f>
        <v>0</v>
      </c>
      <c r="F22" s="493">
        <f>I22+L22+O22</f>
        <v>0</v>
      </c>
      <c r="G22" s="494">
        <f>J22+M22+P22</f>
        <v>0</v>
      </c>
      <c r="H22" s="363">
        <f>+I22+J22</f>
        <v>0</v>
      </c>
      <c r="I22" s="168"/>
      <c r="J22" s="495"/>
      <c r="K22" s="363">
        <f>+L22+M22</f>
        <v>0</v>
      </c>
      <c r="L22" s="168"/>
      <c r="M22" s="495"/>
      <c r="N22" s="363">
        <f>+O22+P22</f>
        <v>0</v>
      </c>
      <c r="O22" s="168"/>
      <c r="P22" s="213"/>
    </row>
    <row r="23" spans="2:16" ht="19.5" customHeight="1">
      <c r="B23" s="448">
        <v>21</v>
      </c>
      <c r="C23" s="21" t="s">
        <v>1532</v>
      </c>
      <c r="D23" s="492" t="s">
        <v>2358</v>
      </c>
      <c r="E23" s="167">
        <f t="shared" si="0"/>
        <v>0</v>
      </c>
      <c r="F23" s="493">
        <f t="shared" si="4"/>
        <v>0</v>
      </c>
      <c r="G23" s="494">
        <f t="shared" si="4"/>
        <v>0</v>
      </c>
      <c r="H23" s="363">
        <f t="shared" si="1"/>
        <v>0</v>
      </c>
      <c r="I23" s="168"/>
      <c r="J23" s="495"/>
      <c r="K23" s="363">
        <f t="shared" si="2"/>
        <v>0</v>
      </c>
      <c r="L23" s="168"/>
      <c r="M23" s="495"/>
      <c r="N23" s="363">
        <f t="shared" si="3"/>
        <v>0</v>
      </c>
      <c r="O23" s="168"/>
      <c r="P23" s="213"/>
    </row>
    <row r="24" spans="2:16" ht="19.5" customHeight="1">
      <c r="B24" s="448">
        <v>22</v>
      </c>
      <c r="C24" s="21" t="s">
        <v>1532</v>
      </c>
      <c r="D24" s="492" t="s">
        <v>1539</v>
      </c>
      <c r="E24" s="167">
        <f>+F24+G24</f>
        <v>0</v>
      </c>
      <c r="F24" s="493">
        <f>I24+L24+O24</f>
        <v>0</v>
      </c>
      <c r="G24" s="494">
        <f>J24+M24+P24</f>
        <v>0</v>
      </c>
      <c r="H24" s="363">
        <f>+I24+J24</f>
        <v>0</v>
      </c>
      <c r="I24" s="168"/>
      <c r="J24" s="495"/>
      <c r="K24" s="363">
        <f>+L24+M24</f>
        <v>0</v>
      </c>
      <c r="L24" s="168"/>
      <c r="M24" s="495"/>
      <c r="N24" s="363">
        <f>+O24+P24</f>
        <v>0</v>
      </c>
      <c r="O24" s="168"/>
      <c r="P24" s="213"/>
    </row>
    <row r="25" spans="2:16" ht="19.5" customHeight="1">
      <c r="B25" s="448">
        <v>23</v>
      </c>
      <c r="C25" s="21" t="s">
        <v>1532</v>
      </c>
      <c r="D25" s="492" t="s">
        <v>2593</v>
      </c>
      <c r="E25" s="167">
        <f t="shared" si="0"/>
        <v>0</v>
      </c>
      <c r="F25" s="493">
        <f t="shared" si="4"/>
        <v>0</v>
      </c>
      <c r="G25" s="494">
        <f t="shared" si="4"/>
        <v>0</v>
      </c>
      <c r="H25" s="363">
        <f t="shared" si="1"/>
        <v>0</v>
      </c>
      <c r="I25" s="168"/>
      <c r="J25" s="495"/>
      <c r="K25" s="363">
        <f t="shared" si="2"/>
        <v>0</v>
      </c>
      <c r="L25" s="168"/>
      <c r="M25" s="495"/>
      <c r="N25" s="363">
        <f t="shared" si="3"/>
        <v>0</v>
      </c>
      <c r="O25" s="168"/>
      <c r="P25" s="213"/>
    </row>
    <row r="26" spans="2:16" ht="19.5" customHeight="1">
      <c r="B26" s="448">
        <v>24</v>
      </c>
      <c r="C26" s="21" t="s">
        <v>1532</v>
      </c>
      <c r="D26" s="492" t="s">
        <v>2312</v>
      </c>
      <c r="E26" s="167">
        <f t="shared" si="0"/>
        <v>0</v>
      </c>
      <c r="F26" s="493">
        <f t="shared" si="4"/>
        <v>0</v>
      </c>
      <c r="G26" s="494">
        <f t="shared" si="4"/>
        <v>0</v>
      </c>
      <c r="H26" s="363">
        <f t="shared" si="1"/>
        <v>0</v>
      </c>
      <c r="I26" s="168"/>
      <c r="J26" s="495"/>
      <c r="K26" s="363">
        <f t="shared" si="2"/>
        <v>0</v>
      </c>
      <c r="L26" s="168"/>
      <c r="M26" s="495"/>
      <c r="N26" s="363">
        <f t="shared" si="3"/>
        <v>0</v>
      </c>
      <c r="O26" s="168"/>
      <c r="P26" s="213"/>
    </row>
    <row r="27" spans="2:16" ht="19.5" customHeight="1">
      <c r="B27" s="448">
        <v>25</v>
      </c>
      <c r="C27" s="21" t="s">
        <v>1532</v>
      </c>
      <c r="D27" s="492" t="s">
        <v>2313</v>
      </c>
      <c r="E27" s="167">
        <f t="shared" si="0"/>
        <v>0</v>
      </c>
      <c r="F27" s="493">
        <f t="shared" si="4"/>
        <v>0</v>
      </c>
      <c r="G27" s="494">
        <f t="shared" si="4"/>
        <v>0</v>
      </c>
      <c r="H27" s="363">
        <f t="shared" si="1"/>
        <v>0</v>
      </c>
      <c r="I27" s="168"/>
      <c r="J27" s="495"/>
      <c r="K27" s="363">
        <f t="shared" si="2"/>
        <v>0</v>
      </c>
      <c r="L27" s="168"/>
      <c r="M27" s="495"/>
      <c r="N27" s="363">
        <f t="shared" si="3"/>
        <v>0</v>
      </c>
      <c r="O27" s="168"/>
      <c r="P27" s="213"/>
    </row>
    <row r="28" spans="2:16" ht="19.5" customHeight="1">
      <c r="B28" s="448">
        <v>26</v>
      </c>
      <c r="C28" s="21" t="s">
        <v>1532</v>
      </c>
      <c r="D28" s="492" t="s">
        <v>2594</v>
      </c>
      <c r="E28" s="167">
        <f t="shared" si="0"/>
        <v>0</v>
      </c>
      <c r="F28" s="493">
        <f t="shared" si="4"/>
        <v>0</v>
      </c>
      <c r="G28" s="494">
        <f t="shared" si="4"/>
        <v>0</v>
      </c>
      <c r="H28" s="363">
        <f t="shared" si="1"/>
        <v>0</v>
      </c>
      <c r="I28" s="168"/>
      <c r="J28" s="495"/>
      <c r="K28" s="363">
        <f t="shared" si="2"/>
        <v>0</v>
      </c>
      <c r="L28" s="168"/>
      <c r="M28" s="495"/>
      <c r="N28" s="363">
        <f t="shared" si="3"/>
        <v>0</v>
      </c>
      <c r="O28" s="168"/>
      <c r="P28" s="213"/>
    </row>
    <row r="29" spans="2:16" ht="19.5" customHeight="1">
      <c r="B29" s="448">
        <v>27</v>
      </c>
      <c r="C29" s="21" t="s">
        <v>1532</v>
      </c>
      <c r="D29" s="492" t="s">
        <v>1540</v>
      </c>
      <c r="E29" s="167">
        <f t="shared" si="0"/>
        <v>0</v>
      </c>
      <c r="F29" s="493">
        <f t="shared" si="4"/>
        <v>0</v>
      </c>
      <c r="G29" s="494">
        <f t="shared" si="4"/>
        <v>0</v>
      </c>
      <c r="H29" s="363">
        <f t="shared" si="1"/>
        <v>0</v>
      </c>
      <c r="I29" s="168"/>
      <c r="J29" s="495"/>
      <c r="K29" s="363">
        <f t="shared" si="2"/>
        <v>0</v>
      </c>
      <c r="L29" s="168"/>
      <c r="M29" s="495"/>
      <c r="N29" s="363">
        <f t="shared" si="3"/>
        <v>0</v>
      </c>
      <c r="O29" s="168"/>
      <c r="P29" s="213"/>
    </row>
    <row r="30" spans="2:16" ht="19.5" customHeight="1">
      <c r="B30" s="448">
        <v>28</v>
      </c>
      <c r="C30" s="21" t="s">
        <v>1532</v>
      </c>
      <c r="D30" s="496" t="s">
        <v>2595</v>
      </c>
      <c r="E30" s="167">
        <f t="shared" si="0"/>
        <v>0</v>
      </c>
      <c r="F30" s="493">
        <f t="shared" si="4"/>
        <v>0</v>
      </c>
      <c r="G30" s="494">
        <f t="shared" si="4"/>
        <v>0</v>
      </c>
      <c r="H30" s="363">
        <f t="shared" si="1"/>
        <v>0</v>
      </c>
      <c r="I30" s="168"/>
      <c r="J30" s="495"/>
      <c r="K30" s="363">
        <f t="shared" si="2"/>
        <v>0</v>
      </c>
      <c r="L30" s="168"/>
      <c r="M30" s="495"/>
      <c r="N30" s="363">
        <f t="shared" si="3"/>
        <v>0</v>
      </c>
      <c r="O30" s="168"/>
      <c r="P30" s="213"/>
    </row>
    <row r="31" spans="2:16" ht="19.5" customHeight="1">
      <c r="B31" s="448">
        <v>29</v>
      </c>
      <c r="C31" s="21" t="s">
        <v>1532</v>
      </c>
      <c r="D31" s="496" t="s">
        <v>2596</v>
      </c>
      <c r="E31" s="167">
        <f t="shared" si="0"/>
        <v>0</v>
      </c>
      <c r="F31" s="493">
        <f t="shared" si="4"/>
        <v>0</v>
      </c>
      <c r="G31" s="494">
        <f t="shared" si="4"/>
        <v>0</v>
      </c>
      <c r="H31" s="363">
        <f t="shared" si="1"/>
        <v>0</v>
      </c>
      <c r="I31" s="168"/>
      <c r="J31" s="495"/>
      <c r="K31" s="363">
        <f t="shared" si="2"/>
        <v>0</v>
      </c>
      <c r="L31" s="168"/>
      <c r="M31" s="495"/>
      <c r="N31" s="363">
        <f t="shared" si="3"/>
        <v>0</v>
      </c>
      <c r="O31" s="168"/>
      <c r="P31" s="213"/>
    </row>
    <row r="32" spans="2:16" ht="19.5" customHeight="1">
      <c r="B32" s="448">
        <v>30</v>
      </c>
      <c r="C32" s="21" t="s">
        <v>1532</v>
      </c>
      <c r="D32" s="492" t="s">
        <v>2362</v>
      </c>
      <c r="E32" s="167">
        <f t="shared" si="0"/>
        <v>0</v>
      </c>
      <c r="F32" s="493">
        <f t="shared" si="4"/>
        <v>0</v>
      </c>
      <c r="G32" s="494">
        <f t="shared" si="4"/>
        <v>0</v>
      </c>
      <c r="H32" s="363">
        <f t="shared" si="1"/>
        <v>0</v>
      </c>
      <c r="I32" s="168"/>
      <c r="J32" s="495"/>
      <c r="K32" s="363">
        <f t="shared" si="2"/>
        <v>0</v>
      </c>
      <c r="L32" s="168"/>
      <c r="M32" s="495"/>
      <c r="N32" s="363">
        <f t="shared" si="3"/>
        <v>0</v>
      </c>
      <c r="O32" s="168"/>
      <c r="P32" s="213"/>
    </row>
    <row r="33" spans="2:16" ht="19.5" customHeight="1">
      <c r="B33" s="448">
        <v>31</v>
      </c>
      <c r="C33" s="21" t="s">
        <v>1532</v>
      </c>
      <c r="D33" s="492" t="s">
        <v>1813</v>
      </c>
      <c r="E33" s="167">
        <f t="shared" si="0"/>
        <v>0</v>
      </c>
      <c r="F33" s="493">
        <f t="shared" si="4"/>
        <v>0</v>
      </c>
      <c r="G33" s="494">
        <f t="shared" si="4"/>
        <v>0</v>
      </c>
      <c r="H33" s="363">
        <f t="shared" si="1"/>
        <v>0</v>
      </c>
      <c r="I33" s="168"/>
      <c r="J33" s="495"/>
      <c r="K33" s="363">
        <f t="shared" si="2"/>
        <v>0</v>
      </c>
      <c r="L33" s="168"/>
      <c r="M33" s="495"/>
      <c r="N33" s="363">
        <f t="shared" si="3"/>
        <v>0</v>
      </c>
      <c r="O33" s="168"/>
      <c r="P33" s="213"/>
    </row>
    <row r="34" spans="2:16" ht="19.5" customHeight="1">
      <c r="B34" s="448">
        <v>32</v>
      </c>
      <c r="C34" s="21" t="s">
        <v>1532</v>
      </c>
      <c r="D34" s="496" t="s">
        <v>1541</v>
      </c>
      <c r="E34" s="167">
        <f t="shared" si="0"/>
        <v>0</v>
      </c>
      <c r="F34" s="493">
        <f t="shared" si="4"/>
        <v>0</v>
      </c>
      <c r="G34" s="494">
        <f t="shared" si="4"/>
        <v>0</v>
      </c>
      <c r="H34" s="363">
        <f t="shared" si="1"/>
        <v>0</v>
      </c>
      <c r="I34" s="168"/>
      <c r="J34" s="495"/>
      <c r="K34" s="363">
        <f t="shared" si="2"/>
        <v>0</v>
      </c>
      <c r="L34" s="168"/>
      <c r="M34" s="495"/>
      <c r="N34" s="363">
        <f t="shared" si="3"/>
        <v>0</v>
      </c>
      <c r="O34" s="168"/>
      <c r="P34" s="213"/>
    </row>
    <row r="35" spans="2:16" ht="19.5" customHeight="1">
      <c r="B35" s="448">
        <v>33</v>
      </c>
      <c r="C35" s="21" t="s">
        <v>1532</v>
      </c>
      <c r="D35" s="496" t="s">
        <v>1542</v>
      </c>
      <c r="E35" s="167">
        <f t="shared" si="0"/>
        <v>0</v>
      </c>
      <c r="F35" s="493">
        <f t="shared" si="4"/>
        <v>0</v>
      </c>
      <c r="G35" s="494">
        <f t="shared" si="4"/>
        <v>0</v>
      </c>
      <c r="H35" s="363">
        <f t="shared" si="1"/>
        <v>0</v>
      </c>
      <c r="I35" s="168"/>
      <c r="J35" s="495"/>
      <c r="K35" s="363">
        <f t="shared" si="2"/>
        <v>0</v>
      </c>
      <c r="L35" s="168"/>
      <c r="M35" s="495"/>
      <c r="N35" s="363">
        <f t="shared" si="3"/>
        <v>0</v>
      </c>
      <c r="O35" s="168"/>
      <c r="P35" s="213"/>
    </row>
    <row r="36" spans="2:16" ht="19.5" customHeight="1">
      <c r="B36" s="448">
        <v>34</v>
      </c>
      <c r="C36" s="21" t="s">
        <v>1532</v>
      </c>
      <c r="D36" s="492" t="s">
        <v>2359</v>
      </c>
      <c r="E36" s="167">
        <f t="shared" si="0"/>
        <v>0</v>
      </c>
      <c r="F36" s="493">
        <f t="shared" si="4"/>
        <v>0</v>
      </c>
      <c r="G36" s="494">
        <f t="shared" si="4"/>
        <v>0</v>
      </c>
      <c r="H36" s="363">
        <f t="shared" si="1"/>
        <v>0</v>
      </c>
      <c r="I36" s="168"/>
      <c r="J36" s="495"/>
      <c r="K36" s="363">
        <f t="shared" si="2"/>
        <v>0</v>
      </c>
      <c r="L36" s="168"/>
      <c r="M36" s="495"/>
      <c r="N36" s="363">
        <f t="shared" si="3"/>
        <v>0</v>
      </c>
      <c r="O36" s="168"/>
      <c r="P36" s="213"/>
    </row>
    <row r="37" spans="2:16" ht="19.5" customHeight="1">
      <c r="B37" s="448">
        <v>35</v>
      </c>
      <c r="C37" s="21" t="s">
        <v>1532</v>
      </c>
      <c r="D37" s="496" t="s">
        <v>2311</v>
      </c>
      <c r="E37" s="167">
        <f t="shared" si="0"/>
        <v>0</v>
      </c>
      <c r="F37" s="493">
        <f t="shared" si="4"/>
        <v>0</v>
      </c>
      <c r="G37" s="494">
        <f t="shared" si="4"/>
        <v>0</v>
      </c>
      <c r="H37" s="363">
        <f t="shared" si="1"/>
        <v>0</v>
      </c>
      <c r="I37" s="168"/>
      <c r="J37" s="495"/>
      <c r="K37" s="363">
        <f t="shared" si="2"/>
        <v>0</v>
      </c>
      <c r="L37" s="168"/>
      <c r="M37" s="495"/>
      <c r="N37" s="363">
        <f t="shared" si="3"/>
        <v>0</v>
      </c>
      <c r="O37" s="168"/>
      <c r="P37" s="213"/>
    </row>
    <row r="38" spans="2:16" ht="19.5" customHeight="1">
      <c r="B38" s="448">
        <v>36</v>
      </c>
      <c r="C38" s="21" t="s">
        <v>1532</v>
      </c>
      <c r="D38" s="496" t="s">
        <v>2315</v>
      </c>
      <c r="E38" s="167">
        <f t="shared" si="0"/>
        <v>0</v>
      </c>
      <c r="F38" s="493">
        <f t="shared" si="4"/>
        <v>0</v>
      </c>
      <c r="G38" s="494">
        <f t="shared" si="4"/>
        <v>0</v>
      </c>
      <c r="H38" s="363">
        <f t="shared" si="1"/>
        <v>0</v>
      </c>
      <c r="I38" s="168"/>
      <c r="J38" s="495"/>
      <c r="K38" s="363">
        <f t="shared" si="2"/>
        <v>0</v>
      </c>
      <c r="L38" s="168"/>
      <c r="M38" s="495"/>
      <c r="N38" s="363">
        <f t="shared" si="3"/>
        <v>0</v>
      </c>
      <c r="O38" s="168"/>
      <c r="P38" s="213"/>
    </row>
    <row r="39" spans="2:16" ht="19.5" customHeight="1">
      <c r="B39" s="448">
        <v>37</v>
      </c>
      <c r="C39" s="21" t="s">
        <v>1532</v>
      </c>
      <c r="D39" s="496" t="s">
        <v>2597</v>
      </c>
      <c r="E39" s="167">
        <f t="shared" si="0"/>
        <v>0</v>
      </c>
      <c r="F39" s="493">
        <f t="shared" si="4"/>
        <v>0</v>
      </c>
      <c r="G39" s="494">
        <f t="shared" si="4"/>
        <v>0</v>
      </c>
      <c r="H39" s="363">
        <f t="shared" si="1"/>
        <v>0</v>
      </c>
      <c r="I39" s="168"/>
      <c r="J39" s="495"/>
      <c r="K39" s="363">
        <f t="shared" si="2"/>
        <v>0</v>
      </c>
      <c r="L39" s="168"/>
      <c r="M39" s="495"/>
      <c r="N39" s="363">
        <f t="shared" si="3"/>
        <v>0</v>
      </c>
      <c r="O39" s="168"/>
      <c r="P39" s="213"/>
    </row>
    <row r="40" spans="2:16" ht="19.5" customHeight="1">
      <c r="B40" s="448">
        <v>38</v>
      </c>
      <c r="C40" s="21" t="s">
        <v>1532</v>
      </c>
      <c r="D40" s="496" t="s">
        <v>1545</v>
      </c>
      <c r="E40" s="167">
        <f t="shared" si="0"/>
        <v>0</v>
      </c>
      <c r="F40" s="493">
        <f t="shared" si="4"/>
        <v>0</v>
      </c>
      <c r="G40" s="494">
        <f t="shared" si="4"/>
        <v>0</v>
      </c>
      <c r="H40" s="363">
        <f t="shared" si="1"/>
        <v>0</v>
      </c>
      <c r="I40" s="168"/>
      <c r="J40" s="495"/>
      <c r="K40" s="363">
        <f t="shared" si="2"/>
        <v>0</v>
      </c>
      <c r="L40" s="168"/>
      <c r="M40" s="495"/>
      <c r="N40" s="363">
        <f t="shared" si="3"/>
        <v>0</v>
      </c>
      <c r="O40" s="168"/>
      <c r="P40" s="213"/>
    </row>
    <row r="41" spans="2:16" ht="19.5" customHeight="1">
      <c r="B41" s="448">
        <v>39</v>
      </c>
      <c r="C41" s="21" t="s">
        <v>1532</v>
      </c>
      <c r="D41" s="496" t="s">
        <v>1546</v>
      </c>
      <c r="E41" s="167">
        <f t="shared" si="0"/>
        <v>0</v>
      </c>
      <c r="F41" s="493">
        <f t="shared" si="4"/>
        <v>0</v>
      </c>
      <c r="G41" s="494">
        <f t="shared" si="4"/>
        <v>0</v>
      </c>
      <c r="H41" s="363">
        <f t="shared" si="1"/>
        <v>0</v>
      </c>
      <c r="I41" s="168"/>
      <c r="J41" s="495"/>
      <c r="K41" s="363">
        <f t="shared" si="2"/>
        <v>0</v>
      </c>
      <c r="L41" s="168"/>
      <c r="M41" s="495"/>
      <c r="N41" s="363">
        <f t="shared" si="3"/>
        <v>0</v>
      </c>
      <c r="O41" s="168"/>
      <c r="P41" s="213"/>
    </row>
    <row r="42" spans="2:16" ht="19.5" customHeight="1">
      <c r="B42" s="448">
        <v>40</v>
      </c>
      <c r="C42" s="21" t="s">
        <v>1532</v>
      </c>
      <c r="D42" s="496" t="s">
        <v>1548</v>
      </c>
      <c r="E42" s="167">
        <f t="shared" ref="E42:E44" si="5">+F42+G42</f>
        <v>0</v>
      </c>
      <c r="F42" s="493">
        <f t="shared" ref="F42:F44" si="6">I42+L42+O42</f>
        <v>0</v>
      </c>
      <c r="G42" s="494">
        <f t="shared" ref="G42:G44" si="7">J42+M42+P42</f>
        <v>0</v>
      </c>
      <c r="H42" s="363">
        <f t="shared" ref="H42:H44" si="8">+I42+J42</f>
        <v>0</v>
      </c>
      <c r="I42" s="168"/>
      <c r="J42" s="495"/>
      <c r="K42" s="363">
        <f t="shared" ref="K42:K44" si="9">+L42+M42</f>
        <v>0</v>
      </c>
      <c r="L42" s="168"/>
      <c r="M42" s="495"/>
      <c r="N42" s="363">
        <f t="shared" ref="N42:N44" si="10">+O42+P42</f>
        <v>0</v>
      </c>
      <c r="O42" s="168"/>
      <c r="P42" s="213"/>
    </row>
    <row r="43" spans="2:16" ht="19.5" customHeight="1">
      <c r="B43" s="448">
        <v>41</v>
      </c>
      <c r="C43" s="21" t="s">
        <v>1532</v>
      </c>
      <c r="D43" s="496" t="s">
        <v>2598</v>
      </c>
      <c r="E43" s="167">
        <f t="shared" si="5"/>
        <v>0</v>
      </c>
      <c r="F43" s="493">
        <f t="shared" si="6"/>
        <v>0</v>
      </c>
      <c r="G43" s="494">
        <f t="shared" si="7"/>
        <v>0</v>
      </c>
      <c r="H43" s="363">
        <f t="shared" si="8"/>
        <v>0</v>
      </c>
      <c r="I43" s="168"/>
      <c r="J43" s="495"/>
      <c r="K43" s="363">
        <f t="shared" si="9"/>
        <v>0</v>
      </c>
      <c r="L43" s="168"/>
      <c r="M43" s="495"/>
      <c r="N43" s="363">
        <f t="shared" si="10"/>
        <v>0</v>
      </c>
      <c r="O43" s="168"/>
      <c r="P43" s="213"/>
    </row>
    <row r="44" spans="2:16" ht="19.5" customHeight="1">
      <c r="B44" s="448">
        <v>42</v>
      </c>
      <c r="C44" s="21" t="s">
        <v>1532</v>
      </c>
      <c r="D44" s="496" t="s">
        <v>2599</v>
      </c>
      <c r="E44" s="167">
        <f t="shared" si="5"/>
        <v>0</v>
      </c>
      <c r="F44" s="493">
        <f t="shared" si="6"/>
        <v>0</v>
      </c>
      <c r="G44" s="494">
        <f t="shared" si="7"/>
        <v>0</v>
      </c>
      <c r="H44" s="363">
        <f t="shared" si="8"/>
        <v>0</v>
      </c>
      <c r="I44" s="168"/>
      <c r="J44" s="495"/>
      <c r="K44" s="363">
        <f t="shared" si="9"/>
        <v>0</v>
      </c>
      <c r="L44" s="168"/>
      <c r="M44" s="495"/>
      <c r="N44" s="363">
        <f t="shared" si="10"/>
        <v>0</v>
      </c>
      <c r="O44" s="168"/>
      <c r="P44" s="213"/>
    </row>
    <row r="45" spans="2:16" ht="19.5" customHeight="1">
      <c r="B45" s="448">
        <v>43</v>
      </c>
      <c r="C45" s="21" t="s">
        <v>1532</v>
      </c>
      <c r="D45" s="496" t="s">
        <v>2600</v>
      </c>
      <c r="E45" s="167">
        <f t="shared" si="0"/>
        <v>0</v>
      </c>
      <c r="F45" s="493">
        <f t="shared" si="4"/>
        <v>0</v>
      </c>
      <c r="G45" s="494">
        <f t="shared" si="4"/>
        <v>0</v>
      </c>
      <c r="H45" s="363">
        <f t="shared" si="1"/>
        <v>0</v>
      </c>
      <c r="I45" s="168"/>
      <c r="J45" s="495"/>
      <c r="K45" s="363">
        <f t="shared" si="2"/>
        <v>0</v>
      </c>
      <c r="L45" s="168"/>
      <c r="M45" s="495"/>
      <c r="N45" s="363">
        <f t="shared" si="3"/>
        <v>0</v>
      </c>
      <c r="O45" s="168"/>
      <c r="P45" s="213"/>
    </row>
    <row r="46" spans="2:16" ht="19.5" customHeight="1">
      <c r="B46" s="448">
        <v>44</v>
      </c>
      <c r="C46" s="21" t="s">
        <v>1532</v>
      </c>
      <c r="D46" s="497" t="s">
        <v>1549</v>
      </c>
      <c r="E46" s="167">
        <f t="shared" si="0"/>
        <v>0</v>
      </c>
      <c r="F46" s="493">
        <f t="shared" si="4"/>
        <v>0</v>
      </c>
      <c r="G46" s="494">
        <f t="shared" si="4"/>
        <v>0</v>
      </c>
      <c r="H46" s="363">
        <f t="shared" si="1"/>
        <v>0</v>
      </c>
      <c r="I46" s="168"/>
      <c r="J46" s="495"/>
      <c r="K46" s="363">
        <f t="shared" si="2"/>
        <v>0</v>
      </c>
      <c r="L46" s="168"/>
      <c r="M46" s="495"/>
      <c r="N46" s="363">
        <f t="shared" si="3"/>
        <v>0</v>
      </c>
      <c r="O46" s="168"/>
      <c r="P46" s="213"/>
    </row>
    <row r="47" spans="2:16" ht="19.5" customHeight="1">
      <c r="B47" s="448">
        <v>45</v>
      </c>
      <c r="C47" s="448" t="s">
        <v>1550</v>
      </c>
      <c r="D47" s="498" t="s">
        <v>1550</v>
      </c>
      <c r="E47" s="352">
        <f t="shared" si="0"/>
        <v>0</v>
      </c>
      <c r="F47" s="353">
        <f t="shared" ref="F47:G85" si="11">I47+L47+O47</f>
        <v>0</v>
      </c>
      <c r="G47" s="354">
        <f t="shared" si="11"/>
        <v>0</v>
      </c>
      <c r="H47" s="355">
        <f>+I47+J47</f>
        <v>0</v>
      </c>
      <c r="I47" s="353">
        <f>SUM(I48:I76)</f>
        <v>0</v>
      </c>
      <c r="J47" s="499">
        <f>SUM(J48:J76)</f>
        <v>0</v>
      </c>
      <c r="K47" s="355">
        <f>L47+M47</f>
        <v>0</v>
      </c>
      <c r="L47" s="353">
        <f>SUM(L48:L76)</f>
        <v>0</v>
      </c>
      <c r="M47" s="499">
        <f>SUM(M48:M76)</f>
        <v>0</v>
      </c>
      <c r="N47" s="355">
        <f>+O47+P47</f>
        <v>0</v>
      </c>
      <c r="O47" s="353">
        <f>SUM(O48:O76)</f>
        <v>0</v>
      </c>
      <c r="P47" s="354">
        <f>SUM(P48:P76)</f>
        <v>0</v>
      </c>
    </row>
    <row r="48" spans="2:16" ht="19.5" customHeight="1">
      <c r="B48" s="448">
        <v>46</v>
      </c>
      <c r="C48" s="448" t="s">
        <v>1550</v>
      </c>
      <c r="D48" s="492" t="s">
        <v>1551</v>
      </c>
      <c r="E48" s="167">
        <f t="shared" si="0"/>
        <v>0</v>
      </c>
      <c r="F48" s="493">
        <f t="shared" si="11"/>
        <v>0</v>
      </c>
      <c r="G48" s="494">
        <f t="shared" si="11"/>
        <v>0</v>
      </c>
      <c r="H48" s="363">
        <f t="shared" ref="H48:H76" si="12">+I48+J48</f>
        <v>0</v>
      </c>
      <c r="I48" s="168"/>
      <c r="J48" s="495"/>
      <c r="K48" s="363">
        <f t="shared" ref="K48:K76" si="13">+L48+M48</f>
        <v>0</v>
      </c>
      <c r="L48" s="168"/>
      <c r="M48" s="495"/>
      <c r="N48" s="363">
        <f t="shared" ref="N48:N76" si="14">+O48+P48</f>
        <v>0</v>
      </c>
      <c r="O48" s="168"/>
      <c r="P48" s="213"/>
    </row>
    <row r="49" spans="2:16" ht="19.5" customHeight="1">
      <c r="B49" s="448">
        <v>47</v>
      </c>
      <c r="C49" s="448" t="s">
        <v>1550</v>
      </c>
      <c r="D49" s="492" t="s">
        <v>2601</v>
      </c>
      <c r="E49" s="167">
        <f t="shared" si="0"/>
        <v>0</v>
      </c>
      <c r="F49" s="493">
        <f t="shared" si="11"/>
        <v>0</v>
      </c>
      <c r="G49" s="494">
        <f t="shared" si="11"/>
        <v>0</v>
      </c>
      <c r="H49" s="363">
        <f t="shared" si="12"/>
        <v>0</v>
      </c>
      <c r="I49" s="168"/>
      <c r="J49" s="495"/>
      <c r="K49" s="363">
        <f t="shared" si="13"/>
        <v>0</v>
      </c>
      <c r="L49" s="168"/>
      <c r="M49" s="495"/>
      <c r="N49" s="363">
        <f t="shared" si="14"/>
        <v>0</v>
      </c>
      <c r="O49" s="168"/>
      <c r="P49" s="213"/>
    </row>
    <row r="50" spans="2:16" ht="19.5" customHeight="1">
      <c r="B50" s="448">
        <v>48</v>
      </c>
      <c r="C50" s="448" t="s">
        <v>1550</v>
      </c>
      <c r="D50" s="492" t="s">
        <v>1552</v>
      </c>
      <c r="E50" s="167">
        <f t="shared" si="0"/>
        <v>0</v>
      </c>
      <c r="F50" s="493">
        <f t="shared" si="11"/>
        <v>0</v>
      </c>
      <c r="G50" s="494">
        <f t="shared" si="11"/>
        <v>0</v>
      </c>
      <c r="H50" s="363">
        <f t="shared" si="12"/>
        <v>0</v>
      </c>
      <c r="I50" s="168"/>
      <c r="J50" s="495"/>
      <c r="K50" s="363">
        <f t="shared" si="13"/>
        <v>0</v>
      </c>
      <c r="L50" s="168"/>
      <c r="M50" s="495"/>
      <c r="N50" s="363">
        <f t="shared" si="14"/>
        <v>0</v>
      </c>
      <c r="O50" s="168"/>
      <c r="P50" s="213"/>
    </row>
    <row r="51" spans="2:16" ht="19.5" customHeight="1">
      <c r="B51" s="448">
        <v>49</v>
      </c>
      <c r="C51" s="448" t="s">
        <v>1550</v>
      </c>
      <c r="D51" s="492" t="s">
        <v>1553</v>
      </c>
      <c r="E51" s="167">
        <f t="shared" si="0"/>
        <v>0</v>
      </c>
      <c r="F51" s="493">
        <f t="shared" si="11"/>
        <v>0</v>
      </c>
      <c r="G51" s="494">
        <f t="shared" si="11"/>
        <v>0</v>
      </c>
      <c r="H51" s="363">
        <f t="shared" si="12"/>
        <v>0</v>
      </c>
      <c r="I51" s="168"/>
      <c r="J51" s="495"/>
      <c r="K51" s="363">
        <f t="shared" si="13"/>
        <v>0</v>
      </c>
      <c r="L51" s="168"/>
      <c r="M51" s="495"/>
      <c r="N51" s="363">
        <f t="shared" si="14"/>
        <v>0</v>
      </c>
      <c r="O51" s="168"/>
      <c r="P51" s="213"/>
    </row>
    <row r="52" spans="2:16" ht="19.5" customHeight="1">
      <c r="B52" s="448">
        <v>50</v>
      </c>
      <c r="C52" s="448" t="s">
        <v>1550</v>
      </c>
      <c r="D52" s="492" t="s">
        <v>2602</v>
      </c>
      <c r="E52" s="167">
        <f t="shared" si="0"/>
        <v>0</v>
      </c>
      <c r="F52" s="493">
        <f t="shared" si="11"/>
        <v>0</v>
      </c>
      <c r="G52" s="494">
        <f t="shared" si="11"/>
        <v>0</v>
      </c>
      <c r="H52" s="363">
        <f t="shared" si="12"/>
        <v>0</v>
      </c>
      <c r="I52" s="168"/>
      <c r="J52" s="495"/>
      <c r="K52" s="363">
        <f t="shared" si="13"/>
        <v>0</v>
      </c>
      <c r="L52" s="168"/>
      <c r="M52" s="495"/>
      <c r="N52" s="363">
        <f t="shared" si="14"/>
        <v>0</v>
      </c>
      <c r="O52" s="168"/>
      <c r="P52" s="213"/>
    </row>
    <row r="53" spans="2:16" ht="19.5" customHeight="1">
      <c r="B53" s="448">
        <v>51</v>
      </c>
      <c r="C53" s="448" t="s">
        <v>1550</v>
      </c>
      <c r="D53" s="492" t="s">
        <v>2310</v>
      </c>
      <c r="E53" s="167">
        <f t="shared" si="0"/>
        <v>0</v>
      </c>
      <c r="F53" s="493">
        <f t="shared" si="11"/>
        <v>0</v>
      </c>
      <c r="G53" s="494">
        <f t="shared" si="11"/>
        <v>0</v>
      </c>
      <c r="H53" s="363">
        <f t="shared" si="12"/>
        <v>0</v>
      </c>
      <c r="I53" s="168"/>
      <c r="J53" s="495"/>
      <c r="K53" s="363">
        <f t="shared" si="13"/>
        <v>0</v>
      </c>
      <c r="L53" s="168"/>
      <c r="M53" s="495"/>
      <c r="N53" s="363">
        <f t="shared" si="14"/>
        <v>0</v>
      </c>
      <c r="O53" s="168"/>
      <c r="P53" s="213"/>
    </row>
    <row r="54" spans="2:16" ht="19.5" customHeight="1">
      <c r="B54" s="448">
        <v>52</v>
      </c>
      <c r="C54" s="448" t="s">
        <v>1550</v>
      </c>
      <c r="D54" s="492" t="s">
        <v>1554</v>
      </c>
      <c r="E54" s="167">
        <f t="shared" si="0"/>
        <v>0</v>
      </c>
      <c r="F54" s="493">
        <f t="shared" si="11"/>
        <v>0</v>
      </c>
      <c r="G54" s="494">
        <f t="shared" si="11"/>
        <v>0</v>
      </c>
      <c r="H54" s="363">
        <f t="shared" si="12"/>
        <v>0</v>
      </c>
      <c r="I54" s="168"/>
      <c r="J54" s="495"/>
      <c r="K54" s="363">
        <f t="shared" si="13"/>
        <v>0</v>
      </c>
      <c r="L54" s="168"/>
      <c r="M54" s="495"/>
      <c r="N54" s="363">
        <f t="shared" si="14"/>
        <v>0</v>
      </c>
      <c r="O54" s="168"/>
      <c r="P54" s="213"/>
    </row>
    <row r="55" spans="2:16" ht="19.5" customHeight="1">
      <c r="B55" s="448">
        <v>53</v>
      </c>
      <c r="C55" s="448" t="s">
        <v>1550</v>
      </c>
      <c r="D55" s="492" t="s">
        <v>1555</v>
      </c>
      <c r="E55" s="167">
        <f t="shared" si="0"/>
        <v>0</v>
      </c>
      <c r="F55" s="493">
        <f t="shared" si="11"/>
        <v>0</v>
      </c>
      <c r="G55" s="494">
        <f t="shared" si="11"/>
        <v>0</v>
      </c>
      <c r="H55" s="363">
        <f t="shared" si="12"/>
        <v>0</v>
      </c>
      <c r="I55" s="168"/>
      <c r="J55" s="495"/>
      <c r="K55" s="363">
        <f t="shared" si="13"/>
        <v>0</v>
      </c>
      <c r="L55" s="168"/>
      <c r="M55" s="495"/>
      <c r="N55" s="363">
        <f t="shared" si="14"/>
        <v>0</v>
      </c>
      <c r="O55" s="168"/>
      <c r="P55" s="213"/>
    </row>
    <row r="56" spans="2:16" ht="19.5" customHeight="1">
      <c r="B56" s="448">
        <v>54</v>
      </c>
      <c r="C56" s="448" t="s">
        <v>1550</v>
      </c>
      <c r="D56" s="492" t="s">
        <v>1556</v>
      </c>
      <c r="E56" s="167">
        <f t="shared" si="0"/>
        <v>0</v>
      </c>
      <c r="F56" s="493">
        <f t="shared" si="11"/>
        <v>0</v>
      </c>
      <c r="G56" s="494">
        <f t="shared" si="11"/>
        <v>0</v>
      </c>
      <c r="H56" s="363">
        <f t="shared" si="12"/>
        <v>0</v>
      </c>
      <c r="I56" s="168"/>
      <c r="J56" s="495"/>
      <c r="K56" s="363">
        <f t="shared" si="13"/>
        <v>0</v>
      </c>
      <c r="L56" s="168"/>
      <c r="M56" s="495"/>
      <c r="N56" s="363">
        <f t="shared" si="14"/>
        <v>0</v>
      </c>
      <c r="O56" s="168"/>
      <c r="P56" s="213"/>
    </row>
    <row r="57" spans="2:16" ht="19.5" customHeight="1">
      <c r="B57" s="448">
        <v>55</v>
      </c>
      <c r="C57" s="448" t="s">
        <v>1550</v>
      </c>
      <c r="D57" s="492" t="s">
        <v>1557</v>
      </c>
      <c r="E57" s="167">
        <f t="shared" si="0"/>
        <v>0</v>
      </c>
      <c r="F57" s="493">
        <f t="shared" si="11"/>
        <v>0</v>
      </c>
      <c r="G57" s="494">
        <f t="shared" si="11"/>
        <v>0</v>
      </c>
      <c r="H57" s="363">
        <f t="shared" si="12"/>
        <v>0</v>
      </c>
      <c r="I57" s="168"/>
      <c r="J57" s="495"/>
      <c r="K57" s="363">
        <f t="shared" si="13"/>
        <v>0</v>
      </c>
      <c r="L57" s="168"/>
      <c r="M57" s="495"/>
      <c r="N57" s="363">
        <f t="shared" si="14"/>
        <v>0</v>
      </c>
      <c r="O57" s="168"/>
      <c r="P57" s="213"/>
    </row>
    <row r="58" spans="2:16" ht="19.5" customHeight="1">
      <c r="B58" s="448">
        <v>56</v>
      </c>
      <c r="C58" s="448" t="s">
        <v>1550</v>
      </c>
      <c r="D58" s="492" t="s">
        <v>1558</v>
      </c>
      <c r="E58" s="167">
        <f t="shared" si="0"/>
        <v>0</v>
      </c>
      <c r="F58" s="493">
        <f t="shared" si="11"/>
        <v>0</v>
      </c>
      <c r="G58" s="494">
        <f t="shared" si="11"/>
        <v>0</v>
      </c>
      <c r="H58" s="363">
        <f t="shared" si="12"/>
        <v>0</v>
      </c>
      <c r="I58" s="168"/>
      <c r="J58" s="495"/>
      <c r="K58" s="363">
        <f t="shared" si="13"/>
        <v>0</v>
      </c>
      <c r="L58" s="168"/>
      <c r="M58" s="495"/>
      <c r="N58" s="363">
        <f t="shared" si="14"/>
        <v>0</v>
      </c>
      <c r="O58" s="168"/>
      <c r="P58" s="213"/>
    </row>
    <row r="59" spans="2:16" ht="19.5" customHeight="1">
      <c r="B59" s="448">
        <v>57</v>
      </c>
      <c r="C59" s="448" t="s">
        <v>1550</v>
      </c>
      <c r="D59" s="492" t="s">
        <v>1559</v>
      </c>
      <c r="E59" s="167">
        <f t="shared" si="0"/>
        <v>0</v>
      </c>
      <c r="F59" s="493">
        <f t="shared" si="11"/>
        <v>0</v>
      </c>
      <c r="G59" s="494">
        <f t="shared" si="11"/>
        <v>0</v>
      </c>
      <c r="H59" s="363">
        <f t="shared" si="12"/>
        <v>0</v>
      </c>
      <c r="I59" s="168"/>
      <c r="J59" s="495"/>
      <c r="K59" s="363">
        <f t="shared" si="13"/>
        <v>0</v>
      </c>
      <c r="L59" s="168"/>
      <c r="M59" s="495"/>
      <c r="N59" s="363">
        <f t="shared" si="14"/>
        <v>0</v>
      </c>
      <c r="O59" s="168"/>
      <c r="P59" s="213"/>
    </row>
    <row r="60" spans="2:16" ht="19.5" customHeight="1">
      <c r="B60" s="448">
        <v>58</v>
      </c>
      <c r="C60" s="448" t="s">
        <v>1550</v>
      </c>
      <c r="D60" s="492" t="s">
        <v>2603</v>
      </c>
      <c r="E60" s="167">
        <f t="shared" si="0"/>
        <v>0</v>
      </c>
      <c r="F60" s="493">
        <f t="shared" si="11"/>
        <v>0</v>
      </c>
      <c r="G60" s="494">
        <f t="shared" si="11"/>
        <v>0</v>
      </c>
      <c r="H60" s="363">
        <f t="shared" si="12"/>
        <v>0</v>
      </c>
      <c r="I60" s="168"/>
      <c r="J60" s="495"/>
      <c r="K60" s="363">
        <f t="shared" si="13"/>
        <v>0</v>
      </c>
      <c r="L60" s="168"/>
      <c r="M60" s="495"/>
      <c r="N60" s="363">
        <f t="shared" si="14"/>
        <v>0</v>
      </c>
      <c r="O60" s="168"/>
      <c r="P60" s="213"/>
    </row>
    <row r="61" spans="2:16" ht="19.5" customHeight="1">
      <c r="B61" s="448">
        <v>59</v>
      </c>
      <c r="C61" s="448" t="s">
        <v>1550</v>
      </c>
      <c r="D61" s="492" t="s">
        <v>1560</v>
      </c>
      <c r="E61" s="167">
        <f t="shared" si="0"/>
        <v>0</v>
      </c>
      <c r="F61" s="493">
        <f t="shared" si="11"/>
        <v>0</v>
      </c>
      <c r="G61" s="494">
        <f t="shared" si="11"/>
        <v>0</v>
      </c>
      <c r="H61" s="363">
        <f t="shared" si="12"/>
        <v>0</v>
      </c>
      <c r="I61" s="168"/>
      <c r="J61" s="495"/>
      <c r="K61" s="363">
        <f t="shared" si="13"/>
        <v>0</v>
      </c>
      <c r="L61" s="168"/>
      <c r="M61" s="495"/>
      <c r="N61" s="363">
        <f t="shared" si="14"/>
        <v>0</v>
      </c>
      <c r="O61" s="168"/>
      <c r="P61" s="213"/>
    </row>
    <row r="62" spans="2:16" ht="19.5" customHeight="1">
      <c r="B62" s="448">
        <v>60</v>
      </c>
      <c r="C62" s="448" t="s">
        <v>1550</v>
      </c>
      <c r="D62" s="492" t="s">
        <v>1561</v>
      </c>
      <c r="E62" s="167">
        <f t="shared" si="0"/>
        <v>0</v>
      </c>
      <c r="F62" s="493">
        <f t="shared" si="11"/>
        <v>0</v>
      </c>
      <c r="G62" s="494">
        <f t="shared" si="11"/>
        <v>0</v>
      </c>
      <c r="H62" s="363">
        <f t="shared" si="12"/>
        <v>0</v>
      </c>
      <c r="I62" s="168"/>
      <c r="J62" s="495"/>
      <c r="K62" s="363">
        <f t="shared" si="13"/>
        <v>0</v>
      </c>
      <c r="L62" s="168"/>
      <c r="M62" s="495"/>
      <c r="N62" s="363">
        <f t="shared" si="14"/>
        <v>0</v>
      </c>
      <c r="O62" s="168"/>
      <c r="P62" s="213"/>
    </row>
    <row r="63" spans="2:16" ht="19.5" customHeight="1">
      <c r="B63" s="448">
        <v>61</v>
      </c>
      <c r="C63" s="448" t="s">
        <v>1550</v>
      </c>
      <c r="D63" s="492" t="s">
        <v>2604</v>
      </c>
      <c r="E63" s="167">
        <f t="shared" si="0"/>
        <v>0</v>
      </c>
      <c r="F63" s="493">
        <f t="shared" si="11"/>
        <v>0</v>
      </c>
      <c r="G63" s="494">
        <f t="shared" si="11"/>
        <v>0</v>
      </c>
      <c r="H63" s="363">
        <f t="shared" si="12"/>
        <v>0</v>
      </c>
      <c r="I63" s="168"/>
      <c r="J63" s="495"/>
      <c r="K63" s="363">
        <f t="shared" si="13"/>
        <v>0</v>
      </c>
      <c r="L63" s="168"/>
      <c r="M63" s="495"/>
      <c r="N63" s="363">
        <f t="shared" si="14"/>
        <v>0</v>
      </c>
      <c r="O63" s="168"/>
      <c r="P63" s="213"/>
    </row>
    <row r="64" spans="2:16" ht="19.5" customHeight="1">
      <c r="B64" s="448">
        <v>62</v>
      </c>
      <c r="C64" s="448" t="s">
        <v>1550</v>
      </c>
      <c r="D64" s="492" t="s">
        <v>2605</v>
      </c>
      <c r="E64" s="167">
        <f t="shared" si="0"/>
        <v>0</v>
      </c>
      <c r="F64" s="493">
        <f t="shared" si="11"/>
        <v>0</v>
      </c>
      <c r="G64" s="494">
        <f t="shared" si="11"/>
        <v>0</v>
      </c>
      <c r="H64" s="363">
        <f t="shared" si="12"/>
        <v>0</v>
      </c>
      <c r="I64" s="168"/>
      <c r="J64" s="495"/>
      <c r="K64" s="363">
        <f t="shared" si="13"/>
        <v>0</v>
      </c>
      <c r="L64" s="168"/>
      <c r="M64" s="495"/>
      <c r="N64" s="363">
        <f t="shared" si="14"/>
        <v>0</v>
      </c>
      <c r="O64" s="168"/>
      <c r="P64" s="213"/>
    </row>
    <row r="65" spans="2:16" ht="19.5" customHeight="1">
      <c r="B65" s="448">
        <v>63</v>
      </c>
      <c r="C65" s="448" t="s">
        <v>1550</v>
      </c>
      <c r="D65" s="492" t="s">
        <v>2360</v>
      </c>
      <c r="E65" s="167">
        <f t="shared" si="0"/>
        <v>0</v>
      </c>
      <c r="F65" s="493">
        <f t="shared" si="11"/>
        <v>0</v>
      </c>
      <c r="G65" s="494">
        <f t="shared" si="11"/>
        <v>0</v>
      </c>
      <c r="H65" s="363">
        <f t="shared" si="12"/>
        <v>0</v>
      </c>
      <c r="I65" s="168"/>
      <c r="J65" s="495"/>
      <c r="K65" s="363">
        <f t="shared" si="13"/>
        <v>0</v>
      </c>
      <c r="L65" s="168"/>
      <c r="M65" s="495"/>
      <c r="N65" s="363">
        <f t="shared" si="14"/>
        <v>0</v>
      </c>
      <c r="O65" s="168"/>
      <c r="P65" s="213"/>
    </row>
    <row r="66" spans="2:16" ht="19.5" customHeight="1">
      <c r="B66" s="448">
        <v>64</v>
      </c>
      <c r="C66" s="448" t="s">
        <v>1550</v>
      </c>
      <c r="D66" s="492" t="s">
        <v>1814</v>
      </c>
      <c r="E66" s="167">
        <f t="shared" si="0"/>
        <v>0</v>
      </c>
      <c r="F66" s="493">
        <f t="shared" si="11"/>
        <v>0</v>
      </c>
      <c r="G66" s="494">
        <f t="shared" si="11"/>
        <v>0</v>
      </c>
      <c r="H66" s="363">
        <f t="shared" si="12"/>
        <v>0</v>
      </c>
      <c r="I66" s="168"/>
      <c r="J66" s="495"/>
      <c r="K66" s="363">
        <f t="shared" si="13"/>
        <v>0</v>
      </c>
      <c r="L66" s="168"/>
      <c r="M66" s="495"/>
      <c r="N66" s="363">
        <f t="shared" si="14"/>
        <v>0</v>
      </c>
      <c r="O66" s="168"/>
      <c r="P66" s="213"/>
    </row>
    <row r="67" spans="2:16" ht="19.5" customHeight="1">
      <c r="B67" s="448">
        <v>65</v>
      </c>
      <c r="C67" s="448" t="s">
        <v>1550</v>
      </c>
      <c r="D67" s="492" t="s">
        <v>2361</v>
      </c>
      <c r="E67" s="167">
        <f>+F67+G67</f>
        <v>0</v>
      </c>
      <c r="F67" s="493">
        <f>I67+L67+O67</f>
        <v>0</v>
      </c>
      <c r="G67" s="494">
        <f>J67+M67+P67</f>
        <v>0</v>
      </c>
      <c r="H67" s="363">
        <f>+I67+J67</f>
        <v>0</v>
      </c>
      <c r="I67" s="168"/>
      <c r="J67" s="495"/>
      <c r="K67" s="363">
        <f>+L67+M67</f>
        <v>0</v>
      </c>
      <c r="L67" s="168"/>
      <c r="M67" s="495"/>
      <c r="N67" s="363">
        <f>+O67+P67</f>
        <v>0</v>
      </c>
      <c r="O67" s="168"/>
      <c r="P67" s="213"/>
    </row>
    <row r="68" spans="2:16" ht="19.5" customHeight="1">
      <c r="B68" s="448">
        <v>66</v>
      </c>
      <c r="C68" s="448" t="s">
        <v>1550</v>
      </c>
      <c r="D68" s="492" t="s">
        <v>2606</v>
      </c>
      <c r="E68" s="167">
        <f t="shared" si="0"/>
        <v>0</v>
      </c>
      <c r="F68" s="493">
        <f t="shared" si="11"/>
        <v>0</v>
      </c>
      <c r="G68" s="494">
        <f t="shared" si="11"/>
        <v>0</v>
      </c>
      <c r="H68" s="363">
        <f t="shared" si="12"/>
        <v>0</v>
      </c>
      <c r="I68" s="168"/>
      <c r="J68" s="495"/>
      <c r="K68" s="363">
        <f t="shared" si="13"/>
        <v>0</v>
      </c>
      <c r="L68" s="168"/>
      <c r="M68" s="495"/>
      <c r="N68" s="363">
        <f t="shared" si="14"/>
        <v>0</v>
      </c>
      <c r="O68" s="168"/>
      <c r="P68" s="213"/>
    </row>
    <row r="69" spans="2:16" ht="19.5" customHeight="1">
      <c r="B69" s="448">
        <v>67</v>
      </c>
      <c r="C69" s="448" t="s">
        <v>1550</v>
      </c>
      <c r="D69" s="492" t="s">
        <v>2607</v>
      </c>
      <c r="E69" s="167">
        <f t="shared" si="0"/>
        <v>0</v>
      </c>
      <c r="F69" s="493">
        <f t="shared" si="11"/>
        <v>0</v>
      </c>
      <c r="G69" s="494">
        <f t="shared" si="11"/>
        <v>0</v>
      </c>
      <c r="H69" s="363">
        <f t="shared" si="12"/>
        <v>0</v>
      </c>
      <c r="I69" s="168"/>
      <c r="J69" s="495"/>
      <c r="K69" s="363">
        <f t="shared" si="13"/>
        <v>0</v>
      </c>
      <c r="L69" s="168"/>
      <c r="M69" s="495"/>
      <c r="N69" s="363">
        <f t="shared" si="14"/>
        <v>0</v>
      </c>
      <c r="O69" s="168"/>
      <c r="P69" s="213"/>
    </row>
    <row r="70" spans="2:16" ht="19.5" customHeight="1">
      <c r="B70" s="448">
        <v>68</v>
      </c>
      <c r="C70" s="448" t="s">
        <v>1550</v>
      </c>
      <c r="D70" s="492" t="s">
        <v>1562</v>
      </c>
      <c r="E70" s="167">
        <f t="shared" si="0"/>
        <v>0</v>
      </c>
      <c r="F70" s="493">
        <f t="shared" si="11"/>
        <v>0</v>
      </c>
      <c r="G70" s="494">
        <f t="shared" si="11"/>
        <v>0</v>
      </c>
      <c r="H70" s="363">
        <f t="shared" si="12"/>
        <v>0</v>
      </c>
      <c r="I70" s="168"/>
      <c r="J70" s="495"/>
      <c r="K70" s="363">
        <f t="shared" si="13"/>
        <v>0</v>
      </c>
      <c r="L70" s="168"/>
      <c r="M70" s="495"/>
      <c r="N70" s="363">
        <f t="shared" si="14"/>
        <v>0</v>
      </c>
      <c r="O70" s="168"/>
      <c r="P70" s="213"/>
    </row>
    <row r="71" spans="2:16" ht="19.2" customHeight="1">
      <c r="B71" s="448">
        <v>69</v>
      </c>
      <c r="C71" s="448" t="s">
        <v>1550</v>
      </c>
      <c r="D71" s="492" t="s">
        <v>1563</v>
      </c>
      <c r="E71" s="167">
        <f t="shared" si="0"/>
        <v>0</v>
      </c>
      <c r="F71" s="493">
        <f t="shared" si="11"/>
        <v>0</v>
      </c>
      <c r="G71" s="494">
        <f t="shared" si="11"/>
        <v>0</v>
      </c>
      <c r="H71" s="363">
        <f t="shared" si="12"/>
        <v>0</v>
      </c>
      <c r="I71" s="168"/>
      <c r="J71" s="495"/>
      <c r="K71" s="363">
        <f t="shared" si="13"/>
        <v>0</v>
      </c>
      <c r="L71" s="168"/>
      <c r="M71" s="495"/>
      <c r="N71" s="363">
        <f t="shared" si="14"/>
        <v>0</v>
      </c>
      <c r="O71" s="168"/>
      <c r="P71" s="213"/>
    </row>
    <row r="72" spans="2:16" ht="19.5" customHeight="1">
      <c r="B72" s="448">
        <v>70</v>
      </c>
      <c r="C72" s="448" t="s">
        <v>1550</v>
      </c>
      <c r="D72" s="492" t="s">
        <v>1564</v>
      </c>
      <c r="E72" s="167">
        <f t="shared" si="0"/>
        <v>0</v>
      </c>
      <c r="F72" s="493">
        <f t="shared" si="11"/>
        <v>0</v>
      </c>
      <c r="G72" s="494">
        <f t="shared" si="11"/>
        <v>0</v>
      </c>
      <c r="H72" s="363">
        <f t="shared" si="12"/>
        <v>0</v>
      </c>
      <c r="I72" s="168"/>
      <c r="J72" s="495"/>
      <c r="K72" s="363">
        <f t="shared" si="13"/>
        <v>0</v>
      </c>
      <c r="L72" s="168"/>
      <c r="M72" s="495"/>
      <c r="N72" s="363">
        <f t="shared" si="14"/>
        <v>0</v>
      </c>
      <c r="O72" s="168"/>
      <c r="P72" s="213"/>
    </row>
    <row r="73" spans="2:16" ht="19.5" customHeight="1">
      <c r="B73" s="448">
        <v>71</v>
      </c>
      <c r="C73" s="448" t="s">
        <v>1550</v>
      </c>
      <c r="D73" s="492" t="s">
        <v>2608</v>
      </c>
      <c r="E73" s="167">
        <f t="shared" si="0"/>
        <v>0</v>
      </c>
      <c r="F73" s="493">
        <f t="shared" si="11"/>
        <v>0</v>
      </c>
      <c r="G73" s="494">
        <f t="shared" si="11"/>
        <v>0</v>
      </c>
      <c r="H73" s="363">
        <f t="shared" si="12"/>
        <v>0</v>
      </c>
      <c r="I73" s="168"/>
      <c r="J73" s="495"/>
      <c r="K73" s="363">
        <f t="shared" si="13"/>
        <v>0</v>
      </c>
      <c r="L73" s="168"/>
      <c r="M73" s="495"/>
      <c r="N73" s="363">
        <f t="shared" si="14"/>
        <v>0</v>
      </c>
      <c r="O73" s="168"/>
      <c r="P73" s="213"/>
    </row>
    <row r="74" spans="2:16" ht="19.5" customHeight="1">
      <c r="B74" s="448">
        <v>72</v>
      </c>
      <c r="C74" s="448" t="s">
        <v>1550</v>
      </c>
      <c r="D74" s="492" t="s">
        <v>1815</v>
      </c>
      <c r="E74" s="167">
        <f t="shared" si="0"/>
        <v>0</v>
      </c>
      <c r="F74" s="493">
        <f t="shared" si="11"/>
        <v>0</v>
      </c>
      <c r="G74" s="494">
        <f t="shared" si="11"/>
        <v>0</v>
      </c>
      <c r="H74" s="363">
        <f t="shared" si="12"/>
        <v>0</v>
      </c>
      <c r="I74" s="168"/>
      <c r="J74" s="495"/>
      <c r="K74" s="363">
        <f t="shared" si="13"/>
        <v>0</v>
      </c>
      <c r="L74" s="168"/>
      <c r="M74" s="495"/>
      <c r="N74" s="363">
        <f t="shared" si="14"/>
        <v>0</v>
      </c>
      <c r="O74" s="168"/>
      <c r="P74" s="213"/>
    </row>
    <row r="75" spans="2:16" ht="19.5" customHeight="1">
      <c r="B75" s="448">
        <v>73</v>
      </c>
      <c r="C75" s="448" t="s">
        <v>1550</v>
      </c>
      <c r="D75" s="492" t="s">
        <v>1565</v>
      </c>
      <c r="E75" s="167">
        <f t="shared" ref="E75" si="15">+F75+G75</f>
        <v>0</v>
      </c>
      <c r="F75" s="493">
        <f t="shared" ref="F75" si="16">I75+L75+O75</f>
        <v>0</v>
      </c>
      <c r="G75" s="494">
        <f t="shared" ref="G75" si="17">J75+M75+P75</f>
        <v>0</v>
      </c>
      <c r="H75" s="363">
        <f t="shared" ref="H75" si="18">+I75+J75</f>
        <v>0</v>
      </c>
      <c r="I75" s="168"/>
      <c r="J75" s="495"/>
      <c r="K75" s="363">
        <f t="shared" ref="K75" si="19">+L75+M75</f>
        <v>0</v>
      </c>
      <c r="L75" s="168"/>
      <c r="M75" s="495"/>
      <c r="N75" s="363">
        <f t="shared" ref="N75" si="20">+O75+P75</f>
        <v>0</v>
      </c>
      <c r="O75" s="168"/>
      <c r="P75" s="213"/>
    </row>
    <row r="76" spans="2:16" ht="19.5" customHeight="1">
      <c r="B76" s="448">
        <v>74</v>
      </c>
      <c r="C76" s="448" t="s">
        <v>1550</v>
      </c>
      <c r="D76" s="500" t="s">
        <v>2609</v>
      </c>
      <c r="E76" s="218">
        <f t="shared" si="0"/>
        <v>0</v>
      </c>
      <c r="F76" s="501">
        <f t="shared" si="11"/>
        <v>0</v>
      </c>
      <c r="G76" s="502">
        <f t="shared" si="11"/>
        <v>0</v>
      </c>
      <c r="H76" s="503">
        <f t="shared" si="12"/>
        <v>0</v>
      </c>
      <c r="I76" s="219"/>
      <c r="J76" s="504"/>
      <c r="K76" s="503">
        <f t="shared" si="13"/>
        <v>0</v>
      </c>
      <c r="L76" s="219"/>
      <c r="M76" s="504"/>
      <c r="N76" s="503">
        <f t="shared" si="14"/>
        <v>0</v>
      </c>
      <c r="O76" s="219"/>
      <c r="P76" s="221"/>
    </row>
    <row r="77" spans="2:16" ht="19.5" customHeight="1">
      <c r="B77" s="448">
        <v>75</v>
      </c>
      <c r="C77" s="448" t="s">
        <v>1566</v>
      </c>
      <c r="D77" s="498" t="s">
        <v>1566</v>
      </c>
      <c r="E77" s="352">
        <f t="shared" si="0"/>
        <v>0</v>
      </c>
      <c r="F77" s="353">
        <f t="shared" si="11"/>
        <v>0</v>
      </c>
      <c r="G77" s="354">
        <f t="shared" si="11"/>
        <v>0</v>
      </c>
      <c r="H77" s="355">
        <f t="shared" si="1"/>
        <v>0</v>
      </c>
      <c r="I77" s="353">
        <f>SUM(I78:I85)</f>
        <v>0</v>
      </c>
      <c r="J77" s="499">
        <f>SUM(J78:J85)</f>
        <v>0</v>
      </c>
      <c r="K77" s="355">
        <f t="shared" si="2"/>
        <v>0</v>
      </c>
      <c r="L77" s="353">
        <f>SUM(L78:L85)</f>
        <v>0</v>
      </c>
      <c r="M77" s="499">
        <f>SUM(M78:M85)</f>
        <v>0</v>
      </c>
      <c r="N77" s="355">
        <f t="shared" si="3"/>
        <v>0</v>
      </c>
      <c r="O77" s="353">
        <f>SUM(O78:O85)</f>
        <v>0</v>
      </c>
      <c r="P77" s="354">
        <f>SUM(P78:P85)</f>
        <v>0</v>
      </c>
    </row>
    <row r="78" spans="2:16" ht="19.8" customHeight="1">
      <c r="B78" s="448">
        <v>76</v>
      </c>
      <c r="C78" s="448" t="s">
        <v>1566</v>
      </c>
      <c r="D78" s="492" t="s">
        <v>1567</v>
      </c>
      <c r="E78" s="167">
        <f t="shared" si="0"/>
        <v>0</v>
      </c>
      <c r="F78" s="493">
        <f t="shared" si="11"/>
        <v>0</v>
      </c>
      <c r="G78" s="494">
        <f t="shared" si="11"/>
        <v>0</v>
      </c>
      <c r="H78" s="363">
        <f t="shared" si="1"/>
        <v>0</v>
      </c>
      <c r="I78" s="168"/>
      <c r="J78" s="495"/>
      <c r="K78" s="363">
        <f t="shared" si="2"/>
        <v>0</v>
      </c>
      <c r="L78" s="168"/>
      <c r="M78" s="495"/>
      <c r="N78" s="363">
        <f t="shared" si="3"/>
        <v>0</v>
      </c>
      <c r="O78" s="168"/>
      <c r="P78" s="213"/>
    </row>
    <row r="79" spans="2:16" ht="19.8" customHeight="1">
      <c r="B79" s="448">
        <v>77</v>
      </c>
      <c r="C79" s="448" t="s">
        <v>1566</v>
      </c>
      <c r="D79" s="492" t="s">
        <v>1568</v>
      </c>
      <c r="E79" s="167">
        <f t="shared" si="0"/>
        <v>0</v>
      </c>
      <c r="F79" s="493">
        <f t="shared" si="11"/>
        <v>0</v>
      </c>
      <c r="G79" s="494">
        <f t="shared" si="11"/>
        <v>0</v>
      </c>
      <c r="H79" s="363">
        <f t="shared" si="1"/>
        <v>0</v>
      </c>
      <c r="I79" s="168"/>
      <c r="J79" s="495"/>
      <c r="K79" s="363">
        <f t="shared" si="2"/>
        <v>0</v>
      </c>
      <c r="L79" s="168"/>
      <c r="M79" s="495"/>
      <c r="N79" s="363">
        <f t="shared" si="3"/>
        <v>0</v>
      </c>
      <c r="O79" s="168"/>
      <c r="P79" s="213"/>
    </row>
    <row r="80" spans="2:16" ht="19.8" customHeight="1">
      <c r="B80" s="448">
        <v>78</v>
      </c>
      <c r="C80" s="448" t="s">
        <v>1566</v>
      </c>
      <c r="D80" s="492" t="s">
        <v>1569</v>
      </c>
      <c r="E80" s="167">
        <f t="shared" si="0"/>
        <v>0</v>
      </c>
      <c r="F80" s="493">
        <f t="shared" si="11"/>
        <v>0</v>
      </c>
      <c r="G80" s="494">
        <f t="shared" si="11"/>
        <v>0</v>
      </c>
      <c r="H80" s="363">
        <f t="shared" si="1"/>
        <v>0</v>
      </c>
      <c r="I80" s="168"/>
      <c r="J80" s="495"/>
      <c r="K80" s="363">
        <f t="shared" si="2"/>
        <v>0</v>
      </c>
      <c r="L80" s="168"/>
      <c r="M80" s="495"/>
      <c r="N80" s="363">
        <f t="shared" si="3"/>
        <v>0</v>
      </c>
      <c r="O80" s="168"/>
      <c r="P80" s="213"/>
    </row>
    <row r="81" spans="2:16" ht="19.8" customHeight="1">
      <c r="B81" s="448">
        <v>79</v>
      </c>
      <c r="C81" s="448" t="s">
        <v>1566</v>
      </c>
      <c r="D81" s="492" t="s">
        <v>1570</v>
      </c>
      <c r="E81" s="167">
        <f t="shared" si="0"/>
        <v>0</v>
      </c>
      <c r="F81" s="493">
        <f t="shared" si="11"/>
        <v>0</v>
      </c>
      <c r="G81" s="494">
        <f t="shared" si="11"/>
        <v>0</v>
      </c>
      <c r="H81" s="363">
        <f t="shared" si="1"/>
        <v>0</v>
      </c>
      <c r="I81" s="168"/>
      <c r="J81" s="495"/>
      <c r="K81" s="363">
        <f t="shared" si="2"/>
        <v>0</v>
      </c>
      <c r="L81" s="168"/>
      <c r="M81" s="495"/>
      <c r="N81" s="363">
        <f t="shared" si="3"/>
        <v>0</v>
      </c>
      <c r="O81" s="168"/>
      <c r="P81" s="213"/>
    </row>
    <row r="82" spans="2:16" ht="19.8" customHeight="1">
      <c r="B82" s="448">
        <v>80</v>
      </c>
      <c r="C82" s="448" t="s">
        <v>1566</v>
      </c>
      <c r="D82" s="492" t="s">
        <v>2363</v>
      </c>
      <c r="E82" s="167">
        <f t="shared" si="0"/>
        <v>0</v>
      </c>
      <c r="F82" s="493">
        <f t="shared" si="11"/>
        <v>0</v>
      </c>
      <c r="G82" s="494">
        <f t="shared" si="11"/>
        <v>0</v>
      </c>
      <c r="H82" s="363">
        <f t="shared" si="1"/>
        <v>0</v>
      </c>
      <c r="I82" s="168"/>
      <c r="J82" s="495"/>
      <c r="K82" s="363">
        <f t="shared" si="2"/>
        <v>0</v>
      </c>
      <c r="L82" s="168"/>
      <c r="M82" s="495"/>
      <c r="N82" s="363">
        <f t="shared" si="3"/>
        <v>0</v>
      </c>
      <c r="O82" s="168"/>
      <c r="P82" s="213"/>
    </row>
    <row r="83" spans="2:16" ht="19.8" customHeight="1">
      <c r="B83" s="448">
        <v>81</v>
      </c>
      <c r="C83" s="448" t="s">
        <v>1566</v>
      </c>
      <c r="D83" s="492" t="s">
        <v>2364</v>
      </c>
      <c r="E83" s="167">
        <f t="shared" si="0"/>
        <v>0</v>
      </c>
      <c r="F83" s="493">
        <f t="shared" si="11"/>
        <v>0</v>
      </c>
      <c r="G83" s="494">
        <f t="shared" si="11"/>
        <v>0</v>
      </c>
      <c r="H83" s="363">
        <f t="shared" si="1"/>
        <v>0</v>
      </c>
      <c r="I83" s="168"/>
      <c r="J83" s="495"/>
      <c r="K83" s="363">
        <f t="shared" si="2"/>
        <v>0</v>
      </c>
      <c r="L83" s="168"/>
      <c r="M83" s="495"/>
      <c r="N83" s="363">
        <f t="shared" si="3"/>
        <v>0</v>
      </c>
      <c r="O83" s="168"/>
      <c r="P83" s="213"/>
    </row>
    <row r="84" spans="2:16" ht="19.8" customHeight="1">
      <c r="B84" s="448">
        <v>82</v>
      </c>
      <c r="C84" s="448" t="s">
        <v>1566</v>
      </c>
      <c r="D84" s="492" t="s">
        <v>2309</v>
      </c>
      <c r="E84" s="167">
        <f t="shared" si="0"/>
        <v>0</v>
      </c>
      <c r="F84" s="493">
        <f t="shared" si="11"/>
        <v>0</v>
      </c>
      <c r="G84" s="494">
        <f t="shared" si="11"/>
        <v>0</v>
      </c>
      <c r="H84" s="363">
        <f t="shared" si="1"/>
        <v>0</v>
      </c>
      <c r="I84" s="168"/>
      <c r="J84" s="495"/>
      <c r="K84" s="363">
        <f t="shared" si="2"/>
        <v>0</v>
      </c>
      <c r="L84" s="168"/>
      <c r="M84" s="495"/>
      <c r="N84" s="363">
        <f t="shared" si="3"/>
        <v>0</v>
      </c>
      <c r="O84" s="168"/>
      <c r="P84" s="213"/>
    </row>
    <row r="85" spans="2:16" ht="19.8" customHeight="1" thickBot="1">
      <c r="B85" s="448">
        <v>83</v>
      </c>
      <c r="C85" s="448" t="s">
        <v>1566</v>
      </c>
      <c r="D85" s="505" t="s">
        <v>1571</v>
      </c>
      <c r="E85" s="187">
        <f t="shared" si="0"/>
        <v>0</v>
      </c>
      <c r="F85" s="506">
        <f t="shared" si="11"/>
        <v>0</v>
      </c>
      <c r="G85" s="507">
        <f t="shared" si="11"/>
        <v>0</v>
      </c>
      <c r="H85" s="508">
        <f t="shared" si="1"/>
        <v>0</v>
      </c>
      <c r="I85" s="188"/>
      <c r="J85" s="509"/>
      <c r="K85" s="508">
        <f t="shared" si="2"/>
        <v>0</v>
      </c>
      <c r="L85" s="188"/>
      <c r="M85" s="509"/>
      <c r="N85" s="508">
        <f t="shared" si="3"/>
        <v>0</v>
      </c>
      <c r="O85" s="188"/>
      <c r="P85" s="223"/>
    </row>
    <row r="86" spans="2:16" ht="18" thickTop="1">
      <c r="D86" s="195" t="s">
        <v>273</v>
      </c>
      <c r="E86" s="510"/>
      <c r="F86" s="510"/>
      <c r="G86" s="510"/>
      <c r="H86" s="225"/>
      <c r="I86" s="225"/>
      <c r="J86" s="225"/>
      <c r="K86" s="225"/>
      <c r="L86" s="225"/>
      <c r="M86" s="225"/>
      <c r="N86" s="225"/>
      <c r="O86" s="225"/>
      <c r="P86" s="225"/>
    </row>
    <row r="87" spans="2:16">
      <c r="B87" s="448">
        <v>84</v>
      </c>
      <c r="D87" s="723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5"/>
    </row>
    <row r="88" spans="2:16">
      <c r="D88" s="726"/>
      <c r="E88" s="727"/>
      <c r="F88" s="727"/>
      <c r="G88" s="727"/>
      <c r="H88" s="727"/>
      <c r="I88" s="727"/>
      <c r="J88" s="727"/>
      <c r="K88" s="727"/>
      <c r="L88" s="727"/>
      <c r="M88" s="727"/>
      <c r="N88" s="727"/>
      <c r="O88" s="727"/>
      <c r="P88" s="728"/>
    </row>
    <row r="89" spans="2:16">
      <c r="D89" s="726"/>
      <c r="E89" s="727"/>
      <c r="F89" s="727"/>
      <c r="G89" s="727"/>
      <c r="H89" s="727"/>
      <c r="I89" s="727"/>
      <c r="J89" s="727"/>
      <c r="K89" s="727"/>
      <c r="L89" s="727"/>
      <c r="M89" s="727"/>
      <c r="N89" s="727"/>
      <c r="O89" s="727"/>
      <c r="P89" s="728"/>
    </row>
    <row r="90" spans="2:16">
      <c r="D90" s="726"/>
      <c r="E90" s="727"/>
      <c r="F90" s="727"/>
      <c r="G90" s="727"/>
      <c r="H90" s="727"/>
      <c r="I90" s="727"/>
      <c r="J90" s="727"/>
      <c r="K90" s="727"/>
      <c r="L90" s="727"/>
      <c r="M90" s="727"/>
      <c r="N90" s="727"/>
      <c r="O90" s="727"/>
      <c r="P90" s="728"/>
    </row>
    <row r="91" spans="2:16">
      <c r="D91" s="729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1"/>
    </row>
  </sheetData>
  <sheetProtection algorithmName="SHA-512" hashValue="A81frgzM1hjE9L7Ouap31Iy88XEIMvNJgGF7DYkE5ENy1SJUXDPPRFDbRSJxAiIGeLzgbPWuemPDk2YXPGqGWQ==" saltValue="dakbV7KFuIjF4hxIIMrTbA==" spinCount="100000" sheet="1" objects="1" scenarios="1"/>
  <sortState xmlns:xlrd2="http://schemas.microsoft.com/office/spreadsheetml/2017/richdata2" ref="D60:D66">
    <sortCondition ref="D60"/>
  </sortState>
  <mergeCells count="8">
    <mergeCell ref="Q3:R7"/>
    <mergeCell ref="D87:P91"/>
    <mergeCell ref="D3:D5"/>
    <mergeCell ref="E3:G4"/>
    <mergeCell ref="H3:P3"/>
    <mergeCell ref="H4:J4"/>
    <mergeCell ref="K4:M4"/>
    <mergeCell ref="N4:P4"/>
  </mergeCells>
  <conditionalFormatting sqref="D77:P77">
    <cfRule type="cellIs" dxfId="60" priority="58" operator="equal">
      <formula>0</formula>
    </cfRule>
  </conditionalFormatting>
  <conditionalFormatting sqref="E8:H85 K8:K85 N8:N85 D47:P47">
    <cfRule type="cellIs" dxfId="59" priority="60" operator="equal">
      <formula>0</formula>
    </cfRule>
  </conditionalFormatting>
  <conditionalFormatting sqref="E6:P8">
    <cfRule type="cellIs" dxfId="58" priority="51" operator="equal">
      <formula>0</formula>
    </cfRule>
  </conditionalFormatting>
  <dataValidations count="1">
    <dataValidation type="whole" operator="greaterThanOrEqual" allowBlank="1" showInputMessage="1" showErrorMessage="1" sqref="E6:P6 E8:P85" xr:uid="{00000000-0002-0000-0700-000000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59" fitToHeight="0" orientation="landscape" r:id="rId1"/>
  <headerFooter scaleWithDoc="0">
    <oddFooter>&amp;R&amp;"Goudy,Negrita Cursiva"Técnica Diurna&amp;"Goudy,Cursiva", &amp;A</oddFooter>
  </headerFooter>
  <rowBreaks count="1" manualBreakCount="1">
    <brk id="46" min="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pageSetUpPr fitToPage="1"/>
  </sheetPr>
  <dimension ref="B1:I38"/>
  <sheetViews>
    <sheetView showGridLines="0" zoomScale="90" zoomScaleNormal="90" workbookViewId="0">
      <selection activeCell="C6" sqref="C6"/>
    </sheetView>
  </sheetViews>
  <sheetFormatPr baseColWidth="10" defaultColWidth="11.44140625" defaultRowHeight="13.8"/>
  <cols>
    <col min="1" max="1" width="5.6640625" style="44" customWidth="1"/>
    <col min="2" max="2" width="5.6640625" style="448" hidden="1" customWidth="1"/>
    <col min="3" max="3" width="83.33203125" style="44" customWidth="1"/>
    <col min="4" max="4" width="8.33203125" style="44" customWidth="1"/>
    <col min="5" max="5" width="4.33203125" style="44" customWidth="1"/>
    <col min="6" max="6" width="5.33203125" style="451" customWidth="1"/>
    <col min="7" max="7" width="12.33203125" style="44" customWidth="1"/>
    <col min="8" max="9" width="16.33203125" style="44" customWidth="1"/>
    <col min="10" max="16384" width="11.44140625" style="44"/>
  </cols>
  <sheetData>
    <row r="1" spans="2:9" ht="18" customHeight="1">
      <c r="C1" s="144" t="s">
        <v>842</v>
      </c>
      <c r="E1" s="449"/>
      <c r="F1" s="449"/>
      <c r="G1" s="449"/>
      <c r="H1" s="449"/>
      <c r="I1" s="449"/>
    </row>
    <row r="2" spans="2:9" ht="17.399999999999999">
      <c r="C2" s="26" t="s">
        <v>1633</v>
      </c>
      <c r="D2" s="450"/>
      <c r="E2" s="450"/>
      <c r="G2" s="450"/>
    </row>
    <row r="3" spans="2:9" ht="18" thickBot="1">
      <c r="C3" s="26" t="s">
        <v>2639</v>
      </c>
      <c r="D3" s="143"/>
      <c r="E3" s="143"/>
      <c r="F3" s="405"/>
      <c r="G3" s="143"/>
    </row>
    <row r="4" spans="2:9" ht="39" customHeight="1" thickTop="1" thickBot="1">
      <c r="B4" s="448">
        <v>1</v>
      </c>
      <c r="C4" s="617" t="s">
        <v>792</v>
      </c>
      <c r="D4" s="56" t="s">
        <v>2610</v>
      </c>
      <c r="E4" s="56"/>
      <c r="F4" s="618"/>
      <c r="G4" s="619" t="s">
        <v>790</v>
      </c>
    </row>
    <row r="5" spans="2:9" s="451" customFormat="1" ht="22.5" customHeight="1" thickTop="1">
      <c r="B5" s="448">
        <v>2</v>
      </c>
      <c r="C5" s="786" t="s">
        <v>181</v>
      </c>
      <c r="D5" s="786"/>
      <c r="E5" s="786"/>
      <c r="F5" s="787"/>
      <c r="G5" s="452">
        <f>SUM(G6:G31)</f>
        <v>0</v>
      </c>
      <c r="H5" s="771" t="str">
        <f>IF($G$5='CUADRO 1'!E6,"","¡VERIFICAR!.  El total no coincide con el total del Cuadro 1.")</f>
        <v/>
      </c>
      <c r="I5" s="771"/>
    </row>
    <row r="6" spans="2:9" s="451" customFormat="1" ht="16.5" customHeight="1">
      <c r="B6" s="448">
        <v>3</v>
      </c>
      <c r="C6" s="453"/>
      <c r="D6" s="454" t="str">
        <f>IFERROR(VLOOKUP(C6,ubicac,2,0),"")</f>
        <v/>
      </c>
      <c r="E6" s="455"/>
      <c r="F6" s="456" t="str">
        <f t="shared" ref="F6:F11" si="0">IF(AND(OR(G6&gt;0),(C6="")),"*",IF(AND(C6&lt;&gt;"",(G6=0)),"***",""))</f>
        <v/>
      </c>
      <c r="G6" s="457"/>
      <c r="H6" s="771"/>
      <c r="I6" s="771"/>
    </row>
    <row r="7" spans="2:9" s="451" customFormat="1" ht="16.5" customHeight="1">
      <c r="B7" s="448">
        <v>4</v>
      </c>
      <c r="C7" s="458"/>
      <c r="D7" s="459" t="str">
        <f t="shared" ref="D7:D31" si="1">IFERROR(VLOOKUP(C7,ubicac,2,0),"")</f>
        <v/>
      </c>
      <c r="E7" s="422" t="str">
        <f>IF(D7="","",IF(OR(D7=D6),"R",""))</f>
        <v/>
      </c>
      <c r="F7" s="460" t="str">
        <f t="shared" si="0"/>
        <v/>
      </c>
      <c r="G7" s="461"/>
      <c r="H7" s="771"/>
      <c r="I7" s="771"/>
    </row>
    <row r="8" spans="2:9" s="451" customFormat="1" ht="16.5" customHeight="1">
      <c r="B8" s="448">
        <v>5</v>
      </c>
      <c r="C8" s="458"/>
      <c r="D8" s="459" t="str">
        <f t="shared" si="1"/>
        <v/>
      </c>
      <c r="E8" s="422" t="str">
        <f>IF(D8="","",IF(OR(D8=D7,D8=D6),"R",""))</f>
        <v/>
      </c>
      <c r="F8" s="460" t="str">
        <f t="shared" si="0"/>
        <v/>
      </c>
      <c r="G8" s="461"/>
      <c r="H8" s="424"/>
      <c r="I8" s="424"/>
    </row>
    <row r="9" spans="2:9" s="451" customFormat="1" ht="16.5" customHeight="1">
      <c r="B9" s="448">
        <v>6</v>
      </c>
      <c r="C9" s="458"/>
      <c r="D9" s="459" t="str">
        <f t="shared" si="1"/>
        <v/>
      </c>
      <c r="E9" s="422" t="str">
        <f>IF(D9="","",IF(OR(D9=D8,D9=D7,D9=D6),"R",""))</f>
        <v/>
      </c>
      <c r="F9" s="460" t="str">
        <f t="shared" si="0"/>
        <v/>
      </c>
      <c r="G9" s="461"/>
      <c r="H9" s="785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9" s="785"/>
    </row>
    <row r="10" spans="2:9" s="451" customFormat="1" ht="16.5" customHeight="1">
      <c r="B10" s="448">
        <v>7</v>
      </c>
      <c r="C10" s="458"/>
      <c r="D10" s="459" t="str">
        <f t="shared" si="1"/>
        <v/>
      </c>
      <c r="E10" s="422" t="str">
        <f>IF(D10="","",IF(OR(D10=D9,D10=D8,D10=D7,D10=D6),"R",""))</f>
        <v/>
      </c>
      <c r="F10" s="462" t="str">
        <f t="shared" si="0"/>
        <v/>
      </c>
      <c r="G10" s="461"/>
      <c r="H10" s="785"/>
      <c r="I10" s="785"/>
    </row>
    <row r="11" spans="2:9" s="451" customFormat="1" ht="16.5" customHeight="1">
      <c r="B11" s="448">
        <v>8</v>
      </c>
      <c r="C11" s="458"/>
      <c r="D11" s="459" t="str">
        <f t="shared" si="1"/>
        <v/>
      </c>
      <c r="E11" s="422" t="str">
        <f>IF(D11="","",IF(OR(D11=D10,D11=D9,D11=D8,D11=D7,D11=D6),"R",""))</f>
        <v/>
      </c>
      <c r="F11" s="460" t="str">
        <f t="shared" si="0"/>
        <v/>
      </c>
      <c r="G11" s="461"/>
      <c r="H11" s="785"/>
      <c r="I11" s="785"/>
    </row>
    <row r="12" spans="2:9" s="451" customFormat="1" ht="16.5" customHeight="1">
      <c r="B12" s="448">
        <v>9</v>
      </c>
      <c r="C12" s="458"/>
      <c r="D12" s="459" t="str">
        <f t="shared" si="1"/>
        <v/>
      </c>
      <c r="E12" s="422" t="str">
        <f>IF(D12="","",IF(OR(D12=D11,D12=D10,D12=D9,D12=D8,D12=D7,D12=D6),"R",""))</f>
        <v/>
      </c>
      <c r="F12" s="460" t="str">
        <f>IF(AND(OR(G12&gt;0),(C12="")),"*",IF(AND(C12&lt;&gt;"",(G12=0)),"***",""))</f>
        <v/>
      </c>
      <c r="G12" s="461"/>
      <c r="I12" s="424"/>
    </row>
    <row r="13" spans="2:9" s="451" customFormat="1" ht="16.5" customHeight="1">
      <c r="B13" s="448">
        <v>10</v>
      </c>
      <c r="C13" s="458"/>
      <c r="D13" s="459" t="str">
        <f t="shared" si="1"/>
        <v/>
      </c>
      <c r="E13" s="422" t="str">
        <f>IF(D13="","",IF(OR(D13=D12,D13=D11,D13=D10,D13=D9,D13=D8,D13=D7,D13=D6),"R",""))</f>
        <v/>
      </c>
      <c r="F13" s="460" t="str">
        <f t="shared" ref="F13:F31" si="2">IF(AND(OR(G13&gt;0),(C13="")),"*",IF(AND(C13&lt;&gt;"",(G13=0)),"***",""))</f>
        <v/>
      </c>
      <c r="G13" s="461"/>
      <c r="H13" s="771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3" s="771"/>
    </row>
    <row r="14" spans="2:9" s="451" customFormat="1" ht="16.5" customHeight="1">
      <c r="B14" s="448">
        <v>11</v>
      </c>
      <c r="C14" s="458"/>
      <c r="D14" s="459" t="str">
        <f t="shared" si="1"/>
        <v/>
      </c>
      <c r="E14" s="422" t="str">
        <f>IF(D14="","",IF(OR(D14=D13,D14=D12,D14=D11,D14=D10,D14=D9,D14=D8,D14=D7,D14=D6),"R",""))</f>
        <v/>
      </c>
      <c r="F14" s="460" t="str">
        <f t="shared" si="2"/>
        <v/>
      </c>
      <c r="G14" s="461"/>
      <c r="H14" s="771"/>
      <c r="I14" s="771"/>
    </row>
    <row r="15" spans="2:9" s="451" customFormat="1" ht="16.5" customHeight="1">
      <c r="B15" s="448">
        <v>12</v>
      </c>
      <c r="C15" s="458"/>
      <c r="D15" s="459" t="str">
        <f t="shared" si="1"/>
        <v/>
      </c>
      <c r="E15" s="422" t="str">
        <f>IF(D15="","",IF(OR(D15=D14,D15=D13,D15=D12,D15=D11,D15=D10,D15=D9,D15=D8,D15=D7,D15=D6),"R",""))</f>
        <v/>
      </c>
      <c r="F15" s="460" t="str">
        <f t="shared" si="2"/>
        <v/>
      </c>
      <c r="G15" s="461"/>
      <c r="H15" s="696"/>
      <c r="I15" s="696"/>
    </row>
    <row r="16" spans="2:9" s="451" customFormat="1" ht="16.5" customHeight="1">
      <c r="B16" s="448">
        <v>13</v>
      </c>
      <c r="C16" s="458"/>
      <c r="D16" s="459" t="str">
        <f t="shared" si="1"/>
        <v/>
      </c>
      <c r="E16" s="422" t="str">
        <f>IF(D16="","",IF(OR(D16=D15,D16=D14,D16=D13,D16=D12,D16=D11,D16=D10,D16=D9,D16=D8,D16=D7,D16=D6),"R",""))</f>
        <v/>
      </c>
      <c r="F16" s="460" t="str">
        <f t="shared" si="2"/>
        <v/>
      </c>
      <c r="G16" s="461"/>
      <c r="H16" s="771" t="str">
        <f>IF(OR(E6="R",E7="R",E8="R",E9="R",E10="R",E11="R",E12="R",E13="R",E14="R",E15="R",E16="R",E17="R",E18="R",E19="R",E20="R",E21="R",E22="R",E23="R",E24="R",E25="R",E26="R",E27="R",E28="R",E29="R",E30="R",E31="R"),"R = Líneas repetidas","")</f>
        <v/>
      </c>
      <c r="I16" s="771"/>
    </row>
    <row r="17" spans="2:9" s="451" customFormat="1" ht="16.5" customHeight="1">
      <c r="B17" s="448">
        <v>14</v>
      </c>
      <c r="C17" s="458"/>
      <c r="D17" s="459" t="str">
        <f t="shared" si="1"/>
        <v/>
      </c>
      <c r="E17" s="422" t="str">
        <f>IF(D17="","",IF(OR(D17=D16,D17=D15,D17=D14,D17=D13,D17=D12,D17=D11,D17=D10,D17=D9,D17=D8,D17=D7,D17=D6),"R",""))</f>
        <v/>
      </c>
      <c r="F17" s="460" t="str">
        <f t="shared" si="2"/>
        <v/>
      </c>
      <c r="G17" s="461"/>
      <c r="H17" s="771"/>
      <c r="I17" s="771"/>
    </row>
    <row r="18" spans="2:9" s="451" customFormat="1" ht="16.5" customHeight="1">
      <c r="B18" s="448">
        <v>15</v>
      </c>
      <c r="C18" s="458"/>
      <c r="D18" s="459" t="str">
        <f t="shared" si="1"/>
        <v/>
      </c>
      <c r="E18" s="422" t="str">
        <f>IF(D18="","",IF(OR(D18=D17,D18=D16,D18=D15,D18=D14,D18=D13,D18=D12,D18=D11,D18=D10,D18=D9,D18=D8,D18=D7,D18=D6),"R",""))</f>
        <v/>
      </c>
      <c r="F18" s="460" t="str">
        <f t="shared" si="2"/>
        <v/>
      </c>
      <c r="G18" s="461"/>
      <c r="H18" s="697"/>
      <c r="I18" s="697"/>
    </row>
    <row r="19" spans="2:9" s="451" customFormat="1" ht="16.5" customHeight="1">
      <c r="B19" s="448">
        <v>16</v>
      </c>
      <c r="C19" s="458"/>
      <c r="D19" s="459" t="str">
        <f t="shared" si="1"/>
        <v/>
      </c>
      <c r="E19" s="422" t="str">
        <f>IF(D19="","",IF(OR(D19=D18,D19=D17,D19=D16,D19=D15,D19=D14,D19=D13,D19=D12,D19=D11,D19=D10,D19=D9,D19=D8,D19=D7,D19=D6),"R",""))</f>
        <v/>
      </c>
      <c r="F19" s="460" t="str">
        <f t="shared" si="2"/>
        <v/>
      </c>
      <c r="G19" s="461"/>
      <c r="H19" s="698"/>
      <c r="I19" s="698"/>
    </row>
    <row r="20" spans="2:9" s="451" customFormat="1" ht="16.5" customHeight="1">
      <c r="B20" s="448">
        <v>17</v>
      </c>
      <c r="C20" s="458"/>
      <c r="D20" s="459" t="str">
        <f t="shared" si="1"/>
        <v/>
      </c>
      <c r="E20" s="422" t="str">
        <f>IF(D20="","",IF(OR(D20=D19,D20=D18,D20=D17,D20=D16,D20=D15,D20=D14,D20=D13,D20=D12,D20=D11,D20=D10,D20=D9,D20=D8,D20=D7,D20=D6),"R",""))</f>
        <v/>
      </c>
      <c r="F20" s="460" t="str">
        <f t="shared" si="2"/>
        <v/>
      </c>
      <c r="G20" s="461"/>
      <c r="H20" s="697"/>
      <c r="I20" s="697"/>
    </row>
    <row r="21" spans="2:9" s="451" customFormat="1" ht="16.5" customHeight="1">
      <c r="B21" s="448">
        <v>18</v>
      </c>
      <c r="C21" s="458"/>
      <c r="D21" s="459" t="str">
        <f t="shared" si="1"/>
        <v/>
      </c>
      <c r="E21" s="422" t="str">
        <f>IF(D21="","",IF(OR(D21=D20,D21=D19,D21=D18,D21=D17,D21=D16,D21=D15,D21=D14,D21=D13,D21=D12,D21=D11,D21=D10,D21=D9,D21=D8,D21=D7,D21=D6),"R",""))</f>
        <v/>
      </c>
      <c r="F21" s="460" t="str">
        <f t="shared" si="2"/>
        <v/>
      </c>
      <c r="G21" s="461"/>
      <c r="H21" s="697"/>
      <c r="I21" s="697"/>
    </row>
    <row r="22" spans="2:9" s="451" customFormat="1" ht="16.5" customHeight="1">
      <c r="B22" s="448">
        <v>19</v>
      </c>
      <c r="C22" s="458"/>
      <c r="D22" s="459" t="str">
        <f t="shared" si="1"/>
        <v/>
      </c>
      <c r="E22" s="422" t="str">
        <f>IF(D22="","",IF(OR(D22=D21,D22=D20,D22=D19,D22=D18,D22=D17,D22=D16,D22=D15,D22=D14,D22=D13,D22=D12,D22=D11,D22=D10,D22=D9,D22=D8,D22=D7,D22=D6),"R",""))</f>
        <v/>
      </c>
      <c r="F22" s="460" t="str">
        <f t="shared" si="2"/>
        <v/>
      </c>
      <c r="G22" s="461"/>
      <c r="H22" s="697"/>
      <c r="I22" s="697"/>
    </row>
    <row r="23" spans="2:9" s="451" customFormat="1" ht="16.5" customHeight="1">
      <c r="B23" s="448">
        <v>20</v>
      </c>
      <c r="C23" s="458"/>
      <c r="D23" s="459" t="str">
        <f t="shared" si="1"/>
        <v/>
      </c>
      <c r="E23" s="422" t="str">
        <f>IF(D23="","",IF(OR(D23=D22,D23=D21,D23=D20,D23=D19,D23=D18,D23=D17,D23=D16,D23=D15,D23=D14,D23=D13,D23=D12,D23=D11,D23=D10,D23=D9,D23=D8,D23=D7,D23=D6),"R",""))</f>
        <v/>
      </c>
      <c r="F23" s="460" t="str">
        <f t="shared" si="2"/>
        <v/>
      </c>
      <c r="G23" s="461"/>
      <c r="H23" s="697"/>
      <c r="I23" s="697"/>
    </row>
    <row r="24" spans="2:9" s="451" customFormat="1" ht="16.5" customHeight="1">
      <c r="B24" s="448">
        <v>21</v>
      </c>
      <c r="C24" s="458"/>
      <c r="D24" s="459" t="str">
        <f t="shared" si="1"/>
        <v/>
      </c>
      <c r="E24" s="422" t="str">
        <f>IF(D24="","",IF(OR(D24=D23,D24=D22,D24=D21,D24=D20,D24=D19,D24=D18,D24=D17,D24=D16,D24=D15,D24=D14,D24=D13,D24=D12,D24=D11,D24=D10,D24=D9,D24=D8,D24=D7,D24=D6),"R",""))</f>
        <v/>
      </c>
      <c r="F24" s="460" t="str">
        <f t="shared" si="2"/>
        <v/>
      </c>
      <c r="G24" s="461"/>
      <c r="H24" s="697"/>
      <c r="I24" s="697"/>
    </row>
    <row r="25" spans="2:9" s="451" customFormat="1" ht="16.5" customHeight="1">
      <c r="B25" s="448">
        <v>22</v>
      </c>
      <c r="C25" s="458"/>
      <c r="D25" s="459" t="str">
        <f t="shared" si="1"/>
        <v/>
      </c>
      <c r="E25" s="422" t="str">
        <f>IF(D25="","",IF(OR(D25=D24,D25=D23,D25=D22,D25=D21,D25=D20,D25=D19,D25=D18,D25=D17,D25=D16,D25=D15,D25=D14,D25=D13,D25=D12,D25=D11,D25=D10,D25=D9,D25=D8,D25=D7,D25=D6),"R",""))</f>
        <v/>
      </c>
      <c r="F25" s="460" t="str">
        <f t="shared" si="2"/>
        <v/>
      </c>
      <c r="G25" s="461"/>
      <c r="H25" s="697"/>
      <c r="I25" s="697"/>
    </row>
    <row r="26" spans="2:9" s="451" customFormat="1" ht="16.5" customHeight="1">
      <c r="B26" s="448">
        <v>23</v>
      </c>
      <c r="C26" s="458"/>
      <c r="D26" s="459" t="str">
        <f t="shared" si="1"/>
        <v/>
      </c>
      <c r="E26" s="422" t="str">
        <f>IF(D26="","",IF(OR(D26=D25,D26=D24,D26=D23,D26=D22,D26=D21,D26=D20,D26=D19,D26=D18,D26=D17,D26=D16,D26=D15,D26=D14,D26=D13,D26=D12,D26=D11,D26=D10,D26=D9,D26=D8,D26=D7,D26=D6),"R",""))</f>
        <v/>
      </c>
      <c r="F26" s="460" t="str">
        <f t="shared" si="2"/>
        <v/>
      </c>
      <c r="G26" s="461"/>
      <c r="H26" s="697"/>
      <c r="I26" s="697"/>
    </row>
    <row r="27" spans="2:9" s="451" customFormat="1" ht="16.5" customHeight="1">
      <c r="B27" s="448">
        <v>24</v>
      </c>
      <c r="C27" s="458"/>
      <c r="D27" s="459" t="str">
        <f t="shared" si="1"/>
        <v/>
      </c>
      <c r="E27" s="422" t="str">
        <f>IF(D27="","",IF(OR(D27=D26,D27=D25,D27=D24,D27=D23,D27=D22,D27=D21,D27=D20,D27=D19,D27=D18,D27=D17,D27=D16,D27=D15,D27=D14,D27=D13,D27=D12,D27=D11,D27=D10,D27=D9,D27=D8,D27=D7,D27=D6),"R",""))</f>
        <v/>
      </c>
      <c r="F27" s="460" t="str">
        <f t="shared" si="2"/>
        <v/>
      </c>
      <c r="G27" s="461"/>
      <c r="H27" s="697"/>
      <c r="I27" s="697"/>
    </row>
    <row r="28" spans="2:9" ht="16.5" customHeight="1">
      <c r="B28" s="448">
        <v>25</v>
      </c>
      <c r="C28" s="458"/>
      <c r="D28" s="459" t="str">
        <f t="shared" si="1"/>
        <v/>
      </c>
      <c r="E28" s="422" t="str">
        <f>IF(D28="","",IF(OR(D28=D27,D28=D26,D28=D25,D28=D24,D28=D23,D28=D22,D28=D21,D28=D20,D28=D19,D28=D18,D28=D17,D28=D16,D28=D15,D28=D14,D28=D13,D28=D12,D28=D11,D28=D10,D28=D9,D28=D8,D28=D7,D28=D6),"R",""))</f>
        <v/>
      </c>
      <c r="F28" s="460" t="str">
        <f t="shared" si="2"/>
        <v/>
      </c>
      <c r="G28" s="463"/>
      <c r="H28" s="699"/>
      <c r="I28" s="510"/>
    </row>
    <row r="29" spans="2:9" ht="16.5" customHeight="1">
      <c r="B29" s="448">
        <v>26</v>
      </c>
      <c r="C29" s="458"/>
      <c r="D29" s="459" t="str">
        <f t="shared" si="1"/>
        <v/>
      </c>
      <c r="E29" s="422" t="str">
        <f>IF(D29="","",IF(OR(D29=D28,D29=D27,D29=D26,D29=D25,D29=D24,D29=D23,D29=D22,D29=D21,D29=D20,D29=D19,D29=D18,D29=D17,D29=D16,D29=D15,D29=D14,D29=D13,D29=D12,D29=D11,D29=D10,D29=D9,D29=D8,D29=D7,D29=D6),"R",""))</f>
        <v/>
      </c>
      <c r="F29" s="460" t="str">
        <f t="shared" si="2"/>
        <v/>
      </c>
      <c r="G29" s="463"/>
      <c r="H29" s="510"/>
      <c r="I29" s="510"/>
    </row>
    <row r="30" spans="2:9" ht="16.5" customHeight="1">
      <c r="B30" s="448">
        <v>27</v>
      </c>
      <c r="C30" s="458"/>
      <c r="D30" s="459" t="str">
        <f t="shared" si="1"/>
        <v/>
      </c>
      <c r="E30" s="422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460" t="str">
        <f t="shared" si="2"/>
        <v/>
      </c>
      <c r="G30" s="463"/>
      <c r="H30" s="510"/>
      <c r="I30" s="510"/>
    </row>
    <row r="31" spans="2:9" ht="16.5" customHeight="1" thickBot="1">
      <c r="B31" s="448">
        <v>28</v>
      </c>
      <c r="C31" s="464"/>
      <c r="D31" s="465" t="str">
        <f t="shared" si="1"/>
        <v/>
      </c>
      <c r="E31" s="466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467" t="str">
        <f t="shared" si="2"/>
        <v/>
      </c>
      <c r="G31" s="468"/>
      <c r="H31" s="510"/>
      <c r="I31" s="510"/>
    </row>
    <row r="32" spans="2:9" ht="16.5" customHeight="1" thickTop="1">
      <c r="C32" s="84" t="s">
        <v>855</v>
      </c>
      <c r="D32" s="469"/>
      <c r="E32" s="469"/>
      <c r="F32" s="470"/>
      <c r="G32" s="470"/>
    </row>
    <row r="33" spans="2:7" ht="16.5" customHeight="1">
      <c r="C33" s="471"/>
      <c r="D33" s="469"/>
      <c r="E33" s="469"/>
      <c r="F33" s="470"/>
      <c r="G33" s="470"/>
    </row>
    <row r="34" spans="2:7" ht="15.6">
      <c r="C34" s="52" t="s">
        <v>273</v>
      </c>
    </row>
    <row r="35" spans="2:7" ht="15" customHeight="1">
      <c r="B35" s="448">
        <v>29</v>
      </c>
      <c r="C35" s="723"/>
      <c r="D35" s="724"/>
      <c r="E35" s="724"/>
      <c r="F35" s="724"/>
      <c r="G35" s="725"/>
    </row>
    <row r="36" spans="2:7" ht="15" customHeight="1">
      <c r="C36" s="726"/>
      <c r="D36" s="727"/>
      <c r="E36" s="727"/>
      <c r="F36" s="727"/>
      <c r="G36" s="728"/>
    </row>
    <row r="37" spans="2:7" ht="15" customHeight="1">
      <c r="C37" s="726"/>
      <c r="D37" s="727"/>
      <c r="E37" s="727"/>
      <c r="F37" s="727"/>
      <c r="G37" s="728"/>
    </row>
    <row r="38" spans="2:7" ht="18" customHeight="1">
      <c r="C38" s="729"/>
      <c r="D38" s="730"/>
      <c r="E38" s="730"/>
      <c r="F38" s="730"/>
      <c r="G38" s="731"/>
    </row>
  </sheetData>
  <sheetProtection sheet="1" objects="1" scenarios="1" insertRows="0" deleteRows="0"/>
  <mergeCells count="6">
    <mergeCell ref="H9:I11"/>
    <mergeCell ref="C35:G38"/>
    <mergeCell ref="C5:F5"/>
    <mergeCell ref="H5:I7"/>
    <mergeCell ref="H13:I14"/>
    <mergeCell ref="H16:I17"/>
  </mergeCells>
  <conditionalFormatting sqref="F6:F31">
    <cfRule type="cellIs" dxfId="64" priority="3" operator="equal">
      <formula>"Error!"</formula>
    </cfRule>
  </conditionalFormatting>
  <conditionalFormatting sqref="G5">
    <cfRule type="cellIs" dxfId="63" priority="4" operator="equal">
      <formula>0</formula>
    </cfRule>
  </conditionalFormatting>
  <conditionalFormatting sqref="H5:I7 H9:I11 H13:I14">
    <cfRule type="notContainsBlanks" dxfId="62" priority="2">
      <formula>LEN(TRIM(H5))&gt;0</formula>
    </cfRule>
  </conditionalFormatting>
  <conditionalFormatting sqref="H16:I17">
    <cfRule type="notContainsBlanks" dxfId="61" priority="1">
      <formula>LEN(TRIM(H16))&gt;0</formula>
    </cfRule>
  </conditionalFormatting>
  <dataValidations count="2">
    <dataValidation type="list" allowBlank="1" showInputMessage="1" showErrorMessage="1" sqref="C6:C31" xr:uid="{00000000-0002-0000-0800-000000000000}">
      <formula1>ubic</formula1>
    </dataValidation>
    <dataValidation type="whole" operator="greaterThanOrEqual" allowBlank="1" showInputMessage="1" showErrorMessage="1" sqref="G5:G31" xr:uid="{00000000-0002-0000-0800-000001000000}">
      <formula1>0</formula1>
    </dataValidation>
  </dataValidations>
  <printOptions horizontalCentered="1" verticalCentered="1"/>
  <pageMargins left="0.19685039370078741" right="0.19685039370078741" top="0.23622047244094491" bottom="0.19685039370078741" header="0.43307086614173229" footer="0.19685039370078741"/>
  <pageSetup scale="88" orientation="landscape" r:id="rId1"/>
  <headerFooter scaleWithDoc="0">
    <oddFooter>&amp;R&amp;"Goudy,Negrita Cursiva"Técnica Diurna&amp;"Goudy,Cursiva",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28</vt:i4>
      </vt:variant>
    </vt:vector>
  </HeadingPairs>
  <TitlesOfParts>
    <vt:vector size="49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RenCT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14'!Área_de_impresión</vt:lpstr>
      <vt:lpstr>'CUADRO 15'!Área_de_impresión</vt:lpstr>
      <vt:lpstr>'CUADRO 16'!Área_de_impresión</vt:lpstr>
      <vt:lpstr>'CUADRO 17'!Área_de_impresión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codigo</vt:lpstr>
      <vt:lpstr>datos</vt:lpstr>
      <vt:lpstr>MARCA</vt:lpstr>
      <vt:lpstr>prov</vt:lpstr>
      <vt:lpstr>SINO</vt:lpstr>
      <vt:lpstr>sino1</vt:lpstr>
      <vt:lpstr>'CUADRO 5'!Títulos_a_imprimir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2024-03-18T04:56:01Z</cp:lastPrinted>
  <dcterms:created xsi:type="dcterms:W3CDTF">2011-05-27T17:11:21Z</dcterms:created>
  <dcterms:modified xsi:type="dcterms:W3CDTF">2024-03-19T18:40:58Z</dcterms:modified>
</cp:coreProperties>
</file>